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defaultThemeVersion="124226"/>
  <mc:AlternateContent xmlns:mc="http://schemas.openxmlformats.org/markup-compatibility/2006">
    <mc:Choice Requires="x15">
      <x15ac:absPath xmlns:x15ac="http://schemas.microsoft.com/office/spreadsheetml/2010/11/ac" url="https://sftorg-my.sharepoint.com/personal/alastair_nicol_scottishfuturestrust_org_uk/Documents/Working Files/Operational PPP/OCM Low Carbon/Guidance Sections/Final/"/>
    </mc:Choice>
  </mc:AlternateContent>
  <xr:revisionPtr revIDLastSave="361" documentId="8_{5063D4D2-AF27-4F72-BF73-C3FEBDC70FAD}" xr6:coauthVersionLast="47" xr6:coauthVersionMax="47" xr10:uidLastSave="{E28C9D42-6E54-4CFA-BD22-1B17A7A62D83}"/>
  <bookViews>
    <workbookView xWindow="-120" yWindow="-120" windowWidth="29040" windowHeight="15840" tabRatio="933" xr2:uid="{00000000-000D-0000-FFFF-FFFF00000000}"/>
  </bookViews>
  <sheets>
    <sheet name="Summary" sheetId="48" r:id="rId1"/>
    <sheet name="Project Data Input" sheetId="29" r:id="rId2"/>
    <sheet name="ECM Options Data" sheetId="37" r:id="rId3"/>
    <sheet name="ECM Options Lifecycle" sheetId="39" r:id="rId4"/>
    <sheet name="DASHBOARD " sheetId="46" r:id="rId5"/>
    <sheet name="Option A Outcome" sheetId="32" r:id="rId6"/>
    <sheet name="Option B Outcome" sheetId="42" r:id="rId7"/>
    <sheet name="Option C Outcome" sheetId="45" r:id="rId8"/>
    <sheet name="Existing Assets" sheetId="36" state="hidden" r:id="rId9"/>
    <sheet name="Data" sheetId="35" state="hidden" r:id="rId10"/>
    <sheet name="Option A" sheetId="28" state="hidden" r:id="rId11"/>
    <sheet name="Option A - Lifecycle" sheetId="25" state="hidden" r:id="rId12"/>
    <sheet name="Option B" sheetId="40" state="hidden" r:id="rId13"/>
    <sheet name="Option B - Lifecycle" sheetId="41" state="hidden" r:id="rId14"/>
    <sheet name="Option C" sheetId="43" state="hidden" r:id="rId15"/>
    <sheet name="Option C - Lifecycle" sheetId="44" state="hidden" r:id="rId16"/>
    <sheet name="Technology Inputs" sheetId="18" state="hidden" r:id="rId17"/>
    <sheet name="DASHBOARD Data" sheetId="34" state="hidden" r:id="rId18"/>
    <sheet name="Cumulative Analysis" sheetId="38"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3" hidden="1">'ECM Options Lifecycle'!$D$11:$AT$39</definedName>
    <definedName name="_xlnm._FilterDatabase" localSheetId="11" hidden="1">'Option A - Lifecycle'!$C$6:$AS$34</definedName>
    <definedName name="_xlnm._FilterDatabase" localSheetId="13" hidden="1">'Option B - Lifecycle'!$C$6:$AS$34</definedName>
    <definedName name="_xlnm._FilterDatabase" localSheetId="15" hidden="1">'Option C - Lifecycle'!$C$6:$AS$34</definedName>
    <definedName name="AS2DocOpenMode" hidden="1">"AS2DocumentEdit"</definedName>
    <definedName name="BE">#REF!</definedName>
    <definedName name="BH">#REF!</definedName>
    <definedName name="Boilers">'Technology Inputs'!$D$44:$D$50</definedName>
    <definedName name="Building_controls">'Existing Assets'!$D$34:$D$35</definedName>
    <definedName name="Building_fabric">'Existing Assets'!$D$60:$D$64</definedName>
    <definedName name="Building_management_systems">'Technology Inputs'!$D$51:$D$53</definedName>
    <definedName name="building_type">[1]Lists!$B$3:$B$50</definedName>
    <definedName name="Buildingfabric">'Existing Assets'!$C$60:$C$64</definedName>
    <definedName name="BuildingType">[2]Benchmarks!$A$3:$A$44</definedName>
    <definedName name="Category">'Technology Inputs'!$H$44:$H$72</definedName>
    <definedName name="CHP_Electrical_Efficiency" localSheetId="5">'Option A Outcome'!#REF!</definedName>
    <definedName name="CHP_Electrical_Efficiency" localSheetId="6">'Option B Outcome'!#REF!</definedName>
    <definedName name="CHP_Electrical_Efficiency" localSheetId="7">'Option C Outcome'!#REF!</definedName>
    <definedName name="CHP_Electricity_Export" localSheetId="5">'Option A Outcome'!#REF!</definedName>
    <definedName name="CHP_Electricity_Export" localSheetId="6">'Option B Outcome'!#REF!</definedName>
    <definedName name="CHP_Electricity_Export" localSheetId="7">'Option C Outcome'!#REF!</definedName>
    <definedName name="CHW">'Existing Assets'!$D$8</definedName>
    <definedName name="Combined_heat_and_power">'Technology Inputs'!$D$54:$D$57</definedName>
    <definedName name="Compressor">'Technology Inputs'!$D$58</definedName>
    <definedName name="Computers_and_IT_solutions">'Technology Inputs'!$D$59:$D$71</definedName>
    <definedName name="Cooling">'Technology Inputs'!$D$72:$D$76</definedName>
    <definedName name="Cooling_source">'Existing Assets'!$D$36:$D$38</definedName>
    <definedName name="council_elec_demand" localSheetId="5">'Option A Outcome'!#REF!</definedName>
    <definedName name="council_elec_demand" localSheetId="6">'Option B Outcome'!#REF!</definedName>
    <definedName name="council_elec_demand" localSheetId="7">'Option C Outcome'!#REF!</definedName>
    <definedName name="Cover" hidden="1">{#N/A,#N/A,FALSE,"Aging Summary";#N/A,#N/A,FALSE,"Ratio Analysis";#N/A,#N/A,FALSE,"Test 120 Day Accts";#N/A,#N/A,FALSE,"Tickmarks"}</definedName>
    <definedName name="DEN_Electricity_Demand" localSheetId="5">'Option A Outcome'!#REF!</definedName>
    <definedName name="DEN_Electricity_Demand" localSheetId="6">'Option B Outcome'!#REF!</definedName>
    <definedName name="DEN_Electricity_Demand" localSheetId="7">'Option C Outcome'!#REF!</definedName>
    <definedName name="DEN_electricity_supply_from_CHP" localSheetId="5">'Option A Outcome'!#REF!</definedName>
    <definedName name="DEN_electricity_supply_from_CHP" localSheetId="6">'Option B Outcome'!#REF!</definedName>
    <definedName name="DEN_electricity_supply_from_CHP" localSheetId="7">'Option C Outcome'!#REF!</definedName>
    <definedName name="DEN_electricity_supply_from_grid" localSheetId="5">'Option A Outcome'!#REF!</definedName>
    <definedName name="DEN_electricity_supply_from_grid" localSheetId="6">'Option B Outcome'!#REF!</definedName>
    <definedName name="DEN_electricity_supply_from_grid" localSheetId="7">'Option C Outcome'!#REF!</definedName>
    <definedName name="DEN1_heat_supply_from_CHP" localSheetId="5">'Option A Outcome'!#REF!</definedName>
    <definedName name="DEN1_heat_supply_from_CHP" localSheetId="6">'Option B Outcome'!#REF!</definedName>
    <definedName name="DEN1_heat_supply_from_CHP" localSheetId="7">'Option C Outcome'!#REF!</definedName>
    <definedName name="Draught_proofing">'Existing Assets'!$D$64</definedName>
    <definedName name="EC1_boiler_gas_input" localSheetId="5">'Option A Outcome'!#REF!</definedName>
    <definedName name="EC1_boiler_gas_input" localSheetId="6">'Option B Outcome'!#REF!</definedName>
    <definedName name="EC1_boiler_gas_input" localSheetId="7">'Option C Outcome'!#REF!</definedName>
    <definedName name="EC1_CHP_gas_input" localSheetId="5">'Option A Outcome'!#REF!</definedName>
    <definedName name="EC1_CHP_gas_input" localSheetId="6">'Option B Outcome'!#REF!</definedName>
    <definedName name="EC1_CHP_gas_input" localSheetId="7">'Option C Outcome'!#REF!</definedName>
    <definedName name="elec">#REF!</definedName>
    <definedName name="Elec_Plant">Data!$D$16:$D$18</definedName>
    <definedName name="Elec_sales_kWh" localSheetId="5">'Option A Outcome'!$D$18</definedName>
    <definedName name="Elec_sales_kWh" localSheetId="6">'Option B Outcome'!$D$18</definedName>
    <definedName name="Elec_sales_kWh" localSheetId="7">'Option C Outcome'!$D$18</definedName>
    <definedName name="Elec_tariff_for_CCL">[3]Tariffs!$C$12</definedName>
    <definedName name="elec_unitcharge">[3]Tariffs!$C$10</definedName>
    <definedName name="electrical">'[4]Lifecycle Base'!$D$221:$D$242</definedName>
    <definedName name="electricalplant">'Existing Assets'!$C$80:$C$89</definedName>
    <definedName name="Emissions_table">'Technology Inputs'!$C$5:$N$15</definedName>
    <definedName name="Energy_from_waste">'Technology Inputs'!$D$78:$D$79</definedName>
    <definedName name="Equipment">'Technology Inputs'!$O$44</definedName>
    <definedName name="Existing_council_Gas_Consumption" localSheetId="5">'Option A Outcome'!#REF!</definedName>
    <definedName name="Existing_council_Gas_Consumption" localSheetId="6">'Option B Outcome'!#REF!</definedName>
    <definedName name="Existing_council_Gas_Consumption" localSheetId="7">'Option C Outcome'!#REF!</definedName>
    <definedName name="exposure">[1]Lists!$G$3:$G$5</definedName>
    <definedName name="FFandE">'Existing Assets'!$D$5:$D$7</definedName>
    <definedName name="Floor_insulation">'Existing Assets'!$D$63</definedName>
    <definedName name="FPrice">'[5]Lookup Table'!$G$15:$G$87</definedName>
    <definedName name="fuel_source">[1]Lists!$L$3:$L$24</definedName>
    <definedName name="Fuel_type">'[6]Technology List &amp; Con. Factors'!$F$5:$F$14</definedName>
    <definedName name="gas">#REF!</definedName>
    <definedName name="gas_unit_rate_CCL">[3]Tariffs!$C$5</definedName>
    <definedName name="gas_unitcharge">[3]Tariffs!$C$3</definedName>
    <definedName name="Glazing">'Existing Assets'!$D$61</definedName>
    <definedName name="Grid_exporttariff">[3]Tariffs!$C$19</definedName>
    <definedName name="Hand_Dryers">'Technology Inputs'!$D$77</definedName>
    <definedName name="Heat_sales_kWh" localSheetId="5">'Option A Outcome'!#REF!</definedName>
    <definedName name="Heat_sales_kWh" localSheetId="6">'Option B Outcome'!#REF!</definedName>
    <definedName name="Heat_sales_kWh" localSheetId="7">'Option C Outcome'!#REF!</definedName>
    <definedName name="heat_tariff">[3]Tariffs!$C$17</definedName>
    <definedName name="Heating">'Technology Inputs'!$D$80:$D$93</definedName>
    <definedName name="Heating_Distribution">'Existing Assets'!$D$26:$D$27</definedName>
    <definedName name="Heating_Emitters">'Existing Assets'!$D$25</definedName>
    <definedName name="Heating_Plant">'Existing Assets'!$D$13:$D$20</definedName>
    <definedName name="Heating_Plant_Ancillary">'Existing Assets'!$D$21:$D$24</definedName>
    <definedName name="Heating_Source">'Existing Assets'!$D$13:$D$19</definedName>
    <definedName name="Hospital_equipment_hoists">'Existing Assets'!$D$6</definedName>
    <definedName name="Hospital_medical_equipment">'Existing Assets'!$D$7</definedName>
    <definedName name="Hot_water">'Technology Inputs'!$D$94:$D$98</definedName>
    <definedName name="HP">#REF!</definedName>
    <definedName name="HTML_CodePage" hidden="1">1252</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W_Installation">'Existing Assets'!$D$9:$D$12</definedName>
    <definedName name="Industrial_kitchen_equipment">'Technology Inputs'!$D$99:$D$101</definedName>
    <definedName name="Insulation_building_fabric">'Technology Inputs'!$D$102:$D$108</definedName>
    <definedName name="Insulation_draught_proofing">'Technology Inputs'!$D$109</definedName>
    <definedName name="Insulation_other">'Technology Inputs'!$D$112:$D$118</definedName>
    <definedName name="Insulation_pipework">'Technology Inputs'!$D$110:$D$111</definedName>
    <definedName name="Kitchen_equipment">'Existing Assets'!$D$5</definedName>
    <definedName name="Lab_Upgrades">'Technology Inputs'!$D$119:$D$128</definedName>
    <definedName name="LB">#REF!</definedName>
    <definedName name="LED_lighting">'Technology Inputs'!$D$131:$D$139</definedName>
    <definedName name="Lighting">'Existing Assets'!$D$80:$D$85</definedName>
    <definedName name="Lighting_controls">'Technology Inputs'!$D$129:$D$130</definedName>
    <definedName name="List_Construction_Type">[1]Lists!$F$3:$F$8</definedName>
    <definedName name="List_Directorate">[1]Lists!$O$3:$O$23</definedName>
    <definedName name="List_Glazing_Type">[1]Lists!$E$3:$E$5</definedName>
    <definedName name="List_Oil_Type">[1]Lists!$M$3:$M$7</definedName>
    <definedName name="List_Tenure">[1]Lists!$D$3:$D$7</definedName>
    <definedName name="local_authority">[1]Lists!$P$3:$P$35</definedName>
    <definedName name="Mech">'Existing Assets'!$B$8:$B$59</definedName>
    <definedName name="Mech_kit">'Existing Assets'!$C$8:$C$59</definedName>
    <definedName name="Mech_plant">Data!$D$5:$D$14</definedName>
    <definedName name="mechanical">'[4]Lifecycle Base'!$D$175:$D$219</definedName>
    <definedName name="Mechanicalplant">'Existing Assets'!$C$8:$C$38</definedName>
    <definedName name="Motor_controls">'Technology Inputs'!$D$148:$D$150</definedName>
    <definedName name="Motor_replacement">'Technology Inputs'!$D$151</definedName>
    <definedName name="ngfng" hidden="1">{#N/A,#N/A,FALSE,"Aging Summary";#N/A,#N/A,FALSE,"Ratio Analysis";#N/A,#N/A,FALSE,"Test 120 Day Accts";#N/A,#N/A,FALSE,"Tickmarks"}</definedName>
    <definedName name="Office_equipment">'Technology Inputs'!$D$152</definedName>
    <definedName name="Operation_hours">[7]Dashboard!$D$28</definedName>
    <definedName name="Power_installation">'Existing Assets'!$D$88:$D$89</definedName>
    <definedName name="Power_installations">'Existing Assets'!$D$88:$D$89</definedName>
    <definedName name="_xlnm.Print_Area" localSheetId="4">'DASHBOARD '!$C$2:$U$78</definedName>
    <definedName name="_xlnm.Print_Area" localSheetId="2">'ECM Options Data'!$B$2:$AH$23</definedName>
    <definedName name="_xlnm.Print_Area" localSheetId="3">'ECM Options Lifecycle'!$B$2:$AT$41</definedName>
    <definedName name="_xlnm.Print_Area" localSheetId="5">'Option A Outcome'!$B$2:$Y$61</definedName>
    <definedName name="_xlnm.Print_Area" localSheetId="6">'Option B Outcome'!$B$2:$Y$61</definedName>
    <definedName name="_xlnm.Print_Area" localSheetId="7">'Option C Outcome'!$B$2:$Y$61</definedName>
    <definedName name="_xlnm.Print_Area" localSheetId="1">'Project Data Input'!$B$2:$H$21</definedName>
    <definedName name="_xlnm.Print_Area" localSheetId="0">Summary!$C$2:$N$61</definedName>
    <definedName name="Project_type">'[8]Extra look-up'!$A$3:$A$31</definedName>
    <definedName name="Renewable_energy">'Technology Inputs'!$D$153:$D$156</definedName>
    <definedName name="Renewable_Generation">'Existing Assets'!$D$86:$D$87</definedName>
    <definedName name="Renewables">#REF!</definedName>
    <definedName name="Risk_Type">#REF!</definedName>
    <definedName name="ROB">#REF!</definedName>
    <definedName name="Roof_insulation">'Existing Assets'!$D$62</definedName>
    <definedName name="RPI_indexY1" localSheetId="5">'Option A Outcome'!#REF!</definedName>
    <definedName name="RPI_indexY1" localSheetId="6">'Option B Outcome'!#REF!</definedName>
    <definedName name="RPI_indexY1" localSheetId="7">'Option C Outcome'!#REF!</definedName>
    <definedName name="RPI_indexY2" localSheetId="5">'Option A Outcome'!#REF!</definedName>
    <definedName name="RPI_indexY2" localSheetId="6">'Option B Outcome'!#REF!</definedName>
    <definedName name="RPI_indexY2" localSheetId="7">'Option C Outcome'!#REF!</definedName>
    <definedName name="RPI_indexY3" localSheetId="5">'Option A Outcome'!#REF!</definedName>
    <definedName name="RPI_indexY3" localSheetId="6">'Option B Outcome'!#REF!</definedName>
    <definedName name="RPI_indexY3" localSheetId="7">'Option C Outcome'!#REF!</definedName>
    <definedName name="s" hidden="1">{#N/A,#N/A,FALSE,"Aging Summary";#N/A,#N/A,FALSE,"Ratio Analysis";#N/A,#N/A,FALSE,"Test 120 Day Accts";#N/A,#N/A,FALSE,"Tickmarks"}</definedName>
    <definedName name="sens_CAPEX" localSheetId="5">'Option A Outcome'!#REF!</definedName>
    <definedName name="sens_CAPEX" localSheetId="6">'Option B Outcome'!#REF!</definedName>
    <definedName name="sens_CAPEX" localSheetId="7">'Option C Outcome'!#REF!</definedName>
    <definedName name="sens_Electricity_tariff" localSheetId="5">'Option A Outcome'!#REF!</definedName>
    <definedName name="sens_Electricity_tariff" localSheetId="6">'Option B Outcome'!#REF!</definedName>
    <definedName name="sens_Electricity_tariff" localSheetId="7">'Option C Outcome'!#REF!</definedName>
    <definedName name="sens_heat_tariff" localSheetId="5">'Option A Outcome'!#REF!</definedName>
    <definedName name="sens_heat_tariff" localSheetId="6">'Option B Outcome'!#REF!</definedName>
    <definedName name="sens_heat_tariff" localSheetId="7">'Option C Outcome'!#REF!</definedName>
    <definedName name="sens_OPEX" localSheetId="5">'Option A Outcome'!#REF!</definedName>
    <definedName name="sens_OPEX" localSheetId="6">'Option B Outcome'!#REF!</definedName>
    <definedName name="sens_OPEX" localSheetId="7">'Option C Outcome'!#REF!</definedName>
    <definedName name="Site_consumption">[9]Example!$C$19</definedName>
    <definedName name="Street_lighting">'Technology Inputs'!$D$140:$D$145</definedName>
    <definedName name="Swimming">'Technology Inputs'!$D$157:$D$158</definedName>
    <definedName name="test" hidden="1">{#N/A,#N/A,FALSE,"Aging Summary";#N/A,#N/A,FALSE,"Ratio Analysis";#N/A,#N/A,FALSE,"Test 120 Day Accts";#N/A,#N/A,FALSE,"Tickmarks"}</definedName>
    <definedName name="TH">#REF!</definedName>
    <definedName name="Time_switches">'Technology Inputs'!$D$159</definedName>
    <definedName name="Total_Operational_Costs" localSheetId="5">'Option A Outcome'!#REF!</definedName>
    <definedName name="Total_Operational_Costs" localSheetId="6">'Option B Outcome'!#REF!</definedName>
    <definedName name="Total_Operational_Costs" localSheetId="7">'Option C Outcome'!#REF!</definedName>
    <definedName name="Traffic_lights">'Technology Inputs'!$D$146:$D$147</definedName>
    <definedName name="Transformers">'Technology Inputs'!$D$160:$D$164</definedName>
    <definedName name="TW">#REF!</definedName>
    <definedName name="Unit_cost">[7]Dashboard!$D$27</definedName>
    <definedName name="Ventilation">'Technology Inputs'!$D$165:$D$170</definedName>
    <definedName name="Ventilation_ancillary">'Existing Assets'!$D$31:$D$33</definedName>
    <definedName name="Ventilation_System">'Existing Assets'!$D$28:$D$30</definedName>
    <definedName name="Voltage_management">'Technology Inputs'!$D$171:$D$172</definedName>
    <definedName name="wall_insulation">'Existing Assets'!$D$60</definedName>
    <definedName name="wrn.Aging._.and._.Trend._.Analysis." hidden="1">{#N/A,#N/A,FALSE,"Aging Summary";#N/A,#N/A,FALSE,"Ratio Analysis";#N/A,#N/A,FALSE,"Test 120 Day Accts";#N/A,#N/A,FALSE,"Tickmarks"}</definedName>
  </definedNames>
  <calcPr calcId="191028"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39" l="1"/>
  <c r="N15" i="37" l="1"/>
  <c r="N16" i="37"/>
  <c r="N17" i="37"/>
  <c r="N18" i="37"/>
  <c r="N19" i="37"/>
  <c r="N20" i="37"/>
  <c r="N21" i="37"/>
  <c r="N22" i="37"/>
  <c r="N14" i="37"/>
  <c r="J19" i="37" l="1"/>
  <c r="F16" i="29" l="1"/>
  <c r="I5" i="46"/>
  <c r="F14" i="29" l="1"/>
  <c r="F15" i="29"/>
  <c r="F17" i="29"/>
  <c r="G14" i="29"/>
  <c r="G15" i="29"/>
  <c r="J20" i="37"/>
  <c r="H5" i="37"/>
  <c r="H6" i="37"/>
  <c r="D11" i="29"/>
  <c r="AF15" i="37"/>
  <c r="AF16" i="37"/>
  <c r="AF17" i="37"/>
  <c r="AF18" i="37"/>
  <c r="AF19" i="37"/>
  <c r="AF20" i="37"/>
  <c r="AF21" i="37"/>
  <c r="AF22" i="37"/>
  <c r="AF14" i="37"/>
  <c r="R15" i="37"/>
  <c r="P14" i="37"/>
  <c r="P15" i="37"/>
  <c r="P16" i="37"/>
  <c r="P17" i="37"/>
  <c r="AB24" i="39"/>
  <c r="AA24" i="39"/>
  <c r="Z24" i="39"/>
  <c r="Y24" i="39"/>
  <c r="X24" i="39"/>
  <c r="W24" i="39"/>
  <c r="V24" i="39"/>
  <c r="U24" i="39"/>
  <c r="AC21" i="39"/>
  <c r="AB21" i="39"/>
  <c r="AA21" i="39"/>
  <c r="Z21" i="39"/>
  <c r="Y21" i="39"/>
  <c r="X21" i="39"/>
  <c r="W21" i="39"/>
  <c r="V21" i="39"/>
  <c r="U21" i="39"/>
  <c r="AA15" i="39"/>
  <c r="Z15" i="39"/>
  <c r="Y15" i="39"/>
  <c r="X15" i="39"/>
  <c r="W15" i="39"/>
  <c r="V15" i="39"/>
  <c r="U15" i="39"/>
  <c r="U18" i="39"/>
  <c r="V18" i="39"/>
  <c r="W18" i="39"/>
  <c r="X18" i="39"/>
  <c r="Y18" i="39"/>
  <c r="Z18" i="39"/>
  <c r="AA18" i="39"/>
  <c r="AB18" i="39"/>
  <c r="S1" i="38"/>
  <c r="T1" i="38"/>
  <c r="U1" i="38"/>
  <c r="V1" i="38"/>
  <c r="S2" i="38"/>
  <c r="T2" i="38"/>
  <c r="U2" i="38"/>
  <c r="V2" i="38"/>
  <c r="S3" i="38"/>
  <c r="T3" i="38"/>
  <c r="U3" i="38"/>
  <c r="V3" i="38"/>
  <c r="S4" i="38"/>
  <c r="T4" i="38"/>
  <c r="U4" i="38"/>
  <c r="V4" i="38"/>
  <c r="S5" i="38"/>
  <c r="T5" i="38"/>
  <c r="U5" i="38"/>
  <c r="V5" i="38"/>
  <c r="F2" i="18"/>
  <c r="G2" i="18" s="1"/>
  <c r="H2" i="18" s="1"/>
  <c r="I2" i="18" s="1"/>
  <c r="J2" i="18" s="1"/>
  <c r="K2" i="18" s="1"/>
  <c r="L2" i="18" s="1"/>
  <c r="M2" i="18" s="1"/>
  <c r="N2" i="18" s="1"/>
  <c r="O2" i="18" s="1"/>
  <c r="P2" i="18" s="1"/>
  <c r="Q2" i="18" s="1"/>
  <c r="R2" i="18" s="1"/>
  <c r="S2" i="18" s="1"/>
  <c r="T2" i="18" s="1"/>
  <c r="U2" i="18" s="1"/>
  <c r="V2" i="18" s="1"/>
  <c r="W2" i="18" s="1"/>
  <c r="X2" i="18" s="1"/>
  <c r="Y2" i="18" s="1"/>
  <c r="Z2" i="18" s="1"/>
  <c r="AA2" i="18" s="1"/>
  <c r="AB2" i="18" s="1"/>
  <c r="AC2" i="18" s="1"/>
  <c r="AD2" i="18" s="1"/>
  <c r="D20" i="32"/>
  <c r="E20" i="32" s="1"/>
  <c r="F20" i="32" s="1"/>
  <c r="G20" i="32" s="1"/>
  <c r="H20" i="32" s="1"/>
  <c r="I20" i="32" s="1"/>
  <c r="J20" i="32" s="1"/>
  <c r="K20" i="32" s="1"/>
  <c r="L20" i="32" s="1"/>
  <c r="M20" i="32" s="1"/>
  <c r="N20" i="32" s="1"/>
  <c r="O20" i="32" s="1"/>
  <c r="P20" i="32" s="1"/>
  <c r="Q20" i="32" s="1"/>
  <c r="R20" i="32" s="1"/>
  <c r="S20" i="32" s="1"/>
  <c r="T20" i="32" s="1"/>
  <c r="U20" i="32" s="1"/>
  <c r="V20" i="32" s="1"/>
  <c r="W20" i="32" s="1"/>
  <c r="X20" i="32" s="1"/>
  <c r="J16" i="39" l="1"/>
  <c r="J15" i="37"/>
  <c r="V14" i="37" l="1"/>
  <c r="T14" i="37"/>
  <c r="G17" i="29"/>
  <c r="G16" i="29"/>
  <c r="E18" i="29" l="1"/>
  <c r="D18" i="29"/>
  <c r="H6" i="45" l="1"/>
  <c r="H5" i="45"/>
  <c r="H6" i="42"/>
  <c r="H5" i="42"/>
  <c r="H6" i="32"/>
  <c r="H5" i="32"/>
  <c r="I4" i="46"/>
  <c r="H6" i="39"/>
  <c r="H5" i="39"/>
  <c r="Z15" i="37"/>
  <c r="Z16" i="37"/>
  <c r="Z17" i="37"/>
  <c r="Z18" i="37"/>
  <c r="Z19" i="37"/>
  <c r="Z20" i="37"/>
  <c r="Z21" i="37"/>
  <c r="Z22" i="37"/>
  <c r="Z14" i="37"/>
  <c r="M13" i="45" l="1"/>
  <c r="M12" i="45"/>
  <c r="M13" i="42"/>
  <c r="M12" i="42"/>
  <c r="M13" i="32"/>
  <c r="M12" i="32"/>
  <c r="B8" i="43" l="1"/>
  <c r="B9" i="43"/>
  <c r="B10" i="43"/>
  <c r="B11" i="43"/>
  <c r="B12" i="43"/>
  <c r="B13" i="43"/>
  <c r="B14" i="43"/>
  <c r="B15" i="43"/>
  <c r="B7" i="43"/>
  <c r="B8" i="40"/>
  <c r="O8" i="40" s="1"/>
  <c r="B9" i="40"/>
  <c r="O9" i="40" s="1"/>
  <c r="B10" i="40"/>
  <c r="B11" i="40"/>
  <c r="B12" i="40"/>
  <c r="B13" i="40"/>
  <c r="B14" i="40"/>
  <c r="B15" i="40"/>
  <c r="B7" i="40"/>
  <c r="O7" i="40" s="1"/>
  <c r="B8" i="28"/>
  <c r="B9" i="28"/>
  <c r="B10" i="28"/>
  <c r="B11" i="28"/>
  <c r="B12" i="28"/>
  <c r="B13" i="28"/>
  <c r="B14" i="28"/>
  <c r="B15" i="28"/>
  <c r="B7" i="28"/>
  <c r="C17" i="46"/>
  <c r="D17" i="46"/>
  <c r="C10" i="46"/>
  <c r="D10" i="46"/>
  <c r="C11" i="46"/>
  <c r="D11" i="46"/>
  <c r="C12" i="46"/>
  <c r="D12" i="46"/>
  <c r="C13" i="46"/>
  <c r="D13" i="46"/>
  <c r="C14" i="46"/>
  <c r="D14" i="46"/>
  <c r="C15" i="46"/>
  <c r="D15" i="46"/>
  <c r="C16" i="46"/>
  <c r="D16" i="46"/>
  <c r="D9" i="46"/>
  <c r="C9" i="46"/>
  <c r="R22" i="37"/>
  <c r="P22" i="37"/>
  <c r="J22" i="37"/>
  <c r="R21" i="37"/>
  <c r="P21" i="37"/>
  <c r="J21" i="37"/>
  <c r="R20" i="37"/>
  <c r="P20" i="37"/>
  <c r="R19" i="37"/>
  <c r="P19" i="37"/>
  <c r="R18" i="37"/>
  <c r="P18" i="37"/>
  <c r="J18" i="37"/>
  <c r="R17" i="37"/>
  <c r="J17" i="37"/>
  <c r="R16" i="37"/>
  <c r="J16" i="37"/>
  <c r="R14" i="37"/>
  <c r="J14" i="37"/>
  <c r="AC12" i="37"/>
  <c r="U11" i="37"/>
  <c r="V22" i="37" s="1"/>
  <c r="S11" i="37"/>
  <c r="E35" i="46"/>
  <c r="E37" i="46"/>
  <c r="E44" i="46"/>
  <c r="H21" i="39"/>
  <c r="I21" i="39"/>
  <c r="H24" i="39"/>
  <c r="I24" i="39"/>
  <c r="H27" i="39"/>
  <c r="I27" i="39"/>
  <c r="H30" i="39"/>
  <c r="I30" i="39"/>
  <c r="H33" i="39"/>
  <c r="I33" i="39"/>
  <c r="H36" i="39"/>
  <c r="I36" i="39"/>
  <c r="G36" i="39"/>
  <c r="G33" i="39"/>
  <c r="G30" i="39"/>
  <c r="G27" i="39"/>
  <c r="G24" i="39"/>
  <c r="G21" i="39"/>
  <c r="H18" i="39"/>
  <c r="I18" i="39"/>
  <c r="G18" i="39"/>
  <c r="H15" i="39"/>
  <c r="I15" i="39"/>
  <c r="I12" i="39"/>
  <c r="H12" i="39"/>
  <c r="G12" i="39"/>
  <c r="Q14" i="40" l="1"/>
  <c r="O14" i="40"/>
  <c r="Q15" i="43"/>
  <c r="O15" i="43"/>
  <c r="U15" i="43"/>
  <c r="Q14" i="43"/>
  <c r="O14" i="43"/>
  <c r="Q15" i="28"/>
  <c r="O15" i="28"/>
  <c r="U15" i="28"/>
  <c r="O14" i="28"/>
  <c r="Q14" i="28"/>
  <c r="U15" i="40"/>
  <c r="Q15" i="40"/>
  <c r="O15" i="40"/>
  <c r="Q12" i="40"/>
  <c r="O12" i="40"/>
  <c r="Q13" i="43"/>
  <c r="O13" i="43"/>
  <c r="Q13" i="28"/>
  <c r="O13" i="28"/>
  <c r="O12" i="43"/>
  <c r="Q12" i="43"/>
  <c r="O13" i="40"/>
  <c r="Q13" i="40"/>
  <c r="Q12" i="28"/>
  <c r="O12" i="28"/>
  <c r="O11" i="40"/>
  <c r="O11" i="43"/>
  <c r="Q8" i="43"/>
  <c r="O8" i="43"/>
  <c r="Q10" i="40"/>
  <c r="O10" i="40"/>
  <c r="U7" i="43"/>
  <c r="Q7" i="43"/>
  <c r="O7" i="43"/>
  <c r="S7" i="43"/>
  <c r="O9" i="43"/>
  <c r="Q9" i="43"/>
  <c r="O10" i="28"/>
  <c r="Q10" i="28"/>
  <c r="O10" i="43"/>
  <c r="Q10" i="43"/>
  <c r="Q11" i="40"/>
  <c r="Q9" i="40"/>
  <c r="Q8" i="40"/>
  <c r="S7" i="40"/>
  <c r="U7" i="40"/>
  <c r="Q7" i="40"/>
  <c r="Q11" i="43"/>
  <c r="O11" i="28"/>
  <c r="Q11" i="28"/>
  <c r="Q9" i="28"/>
  <c r="O9" i="28"/>
  <c r="Q8" i="28"/>
  <c r="O8" i="28"/>
  <c r="U7" i="28"/>
  <c r="S7" i="28"/>
  <c r="Q7" i="28"/>
  <c r="O7" i="28"/>
  <c r="J21" i="39"/>
  <c r="G18" i="29"/>
  <c r="V21" i="37"/>
  <c r="U14" i="43" s="1"/>
  <c r="V16" i="37"/>
  <c r="U9" i="28" s="1"/>
  <c r="V20" i="37"/>
  <c r="U13" i="28" s="1"/>
  <c r="V17" i="37"/>
  <c r="U10" i="28" s="1"/>
  <c r="P23" i="37"/>
  <c r="V15" i="37"/>
  <c r="U8" i="43" s="1"/>
  <c r="V19" i="37"/>
  <c r="U12" i="40" s="1"/>
  <c r="V18" i="37"/>
  <c r="U11" i="40" s="1"/>
  <c r="T20" i="37"/>
  <c r="S13" i="28" s="1"/>
  <c r="T21" i="37"/>
  <c r="S14" i="28" s="1"/>
  <c r="T22" i="37"/>
  <c r="S15" i="43" s="1"/>
  <c r="T19" i="37"/>
  <c r="S12" i="40" s="1"/>
  <c r="R23" i="37"/>
  <c r="N23" i="37"/>
  <c r="T15" i="37"/>
  <c r="S8" i="28" s="1"/>
  <c r="T17" i="37"/>
  <c r="S10" i="28" s="1"/>
  <c r="J12" i="39"/>
  <c r="T16" i="37"/>
  <c r="S9" i="40" s="1"/>
  <c r="T18" i="37"/>
  <c r="S11" i="40" s="1"/>
  <c r="J27" i="39"/>
  <c r="J30" i="39"/>
  <c r="J24" i="39"/>
  <c r="J33" i="39"/>
  <c r="J18" i="39"/>
  <c r="J36" i="39"/>
  <c r="S14" i="43" l="1"/>
  <c r="S14" i="40"/>
  <c r="S15" i="40"/>
  <c r="S15" i="28"/>
  <c r="U14" i="40"/>
  <c r="U14" i="28"/>
  <c r="S12" i="43"/>
  <c r="U12" i="43"/>
  <c r="S11" i="43"/>
  <c r="U13" i="43"/>
  <c r="S10" i="40"/>
  <c r="S8" i="40"/>
  <c r="U11" i="28"/>
  <c r="U10" i="40"/>
  <c r="S12" i="28"/>
  <c r="U12" i="28"/>
  <c r="S13" i="43"/>
  <c r="S10" i="43"/>
  <c r="S9" i="43"/>
  <c r="U10" i="43"/>
  <c r="S13" i="40"/>
  <c r="U8" i="40"/>
  <c r="U13" i="40"/>
  <c r="U9" i="43"/>
  <c r="U8" i="28"/>
  <c r="U9" i="40"/>
  <c r="U11" i="43"/>
  <c r="S9" i="28"/>
  <c r="S8" i="43"/>
  <c r="S11" i="28"/>
  <c r="AD21" i="37"/>
  <c r="AD19" i="37"/>
  <c r="AD16" i="37"/>
  <c r="AD22" i="37"/>
  <c r="AD15" i="37"/>
  <c r="AD20" i="37"/>
  <c r="V23" i="37"/>
  <c r="AD18" i="37"/>
  <c r="AD17" i="37"/>
  <c r="T23" i="37"/>
  <c r="AD14" i="37"/>
  <c r="AG18" i="37" l="1"/>
  <c r="AH18" i="37"/>
  <c r="AG20" i="37"/>
  <c r="AH20" i="37"/>
  <c r="AG15" i="37"/>
  <c r="AH15" i="37"/>
  <c r="AG21" i="37"/>
  <c r="AH21" i="37"/>
  <c r="AG22" i="37"/>
  <c r="AH22" i="37"/>
  <c r="AG17" i="37"/>
  <c r="AH17" i="37"/>
  <c r="AG16" i="37"/>
  <c r="AH16" i="37"/>
  <c r="AG14" i="37"/>
  <c r="AH14" i="37"/>
  <c r="AG19" i="37"/>
  <c r="AH19" i="37"/>
  <c r="AD23" i="37"/>
  <c r="AG23" i="37" l="1"/>
  <c r="AH23" i="37" s="1"/>
  <c r="D61" i="45"/>
  <c r="C52" i="45"/>
  <c r="C51" i="45"/>
  <c r="Y48" i="45"/>
  <c r="X45" i="45"/>
  <c r="W45" i="45"/>
  <c r="V45" i="45"/>
  <c r="Y44" i="45"/>
  <c r="Y41" i="45"/>
  <c r="C40" i="45"/>
  <c r="C39" i="45"/>
  <c r="Y36" i="45"/>
  <c r="Y35" i="45"/>
  <c r="X34" i="45"/>
  <c r="W34" i="45"/>
  <c r="V34" i="45"/>
  <c r="U34" i="45"/>
  <c r="C34" i="45"/>
  <c r="X33" i="45"/>
  <c r="W33" i="45"/>
  <c r="V33" i="45"/>
  <c r="U33" i="45"/>
  <c r="C33" i="45"/>
  <c r="X32" i="45"/>
  <c r="W32" i="45"/>
  <c r="V32" i="45"/>
  <c r="U32" i="45"/>
  <c r="X31" i="45"/>
  <c r="W31" i="45"/>
  <c r="V31" i="45"/>
  <c r="U31" i="45"/>
  <c r="Y30" i="45"/>
  <c r="X28" i="45"/>
  <c r="W28" i="45"/>
  <c r="V28" i="45"/>
  <c r="U28" i="45"/>
  <c r="D28" i="45"/>
  <c r="C27" i="45"/>
  <c r="C26" i="45"/>
  <c r="D24" i="45"/>
  <c r="E24" i="45" s="1"/>
  <c r="F24" i="45" s="1"/>
  <c r="G24" i="45" s="1"/>
  <c r="H24" i="45" s="1"/>
  <c r="I24" i="45" s="1"/>
  <c r="J24" i="45" s="1"/>
  <c r="K24" i="45" s="1"/>
  <c r="L24" i="45" s="1"/>
  <c r="M24" i="45" s="1"/>
  <c r="N24" i="45" s="1"/>
  <c r="O24" i="45" s="1"/>
  <c r="P24" i="45" s="1"/>
  <c r="Q24" i="45" s="1"/>
  <c r="R24" i="45" s="1"/>
  <c r="S24" i="45" s="1"/>
  <c r="T24" i="45" s="1"/>
  <c r="U24" i="45" s="1"/>
  <c r="V24" i="45" s="1"/>
  <c r="W24" i="45" s="1"/>
  <c r="X24" i="45" s="1"/>
  <c r="X20" i="45"/>
  <c r="W20" i="45"/>
  <c r="V20" i="45"/>
  <c r="U20" i="45"/>
  <c r="T20" i="45"/>
  <c r="S20" i="45"/>
  <c r="R20" i="45"/>
  <c r="Q20" i="45"/>
  <c r="P20" i="45"/>
  <c r="O20" i="45"/>
  <c r="N20" i="45"/>
  <c r="M20" i="45"/>
  <c r="L20" i="45"/>
  <c r="K20" i="45"/>
  <c r="J20" i="45"/>
  <c r="I20" i="45"/>
  <c r="H20" i="45"/>
  <c r="G20" i="45"/>
  <c r="F20" i="45"/>
  <c r="E20" i="45"/>
  <c r="D20" i="45"/>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S34" i="44"/>
  <c r="M32" i="44"/>
  <c r="H32" i="44"/>
  <c r="G32" i="44"/>
  <c r="F32" i="44"/>
  <c r="E32" i="44"/>
  <c r="M31" i="44"/>
  <c r="K31" i="44"/>
  <c r="A31" i="44"/>
  <c r="M29" i="44"/>
  <c r="H29" i="44"/>
  <c r="G29" i="44"/>
  <c r="F29" i="44"/>
  <c r="E29" i="44"/>
  <c r="D29" i="44"/>
  <c r="M28" i="44"/>
  <c r="K28" i="44"/>
  <c r="G28" i="44"/>
  <c r="A28" i="44"/>
  <c r="M26" i="44"/>
  <c r="H26" i="44"/>
  <c r="G26" i="44"/>
  <c r="F26" i="44"/>
  <c r="E26" i="44"/>
  <c r="M25" i="44"/>
  <c r="K25" i="44"/>
  <c r="A25" i="44"/>
  <c r="M23" i="44"/>
  <c r="H23" i="44"/>
  <c r="G23" i="44"/>
  <c r="F23" i="44"/>
  <c r="E23" i="44"/>
  <c r="M22" i="44"/>
  <c r="K22" i="44"/>
  <c r="A22" i="44"/>
  <c r="M20" i="44"/>
  <c r="H20" i="44"/>
  <c r="G20" i="44"/>
  <c r="F20" i="44"/>
  <c r="E20" i="44"/>
  <c r="M19" i="44"/>
  <c r="K19" i="44"/>
  <c r="A19" i="44"/>
  <c r="M17" i="44"/>
  <c r="H17" i="44"/>
  <c r="G17" i="44"/>
  <c r="F17" i="44"/>
  <c r="E17" i="44"/>
  <c r="M16" i="44"/>
  <c r="K16" i="44"/>
  <c r="A16" i="44"/>
  <c r="M14" i="44"/>
  <c r="H14" i="44"/>
  <c r="G14" i="44"/>
  <c r="F14" i="44"/>
  <c r="E14" i="44"/>
  <c r="M13" i="44"/>
  <c r="K13" i="44"/>
  <c r="A13" i="44"/>
  <c r="M11" i="44"/>
  <c r="H11" i="44"/>
  <c r="G11" i="44"/>
  <c r="F11" i="44"/>
  <c r="E11" i="44"/>
  <c r="M10" i="44"/>
  <c r="K10" i="44"/>
  <c r="A10" i="44"/>
  <c r="M8" i="44"/>
  <c r="H8" i="44"/>
  <c r="G8" i="44"/>
  <c r="F8" i="44"/>
  <c r="E8" i="44"/>
  <c r="M7" i="44"/>
  <c r="K7" i="44"/>
  <c r="A7" i="44"/>
  <c r="V15" i="43"/>
  <c r="L15" i="43"/>
  <c r="H31" i="44" s="1"/>
  <c r="K15" i="43"/>
  <c r="G31" i="44" s="1"/>
  <c r="J15" i="43"/>
  <c r="F31" i="44" s="1"/>
  <c r="H15" i="43"/>
  <c r="G15" i="43"/>
  <c r="F15" i="43"/>
  <c r="E15" i="43"/>
  <c r="D32" i="44" s="1"/>
  <c r="D15" i="43"/>
  <c r="AE15" i="43" s="1"/>
  <c r="C15" i="43"/>
  <c r="C31" i="44" s="1"/>
  <c r="V14" i="43"/>
  <c r="L14" i="43"/>
  <c r="H28" i="44" s="1"/>
  <c r="K14" i="43"/>
  <c r="J14" i="43"/>
  <c r="F28" i="44" s="1"/>
  <c r="H14" i="43"/>
  <c r="G14" i="43"/>
  <c r="F14" i="43"/>
  <c r="E14" i="43"/>
  <c r="C29" i="44" s="1"/>
  <c r="D14" i="43"/>
  <c r="AE14" i="43" s="1"/>
  <c r="C14" i="43"/>
  <c r="C28" i="44" s="1"/>
  <c r="V13" i="43"/>
  <c r="L13" i="43"/>
  <c r="H25" i="44" s="1"/>
  <c r="K13" i="43"/>
  <c r="G25" i="44" s="1"/>
  <c r="J13" i="43"/>
  <c r="F25" i="44" s="1"/>
  <c r="H13" i="43"/>
  <c r="G13" i="43"/>
  <c r="F13" i="43"/>
  <c r="E13" i="43"/>
  <c r="D26" i="44" s="1"/>
  <c r="D13" i="43"/>
  <c r="AE13" i="43" s="1"/>
  <c r="C13" i="43"/>
  <c r="C25" i="44" s="1"/>
  <c r="V12" i="43"/>
  <c r="L12" i="43"/>
  <c r="H22" i="44" s="1"/>
  <c r="K12" i="43"/>
  <c r="G22" i="44" s="1"/>
  <c r="J12" i="43"/>
  <c r="F22" i="44" s="1"/>
  <c r="H12" i="43"/>
  <c r="G12" i="43"/>
  <c r="F12" i="43"/>
  <c r="E12" i="43"/>
  <c r="D12" i="43"/>
  <c r="AE12" i="43" s="1"/>
  <c r="C12" i="43"/>
  <c r="C22" i="44" s="1"/>
  <c r="V11" i="43"/>
  <c r="L11" i="43"/>
  <c r="H19" i="44" s="1"/>
  <c r="K11" i="43"/>
  <c r="G19" i="44" s="1"/>
  <c r="J11" i="43"/>
  <c r="F19" i="44" s="1"/>
  <c r="H11" i="43"/>
  <c r="G11" i="43"/>
  <c r="F11" i="43"/>
  <c r="E11" i="43"/>
  <c r="D11" i="43"/>
  <c r="D19" i="44" s="1"/>
  <c r="C11" i="43"/>
  <c r="C19" i="44" s="1"/>
  <c r="V10" i="43"/>
  <c r="L10" i="43"/>
  <c r="H16" i="44" s="1"/>
  <c r="K10" i="43"/>
  <c r="G16" i="44" s="1"/>
  <c r="J10" i="43"/>
  <c r="F16" i="44" s="1"/>
  <c r="H10" i="43"/>
  <c r="G10" i="43"/>
  <c r="F10" i="43"/>
  <c r="E10" i="43"/>
  <c r="D10" i="43"/>
  <c r="C10" i="43"/>
  <c r="C16" i="44" s="1"/>
  <c r="V9" i="43"/>
  <c r="L9" i="43"/>
  <c r="H13" i="44" s="1"/>
  <c r="K9" i="43"/>
  <c r="G13" i="44" s="1"/>
  <c r="J9" i="43"/>
  <c r="F13" i="44" s="1"/>
  <c r="H9" i="43"/>
  <c r="G9" i="43"/>
  <c r="F9" i="43"/>
  <c r="E9" i="43"/>
  <c r="D14" i="44" s="1"/>
  <c r="D9" i="43"/>
  <c r="D13" i="44" s="1"/>
  <c r="C9" i="43"/>
  <c r="C13" i="44" s="1"/>
  <c r="V8" i="43"/>
  <c r="L8" i="43"/>
  <c r="K8" i="43"/>
  <c r="H8" i="43"/>
  <c r="G8" i="43"/>
  <c r="F8" i="43"/>
  <c r="E8" i="43"/>
  <c r="D8" i="43"/>
  <c r="D10" i="44" s="1"/>
  <c r="C8" i="43"/>
  <c r="C10" i="44" s="1"/>
  <c r="V7" i="43"/>
  <c r="L7" i="43"/>
  <c r="H7" i="44" s="1"/>
  <c r="K7" i="43"/>
  <c r="G7" i="44" s="1"/>
  <c r="J7" i="43"/>
  <c r="F7" i="44" s="1"/>
  <c r="H7" i="43"/>
  <c r="G7" i="43"/>
  <c r="F7" i="43"/>
  <c r="E7" i="43"/>
  <c r="D7" i="43"/>
  <c r="AE7" i="43" s="1"/>
  <c r="C7" i="43"/>
  <c r="C7" i="44" s="1"/>
  <c r="AB5" i="43"/>
  <c r="T4" i="43"/>
  <c r="R4" i="43"/>
  <c r="D61" i="42"/>
  <c r="C52" i="42"/>
  <c r="C51" i="42"/>
  <c r="Y48" i="42"/>
  <c r="X45" i="42"/>
  <c r="W45" i="42"/>
  <c r="V45" i="42"/>
  <c r="Y44" i="42"/>
  <c r="Y41" i="42"/>
  <c r="C40" i="42"/>
  <c r="C39" i="42"/>
  <c r="Y36" i="42"/>
  <c r="Y35" i="42"/>
  <c r="X34" i="42"/>
  <c r="W34" i="42"/>
  <c r="V34" i="42"/>
  <c r="U34" i="42"/>
  <c r="C34" i="42"/>
  <c r="X33" i="42"/>
  <c r="W33" i="42"/>
  <c r="V33" i="42"/>
  <c r="U33" i="42"/>
  <c r="C33" i="42"/>
  <c r="X32" i="42"/>
  <c r="W32" i="42"/>
  <c r="V32" i="42"/>
  <c r="U32" i="42"/>
  <c r="X31" i="42"/>
  <c r="W31" i="42"/>
  <c r="V31" i="42"/>
  <c r="U31" i="42"/>
  <c r="Y30" i="42"/>
  <c r="X28" i="42"/>
  <c r="W28" i="42"/>
  <c r="V28" i="42"/>
  <c r="U28" i="42"/>
  <c r="D28" i="42"/>
  <c r="C27" i="42"/>
  <c r="C26" i="42"/>
  <c r="D24" i="42"/>
  <c r="E24" i="42" s="1"/>
  <c r="F24" i="42" s="1"/>
  <c r="G24" i="42" s="1"/>
  <c r="H24" i="42" s="1"/>
  <c r="I24" i="42" s="1"/>
  <c r="J24" i="42" s="1"/>
  <c r="K24" i="42" s="1"/>
  <c r="L24" i="42" s="1"/>
  <c r="M24" i="42" s="1"/>
  <c r="N24" i="42" s="1"/>
  <c r="O24" i="42" s="1"/>
  <c r="P24" i="42" s="1"/>
  <c r="Q24" i="42" s="1"/>
  <c r="R24" i="42" s="1"/>
  <c r="S24" i="42" s="1"/>
  <c r="T24" i="42" s="1"/>
  <c r="U24" i="42" s="1"/>
  <c r="V24" i="42" s="1"/>
  <c r="W24" i="42" s="1"/>
  <c r="X24" i="42" s="1"/>
  <c r="X20" i="42"/>
  <c r="W20" i="42"/>
  <c r="V20" i="42"/>
  <c r="U20" i="42"/>
  <c r="T20" i="42"/>
  <c r="S20" i="42"/>
  <c r="R20" i="42"/>
  <c r="Q20" i="42"/>
  <c r="P20" i="42"/>
  <c r="O20" i="42"/>
  <c r="N20" i="42"/>
  <c r="M20" i="42"/>
  <c r="L20" i="42"/>
  <c r="K20" i="42"/>
  <c r="J20" i="42"/>
  <c r="I20" i="42"/>
  <c r="H20" i="42"/>
  <c r="G20" i="42"/>
  <c r="F20" i="42"/>
  <c r="E20" i="42"/>
  <c r="D20" i="42"/>
  <c r="AR34" i="41"/>
  <c r="AQ34" i="41"/>
  <c r="AP34" i="41"/>
  <c r="AO34" i="41"/>
  <c r="AN34" i="41"/>
  <c r="AM34" i="41"/>
  <c r="AL34" i="41"/>
  <c r="AK34" i="41"/>
  <c r="AJ34" i="41"/>
  <c r="AI34" i="41"/>
  <c r="AH34" i="41"/>
  <c r="AG34" i="41"/>
  <c r="AF34" i="41"/>
  <c r="AE34" i="41"/>
  <c r="AD34" i="41"/>
  <c r="AC34" i="41"/>
  <c r="AB34" i="41"/>
  <c r="AA34" i="41"/>
  <c r="Z34" i="41"/>
  <c r="Y34" i="41"/>
  <c r="X34" i="41"/>
  <c r="W34" i="41"/>
  <c r="V34" i="41"/>
  <c r="U34" i="41"/>
  <c r="T34" i="41"/>
  <c r="S34" i="41"/>
  <c r="M32" i="41"/>
  <c r="H32" i="41"/>
  <c r="G32" i="41"/>
  <c r="F32" i="41"/>
  <c r="E32" i="41"/>
  <c r="D32" i="41"/>
  <c r="M31" i="41"/>
  <c r="K31" i="41"/>
  <c r="D31" i="41"/>
  <c r="C31" i="41"/>
  <c r="A31" i="41"/>
  <c r="M29" i="41"/>
  <c r="H29" i="41"/>
  <c r="G29" i="41"/>
  <c r="F29" i="41"/>
  <c r="E29" i="41"/>
  <c r="M28" i="41"/>
  <c r="K28" i="41"/>
  <c r="A28" i="41"/>
  <c r="M26" i="41"/>
  <c r="H26" i="41"/>
  <c r="G26" i="41"/>
  <c r="F26" i="41"/>
  <c r="E26" i="41"/>
  <c r="M25" i="41"/>
  <c r="K25" i="41"/>
  <c r="A25" i="41"/>
  <c r="M23" i="41"/>
  <c r="H23" i="41"/>
  <c r="G23" i="41"/>
  <c r="F23" i="41"/>
  <c r="E23" i="41"/>
  <c r="M22" i="41"/>
  <c r="K22" i="41"/>
  <c r="A22" i="41"/>
  <c r="M20" i="41"/>
  <c r="H20" i="41"/>
  <c r="G20" i="41"/>
  <c r="F20" i="41"/>
  <c r="E20" i="41"/>
  <c r="M19" i="41"/>
  <c r="K19" i="41"/>
  <c r="A19" i="41"/>
  <c r="M17" i="41"/>
  <c r="H17" i="41"/>
  <c r="G17" i="41"/>
  <c r="F17" i="41"/>
  <c r="E17" i="41"/>
  <c r="M16" i="41"/>
  <c r="K16" i="41"/>
  <c r="A16" i="41"/>
  <c r="M14" i="41"/>
  <c r="H14" i="41"/>
  <c r="G14" i="41"/>
  <c r="F14" i="41"/>
  <c r="E14" i="41"/>
  <c r="M13" i="41"/>
  <c r="K13" i="41"/>
  <c r="A13" i="41"/>
  <c r="M11" i="41"/>
  <c r="H11" i="41"/>
  <c r="G11" i="41"/>
  <c r="F11" i="41"/>
  <c r="E11" i="41"/>
  <c r="M10" i="41"/>
  <c r="K10" i="41"/>
  <c r="A10" i="41"/>
  <c r="M8" i="41"/>
  <c r="H8" i="41"/>
  <c r="G8" i="41"/>
  <c r="F8" i="41"/>
  <c r="E8" i="41"/>
  <c r="M7" i="41"/>
  <c r="K7" i="41"/>
  <c r="A7" i="41"/>
  <c r="V15" i="40"/>
  <c r="L15" i="40"/>
  <c r="H31" i="41" s="1"/>
  <c r="K15" i="40"/>
  <c r="G31" i="41" s="1"/>
  <c r="J15" i="40"/>
  <c r="F31" i="41" s="1"/>
  <c r="H15" i="40"/>
  <c r="G15" i="40"/>
  <c r="F15" i="40"/>
  <c r="E15" i="40"/>
  <c r="C32" i="41" s="1"/>
  <c r="D15" i="40"/>
  <c r="AE15" i="40" s="1"/>
  <c r="C15" i="40"/>
  <c r="V14" i="40"/>
  <c r="L14" i="40"/>
  <c r="H28" i="41" s="1"/>
  <c r="K14" i="40"/>
  <c r="G28" i="41" s="1"/>
  <c r="J14" i="40"/>
  <c r="F28" i="41" s="1"/>
  <c r="H14" i="40"/>
  <c r="G14" i="40"/>
  <c r="F14" i="40"/>
  <c r="E14" i="40"/>
  <c r="D29" i="41" s="1"/>
  <c r="D14" i="40"/>
  <c r="AE14" i="40" s="1"/>
  <c r="C14" i="40"/>
  <c r="C28" i="41" s="1"/>
  <c r="V13" i="40"/>
  <c r="L13" i="40"/>
  <c r="H25" i="41" s="1"/>
  <c r="K13" i="40"/>
  <c r="G25" i="41" s="1"/>
  <c r="J13" i="40"/>
  <c r="F25" i="41" s="1"/>
  <c r="H13" i="40"/>
  <c r="G13" i="40"/>
  <c r="F13" i="40"/>
  <c r="E13" i="40"/>
  <c r="C26" i="41" s="1"/>
  <c r="D13" i="40"/>
  <c r="AE13" i="40" s="1"/>
  <c r="C13" i="40"/>
  <c r="C25" i="41" s="1"/>
  <c r="V12" i="40"/>
  <c r="L12" i="40"/>
  <c r="H22" i="41" s="1"/>
  <c r="K12" i="40"/>
  <c r="G22" i="41" s="1"/>
  <c r="J12" i="40"/>
  <c r="F22" i="41" s="1"/>
  <c r="H12" i="40"/>
  <c r="G12" i="40"/>
  <c r="F12" i="40"/>
  <c r="E12" i="40"/>
  <c r="D12" i="40"/>
  <c r="AE12" i="40" s="1"/>
  <c r="C12" i="40"/>
  <c r="C22" i="41" s="1"/>
  <c r="V11" i="40"/>
  <c r="L11" i="40"/>
  <c r="H19" i="41" s="1"/>
  <c r="K11" i="40"/>
  <c r="G19" i="41" s="1"/>
  <c r="J11" i="40"/>
  <c r="F19" i="41" s="1"/>
  <c r="H11" i="40"/>
  <c r="G11" i="40"/>
  <c r="F11" i="40"/>
  <c r="E11" i="40"/>
  <c r="D11" i="40"/>
  <c r="D19" i="41" s="1"/>
  <c r="C11" i="40"/>
  <c r="C19" i="41" s="1"/>
  <c r="V10" i="40"/>
  <c r="L10" i="40"/>
  <c r="H16" i="41" s="1"/>
  <c r="K10" i="40"/>
  <c r="G16" i="41" s="1"/>
  <c r="J10" i="40"/>
  <c r="F16" i="41" s="1"/>
  <c r="H10" i="40"/>
  <c r="G10" i="40"/>
  <c r="F10" i="40"/>
  <c r="E10" i="40"/>
  <c r="D10" i="40"/>
  <c r="C10" i="40"/>
  <c r="C16" i="41" s="1"/>
  <c r="V9" i="40"/>
  <c r="L9" i="40"/>
  <c r="H13" i="41" s="1"/>
  <c r="K9" i="40"/>
  <c r="G13" i="41" s="1"/>
  <c r="J9" i="40"/>
  <c r="F13" i="41" s="1"/>
  <c r="H9" i="40"/>
  <c r="G9" i="40"/>
  <c r="F9" i="40"/>
  <c r="E9" i="40"/>
  <c r="D9" i="40"/>
  <c r="D13" i="41" s="1"/>
  <c r="C9" i="40"/>
  <c r="C13" i="41" s="1"/>
  <c r="V8" i="40"/>
  <c r="L8" i="40"/>
  <c r="K8" i="40"/>
  <c r="H8" i="40"/>
  <c r="G8" i="40"/>
  <c r="F8" i="40"/>
  <c r="E8" i="40"/>
  <c r="D8" i="40"/>
  <c r="D10" i="41" s="1"/>
  <c r="C8" i="40"/>
  <c r="C10" i="41" s="1"/>
  <c r="V7" i="40"/>
  <c r="L7" i="40"/>
  <c r="H7" i="41" s="1"/>
  <c r="K7" i="40"/>
  <c r="G7" i="41" s="1"/>
  <c r="J7" i="40"/>
  <c r="F7" i="41" s="1"/>
  <c r="H7" i="40"/>
  <c r="G7" i="40"/>
  <c r="F7" i="40"/>
  <c r="E7" i="40"/>
  <c r="D7" i="40"/>
  <c r="D7" i="41" s="1"/>
  <c r="C7" i="40"/>
  <c r="C7" i="41" s="1"/>
  <c r="AB5" i="40"/>
  <c r="T4" i="40"/>
  <c r="R4" i="40"/>
  <c r="M32" i="25"/>
  <c r="M31" i="25"/>
  <c r="M29" i="25"/>
  <c r="M28" i="25"/>
  <c r="M26" i="25"/>
  <c r="M25" i="25"/>
  <c r="M23" i="25"/>
  <c r="M22" i="25"/>
  <c r="M20" i="25"/>
  <c r="M19" i="25"/>
  <c r="M17" i="25"/>
  <c r="M16" i="25"/>
  <c r="M14" i="25"/>
  <c r="M13" i="25"/>
  <c r="M11" i="25"/>
  <c r="M10" i="25"/>
  <c r="M8" i="25"/>
  <c r="M7" i="25"/>
  <c r="H32" i="25"/>
  <c r="G32" i="25"/>
  <c r="F32" i="25"/>
  <c r="E32" i="25"/>
  <c r="H29" i="25"/>
  <c r="G29" i="25"/>
  <c r="F29" i="25"/>
  <c r="E29" i="25"/>
  <c r="H26" i="25"/>
  <c r="G26" i="25"/>
  <c r="F26" i="25"/>
  <c r="E26" i="25"/>
  <c r="H23" i="25"/>
  <c r="G23" i="25"/>
  <c r="F23" i="25"/>
  <c r="E23" i="25"/>
  <c r="H20" i="25"/>
  <c r="G20" i="25"/>
  <c r="F20" i="25"/>
  <c r="E20" i="25"/>
  <c r="H17" i="25"/>
  <c r="G17" i="25"/>
  <c r="F17" i="25"/>
  <c r="E17" i="25"/>
  <c r="H14" i="25"/>
  <c r="G14" i="25"/>
  <c r="F14" i="25"/>
  <c r="E14" i="25"/>
  <c r="H11" i="25"/>
  <c r="G11" i="25"/>
  <c r="F11" i="25"/>
  <c r="E11" i="25"/>
  <c r="F8" i="25"/>
  <c r="G8" i="25"/>
  <c r="H8" i="25"/>
  <c r="E8" i="25"/>
  <c r="E12" i="39"/>
  <c r="D12" i="39"/>
  <c r="E13" i="39"/>
  <c r="D13" i="39"/>
  <c r="E36" i="39"/>
  <c r="D36" i="39"/>
  <c r="D33" i="39"/>
  <c r="E33" i="39"/>
  <c r="E30" i="39"/>
  <c r="D30" i="39"/>
  <c r="E27" i="39"/>
  <c r="D27" i="39"/>
  <c r="E24" i="39"/>
  <c r="D24" i="39"/>
  <c r="E21" i="39"/>
  <c r="D21" i="39"/>
  <c r="E18" i="39"/>
  <c r="D18" i="39"/>
  <c r="E15" i="39"/>
  <c r="D15" i="39"/>
  <c r="D16" i="39"/>
  <c r="E16" i="39"/>
  <c r="AS39" i="39"/>
  <c r="AR39" i="39"/>
  <c r="AQ39" i="39"/>
  <c r="AP39" i="39"/>
  <c r="AO39" i="39"/>
  <c r="AN39" i="39"/>
  <c r="AM39" i="39"/>
  <c r="AL39" i="39"/>
  <c r="AK39" i="39"/>
  <c r="AJ39" i="39"/>
  <c r="AI39" i="39"/>
  <c r="AH39" i="39"/>
  <c r="AG39" i="39"/>
  <c r="AF39" i="39"/>
  <c r="AE39" i="39"/>
  <c r="AD39" i="39"/>
  <c r="AC39" i="39"/>
  <c r="AB39" i="39"/>
  <c r="AA39" i="39"/>
  <c r="Z39" i="39"/>
  <c r="Y39" i="39"/>
  <c r="X39" i="39"/>
  <c r="W39" i="39"/>
  <c r="V39" i="39"/>
  <c r="U39" i="39"/>
  <c r="T39" i="39"/>
  <c r="J37" i="39"/>
  <c r="T37" i="39" s="1"/>
  <c r="L36" i="39"/>
  <c r="T36" i="39"/>
  <c r="B36" i="39"/>
  <c r="J34" i="39"/>
  <c r="T34" i="39" s="1"/>
  <c r="L33" i="39"/>
  <c r="T33" i="39"/>
  <c r="B33" i="39"/>
  <c r="J31" i="39"/>
  <c r="T31" i="39" s="1"/>
  <c r="L30" i="39"/>
  <c r="T30" i="39"/>
  <c r="B30" i="39"/>
  <c r="J28" i="39"/>
  <c r="T28" i="39" s="1"/>
  <c r="L27" i="39"/>
  <c r="T27" i="39"/>
  <c r="B27" i="39"/>
  <c r="J25" i="39"/>
  <c r="T25" i="39" s="1"/>
  <c r="L24" i="39"/>
  <c r="T24" i="39"/>
  <c r="B24" i="39"/>
  <c r="J22" i="39"/>
  <c r="T22" i="39" s="1"/>
  <c r="L21" i="39"/>
  <c r="T21" i="39"/>
  <c r="B21" i="39"/>
  <c r="T19" i="39"/>
  <c r="L18" i="39"/>
  <c r="T18" i="39"/>
  <c r="B18" i="39"/>
  <c r="T16" i="39"/>
  <c r="L15" i="39"/>
  <c r="B15" i="39"/>
  <c r="J13" i="39"/>
  <c r="T13" i="39" s="1"/>
  <c r="L12" i="39"/>
  <c r="B12" i="39"/>
  <c r="C32" i="25"/>
  <c r="C29" i="25"/>
  <c r="D28" i="25"/>
  <c r="C7" i="28"/>
  <c r="D7" i="28"/>
  <c r="E7" i="28"/>
  <c r="F7" i="28"/>
  <c r="G7" i="28"/>
  <c r="H7" i="28"/>
  <c r="J7" i="28"/>
  <c r="F7" i="25" s="1"/>
  <c r="K7" i="28"/>
  <c r="G7" i="25" s="1"/>
  <c r="L7" i="28"/>
  <c r="H7" i="25" s="1"/>
  <c r="V8" i="28"/>
  <c r="V9" i="28"/>
  <c r="V10" i="28"/>
  <c r="V11" i="28"/>
  <c r="V12" i="28"/>
  <c r="V13" i="28"/>
  <c r="V14" i="28"/>
  <c r="V15" i="28"/>
  <c r="V7" i="28"/>
  <c r="C8" i="28"/>
  <c r="C10" i="25" s="1"/>
  <c r="D8" i="28"/>
  <c r="D10" i="25" s="1"/>
  <c r="E8" i="28"/>
  <c r="F8" i="28"/>
  <c r="G8" i="28"/>
  <c r="H8" i="28"/>
  <c r="K8" i="28"/>
  <c r="L8" i="28"/>
  <c r="C9" i="28"/>
  <c r="D9" i="28"/>
  <c r="E9" i="28"/>
  <c r="F9" i="28"/>
  <c r="G9" i="28"/>
  <c r="H9" i="28"/>
  <c r="J9" i="28"/>
  <c r="F13" i="25" s="1"/>
  <c r="K9" i="28"/>
  <c r="G13" i="25" s="1"/>
  <c r="L9" i="28"/>
  <c r="H13" i="25" s="1"/>
  <c r="C10" i="28"/>
  <c r="D10" i="28"/>
  <c r="D16" i="25" s="1"/>
  <c r="E10" i="28"/>
  <c r="F10" i="28"/>
  <c r="G10" i="28"/>
  <c r="H10" i="28"/>
  <c r="J10" i="28"/>
  <c r="F16" i="25" s="1"/>
  <c r="K10" i="28"/>
  <c r="G16" i="25" s="1"/>
  <c r="L10" i="28"/>
  <c r="H16" i="25" s="1"/>
  <c r="C11" i="28"/>
  <c r="D11" i="28"/>
  <c r="E11" i="28"/>
  <c r="F11" i="28"/>
  <c r="G11" i="28"/>
  <c r="H11" i="28"/>
  <c r="J11" i="28"/>
  <c r="F19" i="25" s="1"/>
  <c r="K11" i="28"/>
  <c r="G19" i="25" s="1"/>
  <c r="L11" i="28"/>
  <c r="H19" i="25" s="1"/>
  <c r="C12" i="28"/>
  <c r="C22" i="25" s="1"/>
  <c r="D12" i="28"/>
  <c r="D22" i="25" s="1"/>
  <c r="E12" i="28"/>
  <c r="F12" i="28"/>
  <c r="G12" i="28"/>
  <c r="H12" i="28"/>
  <c r="J12" i="28"/>
  <c r="F22" i="25" s="1"/>
  <c r="K12" i="28"/>
  <c r="G22" i="25" s="1"/>
  <c r="L12" i="28"/>
  <c r="H22" i="25" s="1"/>
  <c r="C13" i="28"/>
  <c r="C25" i="25" s="1"/>
  <c r="D13" i="28"/>
  <c r="D25" i="25" s="1"/>
  <c r="E13" i="28"/>
  <c r="F13" i="28"/>
  <c r="G13" i="28"/>
  <c r="H13" i="28"/>
  <c r="J13" i="28"/>
  <c r="F25" i="25" s="1"/>
  <c r="K13" i="28"/>
  <c r="G25" i="25" s="1"/>
  <c r="L13" i="28"/>
  <c r="H25" i="25" s="1"/>
  <c r="M13" i="28"/>
  <c r="I25" i="25" s="1"/>
  <c r="C14" i="28"/>
  <c r="C28" i="25" s="1"/>
  <c r="D14" i="28"/>
  <c r="E14" i="28"/>
  <c r="E34" i="39" s="1"/>
  <c r="F14" i="28"/>
  <c r="G14" i="28"/>
  <c r="H14" i="28"/>
  <c r="J14" i="28"/>
  <c r="F28" i="25" s="1"/>
  <c r="K14" i="28"/>
  <c r="G28" i="25" s="1"/>
  <c r="L14" i="28"/>
  <c r="H28" i="25" s="1"/>
  <c r="C15" i="28"/>
  <c r="C31" i="25" s="1"/>
  <c r="D15" i="28"/>
  <c r="D31" i="25" s="1"/>
  <c r="E15" i="28"/>
  <c r="E37" i="39" s="1"/>
  <c r="F15" i="28"/>
  <c r="G15" i="28"/>
  <c r="H15" i="28"/>
  <c r="J15" i="28"/>
  <c r="F31" i="25" s="1"/>
  <c r="K15" i="28"/>
  <c r="G31" i="25" s="1"/>
  <c r="L15" i="28"/>
  <c r="H31" i="25" s="1"/>
  <c r="M15" i="40"/>
  <c r="I31" i="41" s="1"/>
  <c r="S31" i="41" s="1"/>
  <c r="I15" i="43"/>
  <c r="M14" i="43"/>
  <c r="I28" i="44" s="1"/>
  <c r="S28" i="44" s="1"/>
  <c r="I14" i="28"/>
  <c r="O37" i="39" s="1"/>
  <c r="Q37" i="39" s="1"/>
  <c r="M13" i="40"/>
  <c r="I25" i="41" s="1"/>
  <c r="S25" i="41" s="1"/>
  <c r="I13" i="43"/>
  <c r="N29" i="44" s="1"/>
  <c r="P29" i="44" s="1"/>
  <c r="AK29" i="44" s="1"/>
  <c r="M12" i="43"/>
  <c r="I22" i="44" s="1"/>
  <c r="S22" i="44" s="1"/>
  <c r="I12" i="28"/>
  <c r="M11" i="28"/>
  <c r="I19" i="25" s="1"/>
  <c r="I11" i="40"/>
  <c r="N20" i="41" s="1"/>
  <c r="P20" i="41" s="1"/>
  <c r="M10" i="28"/>
  <c r="I16" i="25" s="1"/>
  <c r="I10" i="28"/>
  <c r="O22" i="39" s="1"/>
  <c r="Q22" i="39" s="1"/>
  <c r="M9" i="43"/>
  <c r="I13" i="44" s="1"/>
  <c r="I9" i="40"/>
  <c r="N14" i="41" s="1"/>
  <c r="P14" i="41" s="1"/>
  <c r="G15" i="39"/>
  <c r="J15" i="39" s="1"/>
  <c r="T15" i="39" s="1"/>
  <c r="I8" i="28"/>
  <c r="O16" i="39" s="1"/>
  <c r="Q16" i="39" s="1"/>
  <c r="I7" i="28"/>
  <c r="O13" i="39" s="1"/>
  <c r="Q13" i="39" s="1"/>
  <c r="C52" i="32"/>
  <c r="C51" i="32"/>
  <c r="Y48" i="32"/>
  <c r="Y30" i="32"/>
  <c r="Y35" i="32"/>
  <c r="Y36" i="32"/>
  <c r="Y41" i="32"/>
  <c r="Y44" i="32"/>
  <c r="O46" i="32"/>
  <c r="P46" i="32"/>
  <c r="Q46" i="32"/>
  <c r="R46" i="32"/>
  <c r="S46" i="32"/>
  <c r="T46" i="32"/>
  <c r="U46" i="32"/>
  <c r="V46" i="32"/>
  <c r="W46" i="32"/>
  <c r="X46" i="32"/>
  <c r="D32" i="25" l="1"/>
  <c r="C32" i="44"/>
  <c r="C29" i="41"/>
  <c r="D29" i="25"/>
  <c r="D31" i="44"/>
  <c r="P31" i="44" s="1"/>
  <c r="D28" i="41"/>
  <c r="N28" i="41" s="1"/>
  <c r="D28" i="44"/>
  <c r="N28" i="44" s="1"/>
  <c r="D23" i="41"/>
  <c r="D22" i="41"/>
  <c r="N22" i="41" s="1"/>
  <c r="C23" i="41"/>
  <c r="P28" i="44"/>
  <c r="AK28" i="44" s="1"/>
  <c r="AK30" i="44" s="1"/>
  <c r="N31" i="44"/>
  <c r="P28" i="41"/>
  <c r="AP28" i="41" s="1"/>
  <c r="P31" i="41"/>
  <c r="AP31" i="41" s="1"/>
  <c r="N31" i="41"/>
  <c r="P31" i="25"/>
  <c r="N31" i="25"/>
  <c r="N25" i="25"/>
  <c r="P25" i="25"/>
  <c r="P22" i="25"/>
  <c r="N22" i="25"/>
  <c r="P28" i="25"/>
  <c r="N28" i="25"/>
  <c r="Q33" i="39"/>
  <c r="O33" i="39"/>
  <c r="Q15" i="39"/>
  <c r="O15" i="39"/>
  <c r="O27" i="39"/>
  <c r="Q27" i="39"/>
  <c r="O24" i="39"/>
  <c r="Q24" i="39"/>
  <c r="AC24" i="39" s="1"/>
  <c r="O36" i="39"/>
  <c r="Q36" i="39"/>
  <c r="Q21" i="39"/>
  <c r="O21" i="39"/>
  <c r="Q18" i="39"/>
  <c r="AC18" i="39" s="1"/>
  <c r="O18" i="39"/>
  <c r="O30" i="39"/>
  <c r="Q30" i="39"/>
  <c r="O12" i="39"/>
  <c r="Q12" i="39"/>
  <c r="I32" i="41"/>
  <c r="S32" i="41" s="1"/>
  <c r="N10" i="44"/>
  <c r="P10" i="44"/>
  <c r="AE10" i="44" s="1"/>
  <c r="P13" i="44"/>
  <c r="AR13" i="44" s="1"/>
  <c r="N13" i="44"/>
  <c r="P16" i="25"/>
  <c r="N16" i="25"/>
  <c r="P19" i="41"/>
  <c r="AR19" i="41" s="1"/>
  <c r="N19" i="41"/>
  <c r="P13" i="41"/>
  <c r="AD13" i="41" s="1"/>
  <c r="N13" i="41"/>
  <c r="P10" i="41"/>
  <c r="AE10" i="41" s="1"/>
  <c r="N10" i="41"/>
  <c r="P7" i="41"/>
  <c r="N7" i="41"/>
  <c r="N19" i="44"/>
  <c r="P19" i="44"/>
  <c r="T19" i="44" s="1"/>
  <c r="P10" i="25"/>
  <c r="N10" i="25"/>
  <c r="V29" i="42"/>
  <c r="U29" i="42"/>
  <c r="I29" i="41"/>
  <c r="S29" i="41" s="1"/>
  <c r="W19" i="44"/>
  <c r="W29" i="42"/>
  <c r="U29" i="45"/>
  <c r="X29" i="42"/>
  <c r="V29" i="45"/>
  <c r="W29" i="45"/>
  <c r="X29" i="45"/>
  <c r="D23" i="25"/>
  <c r="C26" i="44"/>
  <c r="D31" i="39"/>
  <c r="D26" i="41"/>
  <c r="D23" i="44"/>
  <c r="D25" i="41"/>
  <c r="C23" i="44"/>
  <c r="U19" i="41"/>
  <c r="T13" i="41"/>
  <c r="U10" i="44"/>
  <c r="U13" i="41"/>
  <c r="V13" i="41"/>
  <c r="W13" i="41"/>
  <c r="D22" i="44"/>
  <c r="D25" i="44"/>
  <c r="D11" i="41"/>
  <c r="C26" i="25"/>
  <c r="D26" i="25"/>
  <c r="O16" i="40"/>
  <c r="O16" i="28"/>
  <c r="Q16" i="40"/>
  <c r="D50" i="42" s="1"/>
  <c r="Q16" i="28"/>
  <c r="O16" i="43"/>
  <c r="Q16" i="43"/>
  <c r="I11" i="44"/>
  <c r="S11" i="44" s="1"/>
  <c r="I32" i="44"/>
  <c r="S32" i="44" s="1"/>
  <c r="I29" i="44"/>
  <c r="S29" i="44" s="1"/>
  <c r="AM29" i="44" s="1"/>
  <c r="I14" i="44"/>
  <c r="S14" i="44" s="1"/>
  <c r="I23" i="44"/>
  <c r="S23" i="44" s="1"/>
  <c r="I26" i="44"/>
  <c r="S26" i="44" s="1"/>
  <c r="I26" i="41"/>
  <c r="S26" i="41" s="1"/>
  <c r="I11" i="41"/>
  <c r="S11" i="41" s="1"/>
  <c r="D17" i="44"/>
  <c r="E22" i="39"/>
  <c r="D11" i="25"/>
  <c r="D17" i="41"/>
  <c r="C11" i="25"/>
  <c r="C23" i="25"/>
  <c r="H10" i="25"/>
  <c r="I17" i="41"/>
  <c r="S17" i="41" s="1"/>
  <c r="I17" i="44"/>
  <c r="S17" i="44" s="1"/>
  <c r="G10" i="41"/>
  <c r="G10" i="25"/>
  <c r="AE10" i="40"/>
  <c r="D16" i="41"/>
  <c r="AE10" i="43"/>
  <c r="D16" i="44"/>
  <c r="C17" i="44"/>
  <c r="E28" i="39"/>
  <c r="C17" i="41"/>
  <c r="C8" i="41"/>
  <c r="M15" i="28"/>
  <c r="I31" i="25" s="1"/>
  <c r="E25" i="39"/>
  <c r="D20" i="41"/>
  <c r="M12" i="28"/>
  <c r="I22" i="25" s="1"/>
  <c r="J8" i="28"/>
  <c r="F10" i="25" s="1"/>
  <c r="M11" i="40"/>
  <c r="I19" i="41" s="1"/>
  <c r="S19" i="41" s="1"/>
  <c r="M14" i="40"/>
  <c r="I28" i="41" s="1"/>
  <c r="S28" i="41" s="1"/>
  <c r="M11" i="43"/>
  <c r="I19" i="44" s="1"/>
  <c r="S19" i="44" s="1"/>
  <c r="M9" i="28"/>
  <c r="I13" i="25" s="1"/>
  <c r="D19" i="39"/>
  <c r="I10" i="40"/>
  <c r="N17" i="41" s="1"/>
  <c r="P17" i="41" s="1"/>
  <c r="AE17" i="41" s="1"/>
  <c r="M15" i="43"/>
  <c r="I31" i="44" s="1"/>
  <c r="S31" i="44" s="1"/>
  <c r="M14" i="28"/>
  <c r="I28" i="25" s="1"/>
  <c r="D8" i="25"/>
  <c r="J8" i="40"/>
  <c r="F10" i="41" s="1"/>
  <c r="M13" i="43"/>
  <c r="I25" i="44" s="1"/>
  <c r="S25" i="44" s="1"/>
  <c r="M7" i="28"/>
  <c r="J8" i="43"/>
  <c r="F10" i="44" s="1"/>
  <c r="I14" i="40"/>
  <c r="N32" i="41" s="1"/>
  <c r="P32" i="41" s="1"/>
  <c r="AH32" i="41" s="1"/>
  <c r="I9" i="28"/>
  <c r="O19" i="39" s="1"/>
  <c r="Q19" i="39" s="1"/>
  <c r="V19" i="39" s="1"/>
  <c r="V20" i="39" s="1"/>
  <c r="E19" i="39"/>
  <c r="M7" i="40"/>
  <c r="I7" i="41" s="1"/>
  <c r="S7" i="41" s="1"/>
  <c r="M9" i="40"/>
  <c r="I13" i="41" s="1"/>
  <c r="M10" i="40"/>
  <c r="I16" i="41" s="1"/>
  <c r="S16" i="41" s="1"/>
  <c r="M10" i="43"/>
  <c r="I16" i="44" s="1"/>
  <c r="S16" i="44" s="1"/>
  <c r="E31" i="39"/>
  <c r="C16" i="25"/>
  <c r="D20" i="25"/>
  <c r="D37" i="39"/>
  <c r="M12" i="40"/>
  <c r="I22" i="41" s="1"/>
  <c r="S22" i="41" s="1"/>
  <c r="I13" i="40"/>
  <c r="N29" i="41" s="1"/>
  <c r="P29" i="41" s="1"/>
  <c r="AK29" i="41" s="1"/>
  <c r="M7" i="43"/>
  <c r="D25" i="39"/>
  <c r="I11" i="28"/>
  <c r="O25" i="39" s="1"/>
  <c r="Q25" i="39" s="1"/>
  <c r="AL25" i="39" s="1"/>
  <c r="AE9" i="40"/>
  <c r="I15" i="40"/>
  <c r="I11" i="43"/>
  <c r="N20" i="44" s="1"/>
  <c r="P20" i="44" s="1"/>
  <c r="AL20" i="44" s="1"/>
  <c r="I12" i="43"/>
  <c r="N26" i="44" s="1"/>
  <c r="P26" i="44" s="1"/>
  <c r="AO26" i="44" s="1"/>
  <c r="I13" i="28"/>
  <c r="O34" i="39" s="1"/>
  <c r="Q34" i="39" s="1"/>
  <c r="AO34" i="39" s="1"/>
  <c r="D28" i="39"/>
  <c r="I7" i="43"/>
  <c r="N8" i="44" s="1"/>
  <c r="P8" i="44" s="1"/>
  <c r="AI8" i="44" s="1"/>
  <c r="I8" i="43"/>
  <c r="N11" i="44" s="1"/>
  <c r="P11" i="44" s="1"/>
  <c r="AL11" i="44" s="1"/>
  <c r="I9" i="43"/>
  <c r="N14" i="44" s="1"/>
  <c r="P14" i="44" s="1"/>
  <c r="W14" i="44" s="1"/>
  <c r="I14" i="43"/>
  <c r="N32" i="44" s="1"/>
  <c r="P32" i="44" s="1"/>
  <c r="AN32" i="44" s="1"/>
  <c r="I15" i="28"/>
  <c r="D14" i="41"/>
  <c r="I12" i="40"/>
  <c r="N23" i="41" s="1"/>
  <c r="P23" i="41" s="1"/>
  <c r="AK23" i="41" s="1"/>
  <c r="I10" i="43"/>
  <c r="N17" i="44" s="1"/>
  <c r="P17" i="44" s="1"/>
  <c r="AI17" i="44" s="1"/>
  <c r="I7" i="40"/>
  <c r="N8" i="41" s="1"/>
  <c r="P8" i="41" s="1"/>
  <c r="AA8" i="41" s="1"/>
  <c r="AE9" i="43"/>
  <c r="C17" i="25"/>
  <c r="D22" i="39"/>
  <c r="D34" i="39"/>
  <c r="I8" i="40"/>
  <c r="N11" i="41" s="1"/>
  <c r="P11" i="41" s="1"/>
  <c r="AD11" i="41" s="1"/>
  <c r="D7" i="44"/>
  <c r="D17" i="25"/>
  <c r="I20" i="41"/>
  <c r="S20" i="41" s="1"/>
  <c r="I14" i="41"/>
  <c r="S14" i="41" s="1"/>
  <c r="AH14" i="41" s="1"/>
  <c r="I8" i="41"/>
  <c r="S8" i="41" s="1"/>
  <c r="I8" i="44"/>
  <c r="S8" i="44" s="1"/>
  <c r="AC14" i="40"/>
  <c r="AC14" i="43"/>
  <c r="AF14" i="43" s="1"/>
  <c r="G10" i="44"/>
  <c r="W13" i="44"/>
  <c r="C14" i="44"/>
  <c r="Y24" i="45"/>
  <c r="AC15" i="43"/>
  <c r="AF15" i="43" s="1"/>
  <c r="V13" i="44"/>
  <c r="AE11" i="43"/>
  <c r="H10" i="44"/>
  <c r="T13" i="44"/>
  <c r="Z13" i="44"/>
  <c r="AE29" i="44"/>
  <c r="AE8" i="43"/>
  <c r="D11" i="44"/>
  <c r="C11" i="44"/>
  <c r="D8" i="44"/>
  <c r="C8" i="44"/>
  <c r="C20" i="44"/>
  <c r="D20" i="44"/>
  <c r="AI29" i="44"/>
  <c r="AA29" i="44"/>
  <c r="AD29" i="44"/>
  <c r="AC29" i="44"/>
  <c r="W29" i="44"/>
  <c r="V29" i="44"/>
  <c r="AN29" i="44"/>
  <c r="U29" i="44"/>
  <c r="I20" i="44"/>
  <c r="S20" i="44" s="1"/>
  <c r="AL29" i="44"/>
  <c r="W10" i="44"/>
  <c r="W31" i="44"/>
  <c r="T31" i="44"/>
  <c r="X10" i="44"/>
  <c r="Y31" i="44"/>
  <c r="Z10" i="44"/>
  <c r="AQ29" i="44"/>
  <c r="X29" i="44"/>
  <c r="AF29" i="44"/>
  <c r="AO29" i="44"/>
  <c r="U19" i="44"/>
  <c r="Y29" i="44"/>
  <c r="AG29" i="44"/>
  <c r="AP29" i="44"/>
  <c r="V19" i="44"/>
  <c r="Z29" i="44"/>
  <c r="AH29" i="44"/>
  <c r="AR29" i="44"/>
  <c r="X19" i="44"/>
  <c r="T29" i="44"/>
  <c r="AB29" i="44"/>
  <c r="AJ29" i="44"/>
  <c r="AS34" i="44"/>
  <c r="AL14" i="41"/>
  <c r="Y14" i="41"/>
  <c r="AJ14" i="41"/>
  <c r="W14" i="41"/>
  <c r="V14" i="41"/>
  <c r="AG14" i="41"/>
  <c r="T14" i="41"/>
  <c r="AE14" i="41"/>
  <c r="AP14" i="41"/>
  <c r="AQ14" i="41"/>
  <c r="AD14" i="41"/>
  <c r="AB14" i="41"/>
  <c r="AM14" i="41"/>
  <c r="Z14" i="41"/>
  <c r="AN20" i="41"/>
  <c r="AB20" i="41"/>
  <c r="AQ20" i="41"/>
  <c r="AG20" i="41"/>
  <c r="U20" i="41"/>
  <c r="AC20" i="41"/>
  <c r="AR20" i="41"/>
  <c r="AA20" i="41"/>
  <c r="AP20" i="41"/>
  <c r="Y20" i="41"/>
  <c r="AO20" i="41"/>
  <c r="X20" i="41"/>
  <c r="AK20" i="41"/>
  <c r="T20" i="41"/>
  <c r="AI20" i="41"/>
  <c r="AH20" i="41"/>
  <c r="AF20" i="41"/>
  <c r="AA22" i="41"/>
  <c r="U22" i="41"/>
  <c r="AC15" i="40"/>
  <c r="AA7" i="41"/>
  <c r="AB7" i="41"/>
  <c r="T7" i="41"/>
  <c r="Z7" i="41"/>
  <c r="W7" i="41"/>
  <c r="AC12" i="40"/>
  <c r="W10" i="41"/>
  <c r="C14" i="41"/>
  <c r="AE7" i="40"/>
  <c r="AE11" i="40"/>
  <c r="AF7" i="41"/>
  <c r="AE8" i="40"/>
  <c r="U7" i="41"/>
  <c r="D8" i="41"/>
  <c r="C20" i="41"/>
  <c r="V7" i="41"/>
  <c r="C11" i="41"/>
  <c r="T19" i="41"/>
  <c r="V19" i="41"/>
  <c r="X7" i="41"/>
  <c r="AR31" i="41"/>
  <c r="U31" i="41"/>
  <c r="Y31" i="41"/>
  <c r="X31" i="41"/>
  <c r="H10" i="41"/>
  <c r="Y7" i="41"/>
  <c r="X10" i="41"/>
  <c r="I23" i="41"/>
  <c r="S23" i="41" s="1"/>
  <c r="V31" i="41"/>
  <c r="AO14" i="41"/>
  <c r="X14" i="41"/>
  <c r="AF14" i="41"/>
  <c r="AN14" i="41"/>
  <c r="X13" i="41"/>
  <c r="AA14" i="41"/>
  <c r="AI14" i="41"/>
  <c r="AR14" i="41"/>
  <c r="AM20" i="41"/>
  <c r="AE20" i="41"/>
  <c r="W20" i="41"/>
  <c r="AL20" i="41"/>
  <c r="AD20" i="41"/>
  <c r="V20" i="41"/>
  <c r="Z20" i="41"/>
  <c r="AJ20" i="41"/>
  <c r="X22" i="41"/>
  <c r="U14" i="41"/>
  <c r="AC14" i="41"/>
  <c r="AK14" i="41"/>
  <c r="AO31" i="41"/>
  <c r="AE31" i="41"/>
  <c r="AQ31" i="41"/>
  <c r="AA31" i="41"/>
  <c r="AK31" i="41"/>
  <c r="AB31" i="41"/>
  <c r="AS34" i="41"/>
  <c r="AN31" i="41"/>
  <c r="Y24" i="42"/>
  <c r="O31" i="39"/>
  <c r="Q31" i="39" s="1"/>
  <c r="AM31" i="39" s="1"/>
  <c r="O28" i="39"/>
  <c r="Q28" i="39" s="1"/>
  <c r="AM28" i="39" s="1"/>
  <c r="AR37" i="39"/>
  <c r="U37" i="39"/>
  <c r="AK37" i="39"/>
  <c r="AS37" i="39"/>
  <c r="AN37" i="39"/>
  <c r="AF37" i="39"/>
  <c r="AC37" i="39"/>
  <c r="X37" i="39"/>
  <c r="AQ16" i="39"/>
  <c r="AD16" i="39"/>
  <c r="AC16" i="39"/>
  <c r="AO16" i="39"/>
  <c r="AQ22" i="39"/>
  <c r="AO22" i="39"/>
  <c r="AC22" i="39"/>
  <c r="U22" i="39"/>
  <c r="U23" i="39" s="1"/>
  <c r="AG22" i="39"/>
  <c r="C19" i="25"/>
  <c r="C7" i="25"/>
  <c r="D19" i="25"/>
  <c r="D7" i="25"/>
  <c r="C8" i="25"/>
  <c r="C20" i="25"/>
  <c r="T12" i="39"/>
  <c r="C13" i="25"/>
  <c r="C14" i="25"/>
  <c r="D13" i="25"/>
  <c r="D14" i="25"/>
  <c r="AM13" i="39"/>
  <c r="AE13" i="39"/>
  <c r="W13" i="39"/>
  <c r="AL13" i="39"/>
  <c r="AD13" i="39"/>
  <c r="V13" i="39"/>
  <c r="Y13" i="39"/>
  <c r="AN13" i="39"/>
  <c r="AS13" i="39"/>
  <c r="AK13" i="39"/>
  <c r="AC13" i="39"/>
  <c r="U13" i="39"/>
  <c r="AO13" i="39"/>
  <c r="AF13" i="39"/>
  <c r="AR13" i="39"/>
  <c r="AJ13" i="39"/>
  <c r="AB13" i="39"/>
  <c r="AG13" i="39"/>
  <c r="X13" i="39"/>
  <c r="AQ13" i="39"/>
  <c r="AI13" i="39"/>
  <c r="AA13" i="39"/>
  <c r="AP13" i="39"/>
  <c r="AH13" i="39"/>
  <c r="Z13" i="39"/>
  <c r="AR16" i="39"/>
  <c r="AJ16" i="39"/>
  <c r="AB16" i="39"/>
  <c r="AP16" i="39"/>
  <c r="AH16" i="39"/>
  <c r="Z16" i="39"/>
  <c r="AN16" i="39"/>
  <c r="AF16" i="39"/>
  <c r="X16" i="39"/>
  <c r="AE16" i="39"/>
  <c r="AS16" i="39"/>
  <c r="U16" i="39"/>
  <c r="AG16" i="39"/>
  <c r="X22" i="39"/>
  <c r="X23" i="39" s="1"/>
  <c r="AK22" i="39"/>
  <c r="V16" i="39"/>
  <c r="AI16" i="39"/>
  <c r="Y22" i="39"/>
  <c r="Y23" i="39" s="1"/>
  <c r="AM22" i="39"/>
  <c r="W16" i="39"/>
  <c r="AK16" i="39"/>
  <c r="AA22" i="39"/>
  <c r="AN22" i="39"/>
  <c r="Y16" i="39"/>
  <c r="AL16" i="39"/>
  <c r="AA16" i="39"/>
  <c r="AM16" i="39"/>
  <c r="AE22" i="39"/>
  <c r="AT39" i="39"/>
  <c r="AL22" i="39"/>
  <c r="AD22" i="39"/>
  <c r="V22" i="39"/>
  <c r="V23" i="39" s="1"/>
  <c r="AR22" i="39"/>
  <c r="AJ22" i="39"/>
  <c r="AB22" i="39"/>
  <c r="AP22" i="39"/>
  <c r="AH22" i="39"/>
  <c r="Z22" i="39"/>
  <c r="AF22" i="39"/>
  <c r="AS22" i="39"/>
  <c r="W22" i="39"/>
  <c r="W23" i="39" s="1"/>
  <c r="AI22" i="39"/>
  <c r="V37" i="39"/>
  <c r="AD37" i="39"/>
  <c r="AL37" i="39"/>
  <c r="W37" i="39"/>
  <c r="AE37" i="39"/>
  <c r="AM37" i="39"/>
  <c r="Y37" i="39"/>
  <c r="AG37" i="39"/>
  <c r="AO37" i="39"/>
  <c r="Z37" i="39"/>
  <c r="AH37" i="39"/>
  <c r="AP37" i="39"/>
  <c r="AA37" i="39"/>
  <c r="AI37" i="39"/>
  <c r="AQ37" i="39"/>
  <c r="AB37" i="39"/>
  <c r="AJ37" i="39"/>
  <c r="X13" i="44" l="1"/>
  <c r="U13" i="44"/>
  <c r="V10" i="44"/>
  <c r="T10" i="44"/>
  <c r="AC12" i="39"/>
  <c r="AC14" i="39" s="1"/>
  <c r="Y12" i="39"/>
  <c r="Y14" i="39" s="1"/>
  <c r="U12" i="39"/>
  <c r="U14" i="39" s="1"/>
  <c r="AA12" i="39"/>
  <c r="AA14" i="39" s="1"/>
  <c r="W12" i="39"/>
  <c r="W14" i="39" s="1"/>
  <c r="X12" i="39"/>
  <c r="X14" i="39" s="1"/>
  <c r="Z12" i="39"/>
  <c r="Z14" i="39" s="1"/>
  <c r="V12" i="39"/>
  <c r="V14" i="39" s="1"/>
  <c r="AB12" i="39"/>
  <c r="AB14" i="39" s="1"/>
  <c r="AC7" i="41"/>
  <c r="AB10" i="44"/>
  <c r="X19" i="41"/>
  <c r="X21" i="41" s="1"/>
  <c r="W19" i="41"/>
  <c r="AN31" i="44"/>
  <c r="AN33" i="44" s="1"/>
  <c r="AH31" i="44"/>
  <c r="AJ31" i="44"/>
  <c r="AK31" i="44"/>
  <c r="AG31" i="44"/>
  <c r="AC15" i="39"/>
  <c r="AB15" i="39"/>
  <c r="AB17" i="39" s="1"/>
  <c r="AF31" i="44"/>
  <c r="AI31" i="44"/>
  <c r="AM31" i="44"/>
  <c r="AL31" i="44"/>
  <c r="AO31" i="44"/>
  <c r="AD31" i="44"/>
  <c r="AC31" i="44"/>
  <c r="AC31" i="41"/>
  <c r="AI31" i="41"/>
  <c r="AM31" i="41"/>
  <c r="AG31" i="41"/>
  <c r="AF31" i="41"/>
  <c r="AP31" i="44"/>
  <c r="V31" i="44"/>
  <c r="AA31" i="44"/>
  <c r="AB31" i="44"/>
  <c r="AE31" i="44"/>
  <c r="AH31" i="41"/>
  <c r="AH33" i="41" s="1"/>
  <c r="AL31" i="41"/>
  <c r="Z31" i="41"/>
  <c r="W31" i="41"/>
  <c r="T31" i="41"/>
  <c r="AJ31" i="41"/>
  <c r="AD31" i="41"/>
  <c r="Z31" i="44"/>
  <c r="U31" i="44"/>
  <c r="X31" i="44"/>
  <c r="AQ31" i="44"/>
  <c r="AR31" i="44"/>
  <c r="AG14" i="40"/>
  <c r="AA28" i="41"/>
  <c r="U34" i="39"/>
  <c r="AE34" i="39"/>
  <c r="Z34" i="39"/>
  <c r="AC28" i="41"/>
  <c r="AL28" i="41"/>
  <c r="AK28" i="41"/>
  <c r="AK30" i="41" s="1"/>
  <c r="V28" i="41"/>
  <c r="AG8" i="41"/>
  <c r="AN28" i="41"/>
  <c r="W28" i="41"/>
  <c r="AG28" i="41"/>
  <c r="AI28" i="41"/>
  <c r="AQ28" i="41"/>
  <c r="U28" i="41"/>
  <c r="P22" i="41"/>
  <c r="AO28" i="41"/>
  <c r="T28" i="41"/>
  <c r="AE28" i="41"/>
  <c r="AD28" i="41"/>
  <c r="AB28" i="41"/>
  <c r="AM28" i="41"/>
  <c r="Y28" i="41"/>
  <c r="Z28" i="41"/>
  <c r="AH28" i="41"/>
  <c r="AJ28" i="41"/>
  <c r="AF28" i="41"/>
  <c r="X28" i="41"/>
  <c r="AR28" i="41"/>
  <c r="AM25" i="39"/>
  <c r="AK19" i="44"/>
  <c r="AK7" i="41"/>
  <c r="W22" i="41"/>
  <c r="Z22" i="41"/>
  <c r="V22" i="41"/>
  <c r="AC22" i="41"/>
  <c r="Y22" i="41"/>
  <c r="Y25" i="39"/>
  <c r="Y26" i="39" s="1"/>
  <c r="AD25" i="39"/>
  <c r="AI25" i="39"/>
  <c r="AK25" i="39"/>
  <c r="N23" i="44"/>
  <c r="P23" i="44" s="1"/>
  <c r="AD23" i="44" s="1"/>
  <c r="AI7" i="41"/>
  <c r="N22" i="44"/>
  <c r="P22" i="44"/>
  <c r="AC22" i="44" s="1"/>
  <c r="N25" i="44"/>
  <c r="P25" i="44"/>
  <c r="AD25" i="44" s="1"/>
  <c r="AR23" i="41"/>
  <c r="N25" i="41"/>
  <c r="P25" i="41"/>
  <c r="AB25" i="41" s="1"/>
  <c r="AL23" i="41"/>
  <c r="AD7" i="41"/>
  <c r="AM30" i="39"/>
  <c r="AM32" i="39" s="1"/>
  <c r="AE30" i="39"/>
  <c r="W30" i="39"/>
  <c r="Y30" i="39"/>
  <c r="AF30" i="39"/>
  <c r="AL30" i="39"/>
  <c r="AD30" i="39"/>
  <c r="V30" i="39"/>
  <c r="AO30" i="39"/>
  <c r="AS30" i="39"/>
  <c r="AK30" i="39"/>
  <c r="AC30" i="39"/>
  <c r="U30" i="39"/>
  <c r="AR30" i="39"/>
  <c r="AJ30" i="39"/>
  <c r="AB30" i="39"/>
  <c r="AN30" i="39"/>
  <c r="AQ30" i="39"/>
  <c r="AI30" i="39"/>
  <c r="AA30" i="39"/>
  <c r="AG30" i="39"/>
  <c r="X30" i="39"/>
  <c r="AP30" i="39"/>
  <c r="AH30" i="39"/>
  <c r="Z30" i="39"/>
  <c r="AO24" i="39"/>
  <c r="AG24" i="39"/>
  <c r="AI24" i="39"/>
  <c r="AI26" i="39" s="1"/>
  <c r="AH24" i="39"/>
  <c r="AN24" i="39"/>
  <c r="AF24" i="39"/>
  <c r="AE24" i="39"/>
  <c r="AM24" i="39"/>
  <c r="AL24" i="39"/>
  <c r="AL26" i="39" s="1"/>
  <c r="AD24" i="39"/>
  <c r="AD26" i="39" s="1"/>
  <c r="AS24" i="39"/>
  <c r="AK24" i="39"/>
  <c r="AK26" i="39" s="1"/>
  <c r="AJ24" i="39"/>
  <c r="AQ24" i="39"/>
  <c r="AP24" i="39"/>
  <c r="AR24" i="39"/>
  <c r="AS25" i="39"/>
  <c r="V25" i="39"/>
  <c r="V26" i="39" s="1"/>
  <c r="AN27" i="39"/>
  <c r="AF27" i="39"/>
  <c r="X27" i="39"/>
  <c r="AH27" i="39"/>
  <c r="AG27" i="39"/>
  <c r="AM27" i="39"/>
  <c r="AM29" i="39" s="1"/>
  <c r="AE27" i="39"/>
  <c r="W27" i="39"/>
  <c r="AP27" i="39"/>
  <c r="Z27" i="39"/>
  <c r="AO27" i="39"/>
  <c r="AL27" i="39"/>
  <c r="AD27" i="39"/>
  <c r="V27" i="39"/>
  <c r="AS27" i="39"/>
  <c r="AK27" i="39"/>
  <c r="AC27" i="39"/>
  <c r="U27" i="39"/>
  <c r="Y27" i="39"/>
  <c r="AR27" i="39"/>
  <c r="AJ27" i="39"/>
  <c r="AB27" i="39"/>
  <c r="AQ27" i="39"/>
  <c r="AI27" i="39"/>
  <c r="AA27" i="39"/>
  <c r="X25" i="39"/>
  <c r="X26" i="39" s="1"/>
  <c r="AK18" i="39"/>
  <c r="AE18" i="39"/>
  <c r="AM18" i="39"/>
  <c r="AN18" i="39"/>
  <c r="AR18" i="39"/>
  <c r="AJ18" i="39"/>
  <c r="AD18" i="39"/>
  <c r="AL18" i="39"/>
  <c r="AF18" i="39"/>
  <c r="AS18" i="39"/>
  <c r="AG18" i="39"/>
  <c r="AP18" i="39"/>
  <c r="AH18" i="39"/>
  <c r="AQ18" i="39"/>
  <c r="AI18" i="39"/>
  <c r="AO18" i="39"/>
  <c r="AG25" i="39"/>
  <c r="AA25" i="39"/>
  <c r="AA26" i="39" s="1"/>
  <c r="AP21" i="39"/>
  <c r="AP23" i="39" s="1"/>
  <c r="AH21" i="39"/>
  <c r="AH23" i="39" s="1"/>
  <c r="AF21" i="39"/>
  <c r="AF23" i="39" s="1"/>
  <c r="AJ21" i="39"/>
  <c r="AJ23" i="39" s="1"/>
  <c r="AO21" i="39"/>
  <c r="AO23" i="39" s="1"/>
  <c r="AG21" i="39"/>
  <c r="AG23" i="39" s="1"/>
  <c r="AN21" i="39"/>
  <c r="AN23" i="39" s="1"/>
  <c r="AR21" i="39"/>
  <c r="AM21" i="39"/>
  <c r="AM23" i="39" s="1"/>
  <c r="AE21" i="39"/>
  <c r="AE23" i="39" s="1"/>
  <c r="AI21" i="39"/>
  <c r="AI23" i="39" s="1"/>
  <c r="AL21" i="39"/>
  <c r="AL23" i="39" s="1"/>
  <c r="AD21" i="39"/>
  <c r="AD23" i="39" s="1"/>
  <c r="AS21" i="39"/>
  <c r="AS23" i="39" s="1"/>
  <c r="AK21" i="39"/>
  <c r="AK23" i="39" s="1"/>
  <c r="AQ21" i="39"/>
  <c r="AQ23" i="39" s="1"/>
  <c r="AR15" i="39"/>
  <c r="AR17" i="39" s="1"/>
  <c r="AJ15" i="39"/>
  <c r="AJ17" i="39" s="1"/>
  <c r="AP15" i="39"/>
  <c r="AP17" i="39" s="1"/>
  <c r="AG15" i="39"/>
  <c r="AG17" i="39" s="1"/>
  <c r="AK15" i="39"/>
  <c r="AK17" i="39" s="1"/>
  <c r="AQ15" i="39"/>
  <c r="AQ17" i="39" s="1"/>
  <c r="AI15" i="39"/>
  <c r="AI17" i="39" s="1"/>
  <c r="AH15" i="39"/>
  <c r="AH17" i="39" s="1"/>
  <c r="AO15" i="39"/>
  <c r="AO17" i="39" s="1"/>
  <c r="AD15" i="39"/>
  <c r="AD17" i="39" s="1"/>
  <c r="AN15" i="39"/>
  <c r="AN17" i="39" s="1"/>
  <c r="AF15" i="39"/>
  <c r="AM15" i="39"/>
  <c r="AM17" i="39" s="1"/>
  <c r="AE15" i="39"/>
  <c r="AE17" i="39" s="1"/>
  <c r="AL15" i="39"/>
  <c r="AL17" i="39" s="1"/>
  <c r="AS15" i="39"/>
  <c r="AS17" i="39" s="1"/>
  <c r="AQ12" i="39"/>
  <c r="AQ14" i="39" s="1"/>
  <c r="AI12" i="39"/>
  <c r="AG12" i="39"/>
  <c r="AG14" i="39" s="1"/>
  <c r="AP12" i="39"/>
  <c r="AP14" i="39" s="1"/>
  <c r="AH12" i="39"/>
  <c r="AH14" i="39" s="1"/>
  <c r="AO12" i="39"/>
  <c r="AO14" i="39" s="1"/>
  <c r="AS12" i="39"/>
  <c r="AS14" i="39" s="1"/>
  <c r="AJ12" i="39"/>
  <c r="AJ14" i="39" s="1"/>
  <c r="AN12" i="39"/>
  <c r="AN14" i="39" s="1"/>
  <c r="AF12" i="39"/>
  <c r="AF14" i="39" s="1"/>
  <c r="AK12" i="39"/>
  <c r="AK14" i="39" s="1"/>
  <c r="AM12" i="39"/>
  <c r="AM14" i="39" s="1"/>
  <c r="AE12" i="39"/>
  <c r="AE14" i="39" s="1"/>
  <c r="AL12" i="39"/>
  <c r="AL14" i="39" s="1"/>
  <c r="AD12" i="39"/>
  <c r="AD14" i="39" s="1"/>
  <c r="AR12" i="39"/>
  <c r="AR14" i="39" s="1"/>
  <c r="AS36" i="39"/>
  <c r="AS38" i="39" s="1"/>
  <c r="AK36" i="39"/>
  <c r="AK38" i="39" s="1"/>
  <c r="AC36" i="39"/>
  <c r="AC38" i="39" s="1"/>
  <c r="U36" i="39"/>
  <c r="U38" i="39" s="1"/>
  <c r="AE36" i="39"/>
  <c r="AE38" i="39" s="1"/>
  <c r="V36" i="39"/>
  <c r="AR36" i="39"/>
  <c r="AR38" i="39" s="1"/>
  <c r="AJ36" i="39"/>
  <c r="AJ38" i="39" s="1"/>
  <c r="AB36" i="39"/>
  <c r="AB38" i="39" s="1"/>
  <c r="W36" i="39"/>
  <c r="W38" i="39" s="1"/>
  <c r="AQ36" i="39"/>
  <c r="AQ38" i="39" s="1"/>
  <c r="AI36" i="39"/>
  <c r="AI38" i="39" s="1"/>
  <c r="AA36" i="39"/>
  <c r="AA38" i="39" s="1"/>
  <c r="AP36" i="39"/>
  <c r="AH36" i="39"/>
  <c r="AH38" i="39" s="1"/>
  <c r="Z36" i="39"/>
  <c r="Z38" i="39" s="1"/>
  <c r="AL36" i="39"/>
  <c r="AL38" i="39" s="1"/>
  <c r="AO36" i="39"/>
  <c r="AO38" i="39" s="1"/>
  <c r="AG36" i="39"/>
  <c r="AG38" i="39" s="1"/>
  <c r="Y36" i="39"/>
  <c r="Y38" i="39" s="1"/>
  <c r="AM36" i="39"/>
  <c r="AM38" i="39" s="1"/>
  <c r="AD36" i="39"/>
  <c r="AN36" i="39"/>
  <c r="AN38" i="39" s="1"/>
  <c r="AF36" i="39"/>
  <c r="AF38" i="39" s="1"/>
  <c r="X36" i="39"/>
  <c r="X38" i="39" s="1"/>
  <c r="AJ25" i="39"/>
  <c r="AR25" i="39"/>
  <c r="AL33" i="39"/>
  <c r="AD33" i="39"/>
  <c r="V33" i="39"/>
  <c r="X33" i="39"/>
  <c r="AE33" i="39"/>
  <c r="AS33" i="39"/>
  <c r="AK33" i="39"/>
  <c r="AC33" i="39"/>
  <c r="U33" i="39"/>
  <c r="AF33" i="39"/>
  <c r="AM33" i="39"/>
  <c r="AR33" i="39"/>
  <c r="AJ33" i="39"/>
  <c r="AB33" i="39"/>
  <c r="AQ33" i="39"/>
  <c r="AI33" i="39"/>
  <c r="AA33" i="39"/>
  <c r="AN33" i="39"/>
  <c r="AP33" i="39"/>
  <c r="AH33" i="39"/>
  <c r="Z33" i="39"/>
  <c r="W33" i="39"/>
  <c r="AO33" i="39"/>
  <c r="AG33" i="39"/>
  <c r="Y33" i="39"/>
  <c r="N16" i="41"/>
  <c r="P16" i="41"/>
  <c r="P7" i="44"/>
  <c r="N7" i="44"/>
  <c r="AE7" i="41"/>
  <c r="AR7" i="41"/>
  <c r="AO7" i="41"/>
  <c r="AM7" i="41"/>
  <c r="AN7" i="41"/>
  <c r="AG7" i="41"/>
  <c r="AH7" i="41"/>
  <c r="AJ7" i="41"/>
  <c r="AL7" i="41"/>
  <c r="AQ7" i="41"/>
  <c r="AP7" i="41"/>
  <c r="AJ19" i="39"/>
  <c r="AI19" i="39"/>
  <c r="P16" i="44"/>
  <c r="N16" i="44"/>
  <c r="P19" i="25"/>
  <c r="N19" i="25"/>
  <c r="P7" i="25"/>
  <c r="N7" i="25"/>
  <c r="N13" i="25"/>
  <c r="P13" i="25"/>
  <c r="Y16" i="44"/>
  <c r="Z16" i="44"/>
  <c r="AA16" i="44"/>
  <c r="T23" i="41"/>
  <c r="AF23" i="41"/>
  <c r="AO23" i="41"/>
  <c r="X23" i="41"/>
  <c r="X24" i="41" s="1"/>
  <c r="AO11" i="44"/>
  <c r="AG23" i="41"/>
  <c r="AC23" i="41"/>
  <c r="V23" i="41"/>
  <c r="N26" i="41"/>
  <c r="P26" i="41" s="1"/>
  <c r="V26" i="41" s="1"/>
  <c r="Y23" i="41"/>
  <c r="Y24" i="41" s="1"/>
  <c r="AM23" i="41"/>
  <c r="AJ23" i="41"/>
  <c r="AP23" i="41"/>
  <c r="AN23" i="41"/>
  <c r="AH23" i="41"/>
  <c r="W23" i="41"/>
  <c r="AB23" i="41"/>
  <c r="AE23" i="41"/>
  <c r="Z23" i="41"/>
  <c r="AD23" i="41"/>
  <c r="AI14" i="44"/>
  <c r="AF14" i="44"/>
  <c r="AP14" i="44"/>
  <c r="AL14" i="44"/>
  <c r="X14" i="44"/>
  <c r="X15" i="44" s="1"/>
  <c r="Y14" i="44"/>
  <c r="AE14" i="44"/>
  <c r="AQ14" i="44"/>
  <c r="AM14" i="44"/>
  <c r="AG14" i="44"/>
  <c r="AD14" i="44"/>
  <c r="AH14" i="44"/>
  <c r="AN14" i="44"/>
  <c r="Z14" i="44"/>
  <c r="Z15" i="44" s="1"/>
  <c r="AO14" i="44"/>
  <c r="AA14" i="44"/>
  <c r="AQ25" i="39"/>
  <c r="W25" i="39"/>
  <c r="W26" i="39" s="1"/>
  <c r="Y19" i="39"/>
  <c r="Y20" i="39" s="1"/>
  <c r="AB25" i="39"/>
  <c r="AB26" i="39" s="1"/>
  <c r="AE25" i="39"/>
  <c r="AE26" i="39" s="1"/>
  <c r="AK19" i="39"/>
  <c r="Z25" i="39"/>
  <c r="AE32" i="41"/>
  <c r="AE33" i="41" s="1"/>
  <c r="U25" i="39"/>
  <c r="U26" i="39" s="1"/>
  <c r="AF25" i="39"/>
  <c r="AP25" i="39"/>
  <c r="AO25" i="39"/>
  <c r="AC25" i="39"/>
  <c r="AN25" i="39"/>
  <c r="AH25" i="39"/>
  <c r="AF17" i="39"/>
  <c r="T10" i="41"/>
  <c r="V10" i="41"/>
  <c r="Y17" i="39"/>
  <c r="V17" i="39"/>
  <c r="X17" i="39"/>
  <c r="W17" i="39"/>
  <c r="Z17" i="39"/>
  <c r="U10" i="41"/>
  <c r="AC17" i="39"/>
  <c r="AD22" i="44"/>
  <c r="AA17" i="39"/>
  <c r="AB16" i="44"/>
  <c r="Z19" i="44"/>
  <c r="AQ19" i="39"/>
  <c r="AD19" i="39"/>
  <c r="U15" i="41"/>
  <c r="AB19" i="44"/>
  <c r="AA13" i="44"/>
  <c r="Y19" i="44"/>
  <c r="AP19" i="39"/>
  <c r="AA19" i="44"/>
  <c r="AA23" i="39"/>
  <c r="AC23" i="39"/>
  <c r="AB23" i="39"/>
  <c r="Z23" i="39"/>
  <c r="T14" i="44"/>
  <c r="T15" i="44" s="1"/>
  <c r="AB14" i="44"/>
  <c r="AJ14" i="44"/>
  <c r="AR14" i="44"/>
  <c r="AR15" i="44" s="1"/>
  <c r="U14" i="44"/>
  <c r="AC14" i="44"/>
  <c r="X28" i="39"/>
  <c r="AK14" i="44"/>
  <c r="V14" i="44"/>
  <c r="V15" i="44" s="1"/>
  <c r="AK31" i="39"/>
  <c r="AS31" i="39"/>
  <c r="AD31" i="39"/>
  <c r="W31" i="39"/>
  <c r="Z31" i="39"/>
  <c r="AJ29" i="41"/>
  <c r="AG29" i="41"/>
  <c r="AF29" i="41"/>
  <c r="AE29" i="41"/>
  <c r="AR29" i="41"/>
  <c r="AM29" i="41"/>
  <c r="AN29" i="41"/>
  <c r="AH29" i="41"/>
  <c r="AD32" i="44"/>
  <c r="AD33" i="44" s="1"/>
  <c r="Z32" i="44"/>
  <c r="Z19" i="41"/>
  <c r="Z21" i="41" s="1"/>
  <c r="AC13" i="40"/>
  <c r="AF13" i="40" s="1"/>
  <c r="Z13" i="41"/>
  <c r="Z15" i="41" s="1"/>
  <c r="AA13" i="41"/>
  <c r="AA15" i="41" s="1"/>
  <c r="AB10" i="41"/>
  <c r="Z10" i="41"/>
  <c r="AB19" i="41"/>
  <c r="AB21" i="41" s="1"/>
  <c r="Y19" i="41"/>
  <c r="Y21" i="41" s="1"/>
  <c r="AA19" i="41"/>
  <c r="AA21" i="41" s="1"/>
  <c r="U21" i="41"/>
  <c r="AG19" i="39"/>
  <c r="AS19" i="39"/>
  <c r="AL19" i="39"/>
  <c r="AA32" i="44"/>
  <c r="AM19" i="39"/>
  <c r="T32" i="44"/>
  <c r="T33" i="44" s="1"/>
  <c r="AO19" i="39"/>
  <c r="AA19" i="39"/>
  <c r="X19" i="39"/>
  <c r="X20" i="39" s="1"/>
  <c r="AB17" i="44"/>
  <c r="Z19" i="39"/>
  <c r="W19" i="39"/>
  <c r="W20" i="39" s="1"/>
  <c r="AR19" i="39"/>
  <c r="U19" i="39"/>
  <c r="U20" i="39" s="1"/>
  <c r="AN19" i="39"/>
  <c r="AF19" i="39"/>
  <c r="AF32" i="44"/>
  <c r="AE17" i="44"/>
  <c r="AO17" i="44"/>
  <c r="AH19" i="39"/>
  <c r="AE19" i="39"/>
  <c r="AC19" i="39"/>
  <c r="AB19" i="39"/>
  <c r="V17" i="44"/>
  <c r="AO32" i="44"/>
  <c r="AM17" i="41"/>
  <c r="AM8" i="41"/>
  <c r="AE11" i="44"/>
  <c r="AE12" i="44" s="1"/>
  <c r="AC32" i="41"/>
  <c r="AK32" i="41"/>
  <c r="AK33" i="41" s="1"/>
  <c r="Y17" i="41"/>
  <c r="AP32" i="41"/>
  <c r="AP33" i="41" s="1"/>
  <c r="AQ17" i="41"/>
  <c r="V15" i="41"/>
  <c r="T15" i="41"/>
  <c r="W21" i="41"/>
  <c r="AC12" i="43"/>
  <c r="AF12" i="43" s="1"/>
  <c r="W15" i="41"/>
  <c r="Y32" i="41"/>
  <c r="Y33" i="41" s="1"/>
  <c r="AO32" i="41"/>
  <c r="AO33" i="41" s="1"/>
  <c r="AA32" i="41"/>
  <c r="AA33" i="41" s="1"/>
  <c r="T32" i="41"/>
  <c r="V17" i="41"/>
  <c r="T17" i="41"/>
  <c r="AR8" i="41"/>
  <c r="AQ32" i="41"/>
  <c r="AQ33" i="41" s="1"/>
  <c r="AH34" i="39"/>
  <c r="AK34" i="39"/>
  <c r="X34" i="39"/>
  <c r="AP34" i="39"/>
  <c r="AF32" i="41"/>
  <c r="AN32" i="41"/>
  <c r="AN33" i="41" s="1"/>
  <c r="AB32" i="41"/>
  <c r="AB33" i="41" s="1"/>
  <c r="AF17" i="41"/>
  <c r="AB17" i="41"/>
  <c r="AI8" i="41"/>
  <c r="AF8" i="41"/>
  <c r="AF9" i="41" s="1"/>
  <c r="AO8" i="41"/>
  <c r="U17" i="41"/>
  <c r="I7" i="44"/>
  <c r="S7" i="44" s="1"/>
  <c r="I7" i="25"/>
  <c r="AM34" i="39"/>
  <c r="AF34" i="39"/>
  <c r="U32" i="41"/>
  <c r="U33" i="41" s="1"/>
  <c r="V32" i="41"/>
  <c r="V33" i="41" s="1"/>
  <c r="AJ32" i="41"/>
  <c r="AP17" i="41"/>
  <c r="AJ17" i="41"/>
  <c r="V8" i="41"/>
  <c r="V9" i="41" s="1"/>
  <c r="AB8" i="41"/>
  <c r="AB9" i="41" s="1"/>
  <c r="Z8" i="41"/>
  <c r="Z9" i="41" s="1"/>
  <c r="W17" i="41"/>
  <c r="AC34" i="39"/>
  <c r="AB34" i="39"/>
  <c r="AS34" i="39"/>
  <c r="AA34" i="39"/>
  <c r="V34" i="39"/>
  <c r="AN34" i="39"/>
  <c r="AI34" i="39"/>
  <c r="AR34" i="39"/>
  <c r="AG32" i="41"/>
  <c r="AD32" i="41"/>
  <c r="AR32" i="41"/>
  <c r="AR33" i="41" s="1"/>
  <c r="X17" i="41"/>
  <c r="AR17" i="41"/>
  <c r="AH8" i="41"/>
  <c r="AN17" i="41"/>
  <c r="AD34" i="39"/>
  <c r="AJ34" i="39"/>
  <c r="AM32" i="41"/>
  <c r="W32" i="41"/>
  <c r="AL32" i="41"/>
  <c r="AH17" i="41"/>
  <c r="AJ8" i="41"/>
  <c r="T8" i="41"/>
  <c r="T9" i="41" s="1"/>
  <c r="AQ8" i="41"/>
  <c r="U8" i="41"/>
  <c r="U9" i="41" s="1"/>
  <c r="AK17" i="41"/>
  <c r="AL17" i="41"/>
  <c r="AD17" i="41"/>
  <c r="Y34" i="39"/>
  <c r="AQ34" i="39"/>
  <c r="AL34" i="39"/>
  <c r="AG34" i="39"/>
  <c r="AI32" i="41"/>
  <c r="AI33" i="41" s="1"/>
  <c r="Z32" i="41"/>
  <c r="AA17" i="41"/>
  <c r="AL8" i="41"/>
  <c r="X8" i="41"/>
  <c r="X9" i="41" s="1"/>
  <c r="AD8" i="41"/>
  <c r="AK8" i="41"/>
  <c r="Z17" i="41"/>
  <c r="W34" i="39"/>
  <c r="X32" i="41"/>
  <c r="X33" i="41" s="1"/>
  <c r="AG17" i="41"/>
  <c r="AI17" i="41"/>
  <c r="Y8" i="41"/>
  <c r="Y9" i="41" s="1"/>
  <c r="AO17" i="41"/>
  <c r="W8" i="41"/>
  <c r="W9" i="41" s="1"/>
  <c r="AN8" i="41"/>
  <c r="AC17" i="41"/>
  <c r="U16" i="43"/>
  <c r="AC13" i="43"/>
  <c r="AG13" i="43" s="1"/>
  <c r="U16" i="40"/>
  <c r="W52" i="42" s="1"/>
  <c r="S16" i="43"/>
  <c r="U51" i="45" s="1"/>
  <c r="S16" i="40"/>
  <c r="W51" i="42" s="1"/>
  <c r="AC7" i="40"/>
  <c r="AG7" i="40" s="1"/>
  <c r="AF13" i="44"/>
  <c r="AL13" i="44"/>
  <c r="AC10" i="40"/>
  <c r="AF10" i="40" s="1"/>
  <c r="AP29" i="41"/>
  <c r="AP30" i="41" s="1"/>
  <c r="W29" i="41"/>
  <c r="U29" i="41"/>
  <c r="T29" i="41"/>
  <c r="Y29" i="41"/>
  <c r="AA29" i="41"/>
  <c r="AA30" i="41" s="1"/>
  <c r="X29" i="41"/>
  <c r="AB29" i="41"/>
  <c r="AI29" i="41"/>
  <c r="V29" i="41"/>
  <c r="AQ29" i="41"/>
  <c r="AD29" i="41"/>
  <c r="AO29" i="41"/>
  <c r="AL29" i="41"/>
  <c r="AL30" i="41" s="1"/>
  <c r="Z29" i="41"/>
  <c r="V50" i="42"/>
  <c r="AC9" i="40"/>
  <c r="AF9" i="40" s="1"/>
  <c r="AC10" i="43"/>
  <c r="AF10" i="43" s="1"/>
  <c r="AC8" i="40"/>
  <c r="AL13" i="41"/>
  <c r="AL15" i="41" s="1"/>
  <c r="AI13" i="41"/>
  <c r="AI15" i="41" s="1"/>
  <c r="AQ13" i="41"/>
  <c r="AQ15" i="41" s="1"/>
  <c r="AC28" i="44"/>
  <c r="AC30" i="44" s="1"/>
  <c r="AF13" i="41"/>
  <c r="AF15" i="41" s="1"/>
  <c r="AO13" i="41"/>
  <c r="AO15" i="41" s="1"/>
  <c r="AM17" i="44"/>
  <c r="AF10" i="41"/>
  <c r="U50" i="42"/>
  <c r="AC8" i="43"/>
  <c r="AF8" i="43" s="1"/>
  <c r="AC29" i="41"/>
  <c r="AC9" i="43"/>
  <c r="AG9" i="43" s="1"/>
  <c r="X11" i="41"/>
  <c r="X12" i="41" s="1"/>
  <c r="AH11" i="41"/>
  <c r="AI11" i="41"/>
  <c r="AR11" i="41"/>
  <c r="AP11" i="41"/>
  <c r="AM11" i="41"/>
  <c r="V11" i="41"/>
  <c r="AE11" i="41"/>
  <c r="AE12" i="41" s="1"/>
  <c r="AA11" i="41"/>
  <c r="U11" i="41"/>
  <c r="AJ11" i="41"/>
  <c r="AP11" i="44"/>
  <c r="AQ11" i="41"/>
  <c r="AC11" i="41"/>
  <c r="AO11" i="41"/>
  <c r="W11" i="41"/>
  <c r="W12" i="41" s="1"/>
  <c r="AB11" i="44"/>
  <c r="AK11" i="41"/>
  <c r="AB11" i="41"/>
  <c r="U11" i="44"/>
  <c r="U12" i="44" s="1"/>
  <c r="AF11" i="41"/>
  <c r="Z11" i="41"/>
  <c r="AN11" i="41"/>
  <c r="AG10" i="41"/>
  <c r="AQ10" i="41"/>
  <c r="AE31" i="39"/>
  <c r="AH31" i="39"/>
  <c r="U31" i="39"/>
  <c r="AP31" i="39"/>
  <c r="Y31" i="39"/>
  <c r="AN31" i="39"/>
  <c r="AG31" i="39"/>
  <c r="AL31" i="39"/>
  <c r="AO28" i="39"/>
  <c r="V31" i="39"/>
  <c r="AO31" i="39"/>
  <c r="AA28" i="39"/>
  <c r="AP28" i="39"/>
  <c r="AR28" i="39"/>
  <c r="V28" i="39"/>
  <c r="AB31" i="39"/>
  <c r="AC31" i="39"/>
  <c r="AQ23" i="41"/>
  <c r="AI23" i="41"/>
  <c r="AA23" i="41"/>
  <c r="AA24" i="41" s="1"/>
  <c r="U23" i="41"/>
  <c r="U24" i="41" s="1"/>
  <c r="AE8" i="41"/>
  <c r="Y8" i="44"/>
  <c r="AP8" i="41"/>
  <c r="AC8" i="41"/>
  <c r="AM10" i="41"/>
  <c r="AD10" i="41"/>
  <c r="AD12" i="41" s="1"/>
  <c r="AP10" i="41"/>
  <c r="AL10" i="41"/>
  <c r="AR10" i="41"/>
  <c r="AO10" i="41"/>
  <c r="V8" i="44"/>
  <c r="AH8" i="44"/>
  <c r="AN8" i="44"/>
  <c r="AD8" i="44"/>
  <c r="Z8" i="44"/>
  <c r="AF8" i="44"/>
  <c r="AR8" i="44"/>
  <c r="AL8" i="44"/>
  <c r="X8" i="44"/>
  <c r="U8" i="44"/>
  <c r="AM8" i="44"/>
  <c r="AA8" i="44"/>
  <c r="AQ8" i="44"/>
  <c r="AK8" i="44"/>
  <c r="AO8" i="44"/>
  <c r="AE8" i="44"/>
  <c r="T8" i="44"/>
  <c r="AJ8" i="44"/>
  <c r="AG8" i="44"/>
  <c r="W8" i="44"/>
  <c r="AP8" i="44"/>
  <c r="AH13" i="44"/>
  <c r="AM13" i="44"/>
  <c r="AP13" i="44"/>
  <c r="AE13" i="44"/>
  <c r="AD13" i="44"/>
  <c r="AG13" i="44"/>
  <c r="AJ13" i="44"/>
  <c r="AO13" i="44"/>
  <c r="AB28" i="39"/>
  <c r="AD28" i="39"/>
  <c r="AL17" i="44"/>
  <c r="AB32" i="44"/>
  <c r="AH32" i="44"/>
  <c r="T17" i="44"/>
  <c r="AG17" i="44"/>
  <c r="AJ32" i="44"/>
  <c r="M8" i="43"/>
  <c r="M16" i="43" s="1"/>
  <c r="F4" i="34" s="1"/>
  <c r="C29" i="34" s="1"/>
  <c r="M8" i="40"/>
  <c r="I10" i="41" s="1"/>
  <c r="S10" i="41" s="1"/>
  <c r="AN10" i="41" s="1"/>
  <c r="M8" i="28"/>
  <c r="M16" i="28" s="1"/>
  <c r="AJ28" i="39"/>
  <c r="AL28" i="39"/>
  <c r="AH28" i="39"/>
  <c r="AD17" i="44"/>
  <c r="V32" i="44"/>
  <c r="AP32" i="44"/>
  <c r="AN17" i="44"/>
  <c r="AH17" i="44"/>
  <c r="AK32" i="44"/>
  <c r="U28" i="39"/>
  <c r="AI28" i="39"/>
  <c r="AQ32" i="44"/>
  <c r="AL32" i="44"/>
  <c r="AL33" i="44" s="1"/>
  <c r="AG32" i="44"/>
  <c r="AQ28" i="39"/>
  <c r="W28" i="39"/>
  <c r="AC28" i="39"/>
  <c r="AN28" i="39"/>
  <c r="AI32" i="44"/>
  <c r="AI33" i="44" s="1"/>
  <c r="AF17" i="44"/>
  <c r="AC32" i="44"/>
  <c r="AK17" i="44"/>
  <c r="W32" i="44"/>
  <c r="W33" i="44" s="1"/>
  <c r="Z17" i="44"/>
  <c r="Y17" i="44"/>
  <c r="AK28" i="39"/>
  <c r="Y28" i="39"/>
  <c r="AE28" i="39"/>
  <c r="U32" i="44"/>
  <c r="X17" i="44"/>
  <c r="AC17" i="44"/>
  <c r="AE32" i="44"/>
  <c r="AR17" i="44"/>
  <c r="AA17" i="44"/>
  <c r="AP17" i="44"/>
  <c r="X32" i="44"/>
  <c r="X33" i="44" s="1"/>
  <c r="AC11" i="43"/>
  <c r="AF11" i="43" s="1"/>
  <c r="AF28" i="39"/>
  <c r="Z28" i="39"/>
  <c r="AS28" i="39"/>
  <c r="AG28" i="39"/>
  <c r="AR32" i="44"/>
  <c r="AR33" i="44" s="1"/>
  <c r="U17" i="44"/>
  <c r="AM32" i="44"/>
  <c r="AM33" i="44" s="1"/>
  <c r="AJ17" i="44"/>
  <c r="W17" i="44"/>
  <c r="AQ17" i="44"/>
  <c r="Y32" i="44"/>
  <c r="Y33" i="44" s="1"/>
  <c r="AG11" i="41"/>
  <c r="AB8" i="44"/>
  <c r="X26" i="44"/>
  <c r="AD20" i="44"/>
  <c r="AN20" i="44"/>
  <c r="AJ20" i="44"/>
  <c r="AO20" i="44"/>
  <c r="X20" i="44"/>
  <c r="X21" i="44" s="1"/>
  <c r="AI20" i="44"/>
  <c r="AG20" i="44"/>
  <c r="AE20" i="44"/>
  <c r="T11" i="41"/>
  <c r="AC8" i="44"/>
  <c r="AA20" i="44"/>
  <c r="Y20" i="44"/>
  <c r="AR20" i="44"/>
  <c r="Z11" i="44"/>
  <c r="Z12" i="44" s="1"/>
  <c r="AJ11" i="44"/>
  <c r="AH20" i="44"/>
  <c r="AF20" i="44"/>
  <c r="AM20" i="44"/>
  <c r="AH11" i="44"/>
  <c r="AR11" i="44"/>
  <c r="AP20" i="44"/>
  <c r="AC20" i="44"/>
  <c r="W11" i="44"/>
  <c r="W12" i="44" s="1"/>
  <c r="T20" i="44"/>
  <c r="T21" i="44" s="1"/>
  <c r="AL11" i="41"/>
  <c r="Y11" i="41"/>
  <c r="AR13" i="41"/>
  <c r="AR15" i="41" s="1"/>
  <c r="AM13" i="41"/>
  <c r="AM15" i="41" s="1"/>
  <c r="AE13" i="41"/>
  <c r="AE15" i="41" s="1"/>
  <c r="AA11" i="44"/>
  <c r="AC11" i="44"/>
  <c r="U20" i="44"/>
  <c r="U21" i="44" s="1"/>
  <c r="AG13" i="41"/>
  <c r="AG15" i="41" s="1"/>
  <c r="AH13" i="41"/>
  <c r="AH15" i="41" s="1"/>
  <c r="W20" i="44"/>
  <c r="W21" i="44" s="1"/>
  <c r="AQ20" i="44"/>
  <c r="V11" i="44"/>
  <c r="V12" i="44" s="1"/>
  <c r="AI11" i="44"/>
  <c r="AK11" i="44"/>
  <c r="AD11" i="44"/>
  <c r="AB20" i="44"/>
  <c r="AN11" i="44"/>
  <c r="AK20" i="44"/>
  <c r="AI10" i="41"/>
  <c r="AP13" i="41"/>
  <c r="AP15" i="41" s="1"/>
  <c r="AF11" i="44"/>
  <c r="Y11" i="44"/>
  <c r="AQ11" i="44"/>
  <c r="Z20" i="44"/>
  <c r="V20" i="44"/>
  <c r="V21" i="44" s="1"/>
  <c r="AC11" i="40"/>
  <c r="AB7" i="44"/>
  <c r="AG11" i="44"/>
  <c r="T11" i="44"/>
  <c r="T12" i="44" s="1"/>
  <c r="X11" i="44"/>
  <c r="X12" i="44" s="1"/>
  <c r="AM11" i="44"/>
  <c r="AR19" i="44"/>
  <c r="AC26" i="44"/>
  <c r="U26" i="44"/>
  <c r="AG26" i="44"/>
  <c r="Y26" i="44"/>
  <c r="AN26" i="44"/>
  <c r="AE26" i="44"/>
  <c r="AF26" i="44"/>
  <c r="W26" i="44"/>
  <c r="AJ19" i="44"/>
  <c r="AL19" i="44"/>
  <c r="AL21" i="44" s="1"/>
  <c r="AN28" i="44"/>
  <c r="AN30" i="44" s="1"/>
  <c r="U28" i="44"/>
  <c r="U30" i="44" s="1"/>
  <c r="AF28" i="44"/>
  <c r="AF30" i="44" s="1"/>
  <c r="AL28" i="44"/>
  <c r="AL30" i="44" s="1"/>
  <c r="X28" i="44"/>
  <c r="X30" i="44" s="1"/>
  <c r="AD28" i="44"/>
  <c r="AD30" i="44" s="1"/>
  <c r="AM28" i="44"/>
  <c r="AM30" i="44" s="1"/>
  <c r="V28" i="44"/>
  <c r="V30" i="44" s="1"/>
  <c r="AE28" i="44"/>
  <c r="AE30" i="44" s="1"/>
  <c r="AO28" i="44"/>
  <c r="AO30" i="44" s="1"/>
  <c r="AG28" i="44"/>
  <c r="AG30" i="44" s="1"/>
  <c r="W28" i="44"/>
  <c r="W30" i="44" s="1"/>
  <c r="Y28" i="44"/>
  <c r="Y30" i="44" s="1"/>
  <c r="AI19" i="41"/>
  <c r="AI21" i="41" s="1"/>
  <c r="AG19" i="41"/>
  <c r="AG21" i="41" s="1"/>
  <c r="AC19" i="41"/>
  <c r="AC21" i="41" s="1"/>
  <c r="AJ19" i="41"/>
  <c r="AJ21" i="41" s="1"/>
  <c r="AE23" i="44"/>
  <c r="AF19" i="41"/>
  <c r="AF21" i="41" s="1"/>
  <c r="AP19" i="41"/>
  <c r="AP21" i="41" s="1"/>
  <c r="AR21" i="41"/>
  <c r="V21" i="41"/>
  <c r="X15" i="41"/>
  <c r="W50" i="42"/>
  <c r="AF14" i="40"/>
  <c r="X50" i="42"/>
  <c r="AG14" i="43"/>
  <c r="AN19" i="44"/>
  <c r="AD19" i="44"/>
  <c r="AM10" i="44"/>
  <c r="W15" i="44"/>
  <c r="U23" i="44"/>
  <c r="D49" i="45"/>
  <c r="X49" i="45"/>
  <c r="W49" i="45"/>
  <c r="V49" i="45"/>
  <c r="U49" i="45"/>
  <c r="AL26" i="44"/>
  <c r="AI13" i="44"/>
  <c r="V50" i="45"/>
  <c r="U50" i="45"/>
  <c r="D50" i="45"/>
  <c r="X50" i="45"/>
  <c r="W50" i="45"/>
  <c r="AC7" i="43"/>
  <c r="AG15" i="43"/>
  <c r="AJ10" i="44"/>
  <c r="AI10" i="44"/>
  <c r="AR10" i="44"/>
  <c r="AQ10" i="44"/>
  <c r="AF10" i="44"/>
  <c r="AR23" i="44"/>
  <c r="AS29" i="44"/>
  <c r="AD26" i="44"/>
  <c r="AO10" i="44"/>
  <c r="AQ13" i="44"/>
  <c r="AJ28" i="44"/>
  <c r="AJ30" i="44" s="1"/>
  <c r="AI28" i="44"/>
  <c r="AI30" i="44" s="1"/>
  <c r="AH28" i="44"/>
  <c r="AH30" i="44" s="1"/>
  <c r="AB28" i="44"/>
  <c r="AB30" i="44" s="1"/>
  <c r="AA28" i="44"/>
  <c r="AA30" i="44" s="1"/>
  <c r="Z28" i="44"/>
  <c r="Z30" i="44" s="1"/>
  <c r="T28" i="44"/>
  <c r="AP28" i="44"/>
  <c r="AP30" i="44" s="1"/>
  <c r="AR28" i="44"/>
  <c r="AR30" i="44" s="1"/>
  <c r="AQ28" i="44"/>
  <c r="AQ30" i="44" s="1"/>
  <c r="AP10" i="44"/>
  <c r="AG19" i="44"/>
  <c r="AE19" i="44"/>
  <c r="AQ19" i="44"/>
  <c r="AP19" i="44"/>
  <c r="AO19" i="44"/>
  <c r="AM19" i="44"/>
  <c r="AI19" i="44"/>
  <c r="AH19" i="44"/>
  <c r="AH26" i="44"/>
  <c r="AB26" i="44"/>
  <c r="AA26" i="44"/>
  <c r="AR26" i="44"/>
  <c r="Z26" i="44"/>
  <c r="AQ26" i="44"/>
  <c r="T26" i="44"/>
  <c r="AJ26" i="44"/>
  <c r="AP26" i="44"/>
  <c r="AI26" i="44"/>
  <c r="AF19" i="44"/>
  <c r="V26" i="44"/>
  <c r="AC19" i="44"/>
  <c r="AG10" i="44"/>
  <c r="AD10" i="44"/>
  <c r="AM26" i="44"/>
  <c r="AK26" i="44"/>
  <c r="AL10" i="44"/>
  <c r="AL12" i="44" s="1"/>
  <c r="AM19" i="41"/>
  <c r="AM21" i="41" s="1"/>
  <c r="AQ19" i="41"/>
  <c r="AQ21" i="41" s="1"/>
  <c r="AD15" i="41"/>
  <c r="AA9" i="41"/>
  <c r="AS14" i="41"/>
  <c r="T21" i="41"/>
  <c r="AG15" i="40"/>
  <c r="AF15" i="40"/>
  <c r="AL19" i="41"/>
  <c r="AL21" i="41" s="1"/>
  <c r="AK19" i="41"/>
  <c r="AK21" i="41" s="1"/>
  <c r="AE19" i="41"/>
  <c r="AE21" i="41" s="1"/>
  <c r="AD19" i="41"/>
  <c r="AD21" i="41" s="1"/>
  <c r="AO19" i="41"/>
  <c r="AO21" i="41" s="1"/>
  <c r="AN19" i="41"/>
  <c r="AN21" i="41" s="1"/>
  <c r="AH19" i="41"/>
  <c r="AH21" i="41" s="1"/>
  <c r="D49" i="42"/>
  <c r="X49" i="42"/>
  <c r="V49" i="42"/>
  <c r="U49" i="42"/>
  <c r="W49" i="42"/>
  <c r="AS20" i="41"/>
  <c r="AG12" i="40"/>
  <c r="AF12" i="40"/>
  <c r="AR23" i="39"/>
  <c r="AP38" i="39"/>
  <c r="AD38" i="39"/>
  <c r="V38" i="39"/>
  <c r="AT37" i="39"/>
  <c r="AQ31" i="39"/>
  <c r="AA31" i="39"/>
  <c r="AJ31" i="39"/>
  <c r="AI31" i="39"/>
  <c r="AF31" i="39"/>
  <c r="X31" i="39"/>
  <c r="AR31" i="39"/>
  <c r="AT22" i="39"/>
  <c r="AO35" i="39"/>
  <c r="AE35" i="39"/>
  <c r="AT13" i="39"/>
  <c r="AT16" i="39"/>
  <c r="V45" i="32"/>
  <c r="W45" i="32"/>
  <c r="X45" i="32"/>
  <c r="I32" i="25"/>
  <c r="S32" i="25" s="1"/>
  <c r="I29" i="25"/>
  <c r="S29" i="25" s="1"/>
  <c r="I26" i="25"/>
  <c r="S26" i="25" s="1"/>
  <c r="I23" i="25"/>
  <c r="S23" i="25" s="1"/>
  <c r="I20" i="25"/>
  <c r="S20" i="25" s="1"/>
  <c r="I17" i="25"/>
  <c r="S17" i="25" s="1"/>
  <c r="I14" i="25"/>
  <c r="S14" i="25" s="1"/>
  <c r="I11" i="25"/>
  <c r="S11" i="25" s="1"/>
  <c r="I8" i="25"/>
  <c r="S8" i="25" s="1"/>
  <c r="X16" i="25"/>
  <c r="W16" i="25"/>
  <c r="V16" i="25"/>
  <c r="U16" i="25"/>
  <c r="T16" i="25"/>
  <c r="X13" i="25"/>
  <c r="W13" i="25"/>
  <c r="V13" i="25"/>
  <c r="U13" i="25"/>
  <c r="T13" i="25"/>
  <c r="AB10" i="25"/>
  <c r="Z10" i="25"/>
  <c r="X10" i="25"/>
  <c r="W10" i="25"/>
  <c r="V10" i="25"/>
  <c r="U10" i="25"/>
  <c r="T10" i="25"/>
  <c r="U7" i="25"/>
  <c r="V7" i="25"/>
  <c r="W7" i="25"/>
  <c r="X7" i="25"/>
  <c r="Y7" i="25"/>
  <c r="AA7" i="25"/>
  <c r="T7" i="25"/>
  <c r="AE11" i="28"/>
  <c r="U31" i="32"/>
  <c r="V31" i="32"/>
  <c r="W31" i="32"/>
  <c r="X31" i="32"/>
  <c r="U32" i="32"/>
  <c r="V32" i="32"/>
  <c r="W32" i="32"/>
  <c r="X32" i="32"/>
  <c r="U33" i="32"/>
  <c r="V33" i="32"/>
  <c r="W33" i="32"/>
  <c r="X33" i="32"/>
  <c r="U34" i="32"/>
  <c r="V34" i="32"/>
  <c r="W34" i="32"/>
  <c r="X34" i="32"/>
  <c r="U28" i="32"/>
  <c r="V28" i="32"/>
  <c r="W28" i="32"/>
  <c r="X28" i="32"/>
  <c r="E1" i="18"/>
  <c r="D19" i="32" s="1"/>
  <c r="N32" i="25"/>
  <c r="N29" i="25"/>
  <c r="N26" i="25"/>
  <c r="N23" i="25"/>
  <c r="N20" i="25"/>
  <c r="K7" i="25"/>
  <c r="N8" i="25"/>
  <c r="N14" i="25"/>
  <c r="N17" i="25"/>
  <c r="N11" i="25"/>
  <c r="AC9" i="41" l="1"/>
  <c r="AK9" i="41"/>
  <c r="AK16" i="44"/>
  <c r="W16" i="44"/>
  <c r="U16" i="44"/>
  <c r="U18" i="44" s="1"/>
  <c r="V16" i="44"/>
  <c r="V18" i="44" s="1"/>
  <c r="T16" i="44"/>
  <c r="T18" i="44" s="1"/>
  <c r="X16" i="44"/>
  <c r="X18" i="44" s="1"/>
  <c r="W18" i="44"/>
  <c r="U15" i="44"/>
  <c r="AB12" i="44"/>
  <c r="Z7" i="44"/>
  <c r="Z9" i="44" s="1"/>
  <c r="T7" i="44"/>
  <c r="T9" i="44" s="1"/>
  <c r="W7" i="44"/>
  <c r="W9" i="44" s="1"/>
  <c r="AA7" i="44"/>
  <c r="AA9" i="44" s="1"/>
  <c r="V7" i="44"/>
  <c r="V9" i="44" s="1"/>
  <c r="Y7" i="44"/>
  <c r="Y9" i="44" s="1"/>
  <c r="U7" i="44"/>
  <c r="U9" i="44" s="1"/>
  <c r="X7" i="44"/>
  <c r="X9" i="44" s="1"/>
  <c r="X18" i="41"/>
  <c r="V18" i="41"/>
  <c r="V16" i="41"/>
  <c r="T16" i="41"/>
  <c r="T18" i="41" s="1"/>
  <c r="U16" i="41"/>
  <c r="U18" i="41" s="1"/>
  <c r="W16" i="41"/>
  <c r="W18" i="41" s="1"/>
  <c r="X16" i="41"/>
  <c r="AP33" i="44"/>
  <c r="AS31" i="44"/>
  <c r="AK33" i="44"/>
  <c r="V33" i="44"/>
  <c r="W33" i="41"/>
  <c r="AQ30" i="41"/>
  <c r="AD35" i="39"/>
  <c r="AN30" i="41"/>
  <c r="AC33" i="41"/>
  <c r="AQ33" i="44"/>
  <c r="AJ33" i="44"/>
  <c r="AB33" i="44"/>
  <c r="Z33" i="41"/>
  <c r="AD33" i="41"/>
  <c r="AL33" i="41"/>
  <c r="AA33" i="44"/>
  <c r="Z33" i="44"/>
  <c r="AS31" i="41"/>
  <c r="AA10" i="41"/>
  <c r="Z35" i="39"/>
  <c r="AG33" i="44"/>
  <c r="AM33" i="41"/>
  <c r="AJ33" i="41"/>
  <c r="T33" i="41"/>
  <c r="U33" i="44"/>
  <c r="AC33" i="44"/>
  <c r="AH33" i="44"/>
  <c r="AG33" i="41"/>
  <c r="AK22" i="41"/>
  <c r="AK24" i="41" s="1"/>
  <c r="AE22" i="41"/>
  <c r="AE24" i="41" s="1"/>
  <c r="AG22" i="41"/>
  <c r="AG24" i="41" s="1"/>
  <c r="AD22" i="41"/>
  <c r="AB22" i="41"/>
  <c r="AB24" i="41" s="1"/>
  <c r="AJ22" i="41"/>
  <c r="AJ24" i="41" s="1"/>
  <c r="AF22" i="41"/>
  <c r="AD24" i="41"/>
  <c r="AI22" i="41"/>
  <c r="AH22" i="41"/>
  <c r="AO33" i="44"/>
  <c r="AF33" i="44"/>
  <c r="AM30" i="41"/>
  <c r="AF33" i="41"/>
  <c r="AI30" i="41"/>
  <c r="Y30" i="41"/>
  <c r="AR30" i="41"/>
  <c r="AF24" i="41"/>
  <c r="AM26" i="39"/>
  <c r="AB30" i="41"/>
  <c r="AC30" i="41"/>
  <c r="W30" i="41"/>
  <c r="AD30" i="41"/>
  <c r="AL16" i="44"/>
  <c r="AL18" i="44" s="1"/>
  <c r="X30" i="41"/>
  <c r="AG30" i="41"/>
  <c r="U30" i="41"/>
  <c r="AK21" i="44"/>
  <c r="V30" i="41"/>
  <c r="Z30" i="41"/>
  <c r="AG9" i="41"/>
  <c r="Y35" i="39"/>
  <c r="AN26" i="39"/>
  <c r="AS28" i="41"/>
  <c r="AK22" i="44"/>
  <c r="T30" i="41"/>
  <c r="AJ30" i="41"/>
  <c r="AH24" i="41"/>
  <c r="AH30" i="41"/>
  <c r="AO22" i="41"/>
  <c r="AO24" i="41" s="1"/>
  <c r="AO30" i="41"/>
  <c r="AE30" i="41"/>
  <c r="AF30" i="41"/>
  <c r="AR22" i="41"/>
  <c r="AR24" i="41" s="1"/>
  <c r="AM22" i="41"/>
  <c r="AM24" i="41" s="1"/>
  <c r="AP22" i="41"/>
  <c r="AP24" i="41" s="1"/>
  <c r="AJ15" i="44"/>
  <c r="AN22" i="41"/>
  <c r="T22" i="41"/>
  <c r="T24" i="41" s="1"/>
  <c r="AQ22" i="41"/>
  <c r="AQ24" i="41" s="1"/>
  <c r="AL22" i="41"/>
  <c r="AL24" i="41" s="1"/>
  <c r="AK10" i="41"/>
  <c r="AK12" i="41" s="1"/>
  <c r="W24" i="41"/>
  <c r="AG20" i="39"/>
  <c r="AI20" i="39"/>
  <c r="AS26" i="39"/>
  <c r="AG26" i="39"/>
  <c r="AP25" i="44"/>
  <c r="AP27" i="44" s="1"/>
  <c r="AM25" i="44"/>
  <c r="AM27" i="44" s="1"/>
  <c r="AR25" i="44"/>
  <c r="AR27" i="44" s="1"/>
  <c r="AQ25" i="44"/>
  <c r="AQ27" i="44" s="1"/>
  <c r="AF25" i="44"/>
  <c r="AF27" i="44" s="1"/>
  <c r="AH25" i="44"/>
  <c r="AH27" i="44" s="1"/>
  <c r="AE25" i="44"/>
  <c r="AE27" i="44" s="1"/>
  <c r="Z25" i="44"/>
  <c r="Z27" i="44" s="1"/>
  <c r="AG25" i="44"/>
  <c r="AG27" i="44" s="1"/>
  <c r="AJ25" i="44"/>
  <c r="AJ27" i="44" s="1"/>
  <c r="AK25" i="44"/>
  <c r="AK27" i="44" s="1"/>
  <c r="Y25" i="44"/>
  <c r="Y27" i="44" s="1"/>
  <c r="AN25" i="44"/>
  <c r="AN27" i="44" s="1"/>
  <c r="AL25" i="44"/>
  <c r="AL27" i="44" s="1"/>
  <c r="AO25" i="41"/>
  <c r="Y25" i="41"/>
  <c r="AI25" i="41"/>
  <c r="AQ25" i="41"/>
  <c r="AP25" i="41"/>
  <c r="AD25" i="41"/>
  <c r="AE25" i="41"/>
  <c r="AC25" i="41"/>
  <c r="AF25" i="41"/>
  <c r="AA25" i="41"/>
  <c r="AN25" i="41"/>
  <c r="AR25" i="41"/>
  <c r="AH25" i="41"/>
  <c r="Y32" i="39"/>
  <c r="AR26" i="41"/>
  <c r="AH26" i="41"/>
  <c r="AQ26" i="41"/>
  <c r="AN26" i="41"/>
  <c r="AI23" i="44"/>
  <c r="U26" i="41"/>
  <c r="Y23" i="44"/>
  <c r="V23" i="44"/>
  <c r="AF23" i="44"/>
  <c r="AQ23" i="44"/>
  <c r="AM23" i="44"/>
  <c r="X23" i="44"/>
  <c r="AA23" i="44"/>
  <c r="AO23" i="44"/>
  <c r="AH23" i="44"/>
  <c r="AG23" i="44"/>
  <c r="AA22" i="44"/>
  <c r="AR22" i="44"/>
  <c r="AR24" i="44" s="1"/>
  <c r="AN24" i="41"/>
  <c r="AE22" i="44"/>
  <c r="AE24" i="44" s="1"/>
  <c r="AH22" i="44"/>
  <c r="AK23" i="44"/>
  <c r="AK24" i="44" s="1"/>
  <c r="AC23" i="44"/>
  <c r="AC24" i="44" s="1"/>
  <c r="AL23" i="44"/>
  <c r="AN23" i="44"/>
  <c r="AB23" i="44"/>
  <c r="T23" i="44"/>
  <c r="Y26" i="41"/>
  <c r="Z26" i="41"/>
  <c r="AJ23" i="44"/>
  <c r="W23" i="44"/>
  <c r="Z23" i="44"/>
  <c r="AC26" i="41"/>
  <c r="T26" i="41"/>
  <c r="AD26" i="41"/>
  <c r="AG26" i="41"/>
  <c r="AP23" i="44"/>
  <c r="AI26" i="41"/>
  <c r="AP26" i="41"/>
  <c r="W26" i="41"/>
  <c r="Z24" i="41"/>
  <c r="AO26" i="41"/>
  <c r="AJ26" i="41"/>
  <c r="X26" i="41"/>
  <c r="AK26" i="41"/>
  <c r="V24" i="41"/>
  <c r="AE29" i="39"/>
  <c r="AQ22" i="44"/>
  <c r="Z22" i="44"/>
  <c r="AI24" i="41"/>
  <c r="AB22" i="44"/>
  <c r="AC24" i="41"/>
  <c r="Z18" i="44"/>
  <c r="AD20" i="39"/>
  <c r="AI9" i="41"/>
  <c r="AP9" i="41"/>
  <c r="AR26" i="39"/>
  <c r="AP20" i="39"/>
  <c r="AO26" i="39"/>
  <c r="AR20" i="39"/>
  <c r="AO9" i="41"/>
  <c r="AQ16" i="44"/>
  <c r="AQ18" i="44" s="1"/>
  <c r="AH20" i="39"/>
  <c r="AM16" i="44"/>
  <c r="AM18" i="44" s="1"/>
  <c r="AD16" i="44"/>
  <c r="AD18" i="44" s="1"/>
  <c r="AP26" i="39"/>
  <c r="AQ26" i="39"/>
  <c r="AJ26" i="39"/>
  <c r="AN9" i="41"/>
  <c r="AK20" i="39"/>
  <c r="AE16" i="44"/>
  <c r="AE18" i="44" s="1"/>
  <c r="AP16" i="44"/>
  <c r="AP18" i="44" s="1"/>
  <c r="AJ25" i="41"/>
  <c r="AC25" i="44"/>
  <c r="AC27" i="44" s="1"/>
  <c r="Z25" i="41"/>
  <c r="Y18" i="44"/>
  <c r="AO16" i="44"/>
  <c r="AO18" i="44" s="1"/>
  <c r="AF16" i="44"/>
  <c r="AF18" i="44" s="1"/>
  <c r="AL25" i="41"/>
  <c r="AG25" i="41"/>
  <c r="AJ16" i="44"/>
  <c r="AJ18" i="44" s="1"/>
  <c r="AH16" i="44"/>
  <c r="AH18" i="44" s="1"/>
  <c r="AM25" i="41"/>
  <c r="AD24" i="44"/>
  <c r="AC16" i="44"/>
  <c r="AC18" i="44" s="1"/>
  <c r="AI16" i="44"/>
  <c r="AI18" i="44" s="1"/>
  <c r="AN16" i="44"/>
  <c r="AN18" i="44" s="1"/>
  <c r="AD27" i="44"/>
  <c r="AG16" i="44"/>
  <c r="AG18" i="44" s="1"/>
  <c r="AR16" i="44"/>
  <c r="AR18" i="44" s="1"/>
  <c r="AO20" i="39"/>
  <c r="AB12" i="41"/>
  <c r="AL20" i="39"/>
  <c r="AL26" i="41"/>
  <c r="AJ20" i="39"/>
  <c r="AA26" i="41"/>
  <c r="AF26" i="41"/>
  <c r="AM26" i="41"/>
  <c r="AB26" i="41"/>
  <c r="AB27" i="41" s="1"/>
  <c r="AE26" i="41"/>
  <c r="W35" i="39"/>
  <c r="AF20" i="39"/>
  <c r="AD9" i="41"/>
  <c r="AH9" i="41"/>
  <c r="AS20" i="39"/>
  <c r="AN20" i="39"/>
  <c r="AQ20" i="39"/>
  <c r="AE20" i="39"/>
  <c r="U25" i="44"/>
  <c r="U27" i="44" s="1"/>
  <c r="T25" i="44"/>
  <c r="T27" i="44" s="1"/>
  <c r="W25" i="44"/>
  <c r="W27" i="44" s="1"/>
  <c r="AI25" i="44"/>
  <c r="AI27" i="44" s="1"/>
  <c r="AA25" i="44"/>
  <c r="AA27" i="44" s="1"/>
  <c r="AB25" i="44"/>
  <c r="AB27" i="44" s="1"/>
  <c r="V25" i="44"/>
  <c r="V27" i="44" s="1"/>
  <c r="X25" i="44"/>
  <c r="X27" i="44" s="1"/>
  <c r="AO25" i="44"/>
  <c r="AO27" i="44" s="1"/>
  <c r="AM22" i="44"/>
  <c r="AN22" i="44"/>
  <c r="AP22" i="44"/>
  <c r="V22" i="44"/>
  <c r="Y22" i="44"/>
  <c r="AJ22" i="44"/>
  <c r="U22" i="44"/>
  <c r="U24" i="44" s="1"/>
  <c r="AI22" i="44"/>
  <c r="X22" i="44"/>
  <c r="AG22" i="44"/>
  <c r="AL22" i="44"/>
  <c r="W22" i="44"/>
  <c r="AF22" i="44"/>
  <c r="AO22" i="44"/>
  <c r="T22" i="44"/>
  <c r="W25" i="41"/>
  <c r="T25" i="41"/>
  <c r="V25" i="41"/>
  <c r="V27" i="41" s="1"/>
  <c r="U25" i="41"/>
  <c r="X25" i="41"/>
  <c r="AK25" i="41"/>
  <c r="AT12" i="39"/>
  <c r="AT15" i="39"/>
  <c r="AO15" i="44"/>
  <c r="AE9" i="41"/>
  <c r="AM9" i="41"/>
  <c r="AS7" i="41"/>
  <c r="AQ9" i="41"/>
  <c r="AL9" i="41"/>
  <c r="AR9" i="41"/>
  <c r="AJ9" i="41"/>
  <c r="Z26" i="39"/>
  <c r="AH26" i="39"/>
  <c r="AM15" i="44"/>
  <c r="V12" i="41"/>
  <c r="AO12" i="44"/>
  <c r="V35" i="39"/>
  <c r="AC35" i="39"/>
  <c r="AO29" i="39"/>
  <c r="X35" i="39"/>
  <c r="X29" i="39"/>
  <c r="AJ35" i="39"/>
  <c r="AK18" i="44"/>
  <c r="AA15" i="44"/>
  <c r="Z13" i="25"/>
  <c r="AA13" i="25"/>
  <c r="AK29" i="39"/>
  <c r="AC32" i="39"/>
  <c r="AK32" i="39"/>
  <c r="AI15" i="44"/>
  <c r="AA18" i="44"/>
  <c r="AA21" i="44"/>
  <c r="AM20" i="39"/>
  <c r="AH15" i="44"/>
  <c r="AO32" i="39"/>
  <c r="AF26" i="39"/>
  <c r="AT25" i="39"/>
  <c r="AG15" i="44"/>
  <c r="AE15" i="44"/>
  <c r="AL15" i="44"/>
  <c r="AD15" i="44"/>
  <c r="AP15" i="44"/>
  <c r="AF15" i="44"/>
  <c r="AQ15" i="44"/>
  <c r="AC26" i="39"/>
  <c r="AC20" i="39"/>
  <c r="Z20" i="39"/>
  <c r="AH10" i="41"/>
  <c r="AH12" i="41" s="1"/>
  <c r="T12" i="41"/>
  <c r="U12" i="41"/>
  <c r="AJ12" i="44"/>
  <c r="U17" i="39"/>
  <c r="AT17" i="39" s="1"/>
  <c r="AB9" i="44"/>
  <c r="Z21" i="44"/>
  <c r="AB21" i="44"/>
  <c r="AT18" i="39"/>
  <c r="AB18" i="44"/>
  <c r="AA20" i="39"/>
  <c r="AB20" i="39"/>
  <c r="Y21" i="44"/>
  <c r="AD32" i="39"/>
  <c r="AF16" i="41"/>
  <c r="AF18" i="41" s="1"/>
  <c r="AB16" i="41"/>
  <c r="AB18" i="41" s="1"/>
  <c r="Y16" i="41"/>
  <c r="Y18" i="41" s="1"/>
  <c r="AA16" i="41"/>
  <c r="AA18" i="41" s="1"/>
  <c r="Z16" i="41"/>
  <c r="Z18" i="41" s="1"/>
  <c r="AA12" i="41"/>
  <c r="Z12" i="41"/>
  <c r="AG35" i="39"/>
  <c r="AS14" i="44"/>
  <c r="AR35" i="39"/>
  <c r="V32" i="39"/>
  <c r="AK35" i="39"/>
  <c r="AA29" i="39"/>
  <c r="AN12" i="41"/>
  <c r="AS32" i="39"/>
  <c r="AS35" i="39"/>
  <c r="W29" i="39"/>
  <c r="W32" i="39"/>
  <c r="AA35" i="39"/>
  <c r="Z32" i="39"/>
  <c r="AQ35" i="39"/>
  <c r="U29" i="39"/>
  <c r="AI35" i="39"/>
  <c r="V29" i="39"/>
  <c r="AC29" i="39"/>
  <c r="AL35" i="39"/>
  <c r="AP29" i="39"/>
  <c r="AH35" i="39"/>
  <c r="AF35" i="39"/>
  <c r="AB35" i="39"/>
  <c r="AP35" i="39"/>
  <c r="AG29" i="39"/>
  <c r="AG13" i="40"/>
  <c r="Y10" i="41"/>
  <c r="Y12" i="41" s="1"/>
  <c r="AJ10" i="41"/>
  <c r="AJ12" i="41" s="1"/>
  <c r="X29" i="32"/>
  <c r="AG12" i="43"/>
  <c r="W29" i="32"/>
  <c r="V29" i="32"/>
  <c r="U29" i="32"/>
  <c r="AF7" i="40"/>
  <c r="W43" i="42"/>
  <c r="AD16" i="41"/>
  <c r="AD18" i="41" s="1"/>
  <c r="AC16" i="41"/>
  <c r="AC18" i="41" s="1"/>
  <c r="AP16" i="41"/>
  <c r="AP18" i="41" s="1"/>
  <c r="AN16" i="41"/>
  <c r="AN18" i="41" s="1"/>
  <c r="AF13" i="43"/>
  <c r="AP32" i="39"/>
  <c r="AB29" i="39"/>
  <c r="AM35" i="39"/>
  <c r="Y29" i="39"/>
  <c r="AT19" i="39"/>
  <c r="AN35" i="39"/>
  <c r="AN29" i="39"/>
  <c r="AL32" i="39"/>
  <c r="AH32" i="39"/>
  <c r="AS29" i="39"/>
  <c r="AI29" i="39"/>
  <c r="AH21" i="44"/>
  <c r="AF29" i="39"/>
  <c r="AJ29" i="39"/>
  <c r="AT34" i="39"/>
  <c r="AS17" i="41"/>
  <c r="AQ21" i="44"/>
  <c r="D4" i="34"/>
  <c r="AS32" i="41"/>
  <c r="AQ29" i="39"/>
  <c r="AG8" i="40"/>
  <c r="M16" i="40"/>
  <c r="W53" i="42"/>
  <c r="AG9" i="40"/>
  <c r="AF8" i="40"/>
  <c r="AG10" i="43"/>
  <c r="AK16" i="41"/>
  <c r="AK18" i="41" s="1"/>
  <c r="AQ16" i="41"/>
  <c r="AQ18" i="41" s="1"/>
  <c r="AL16" i="41"/>
  <c r="AL18" i="41" s="1"/>
  <c r="AO16" i="41"/>
  <c r="AO18" i="41" s="1"/>
  <c r="AG10" i="40"/>
  <c r="AR16" i="41"/>
  <c r="AR18" i="41" s="1"/>
  <c r="AJ16" i="41"/>
  <c r="AJ18" i="41" s="1"/>
  <c r="AI16" i="41"/>
  <c r="AI18" i="41" s="1"/>
  <c r="AM16" i="41"/>
  <c r="AM18" i="41" s="1"/>
  <c r="AC16" i="40"/>
  <c r="AH16" i="41"/>
  <c r="AH18" i="41" s="1"/>
  <c r="AE16" i="41"/>
  <c r="AE18" i="41" s="1"/>
  <c r="V51" i="45"/>
  <c r="AG16" i="41"/>
  <c r="AG18" i="41" s="1"/>
  <c r="AP12" i="44"/>
  <c r="AE32" i="39"/>
  <c r="AN32" i="39"/>
  <c r="AM12" i="44"/>
  <c r="AI12" i="41"/>
  <c r="AG12" i="41"/>
  <c r="AF12" i="41"/>
  <c r="AS8" i="41"/>
  <c r="AL12" i="41"/>
  <c r="AO21" i="44"/>
  <c r="AM21" i="44"/>
  <c r="AS32" i="44"/>
  <c r="AR12" i="41"/>
  <c r="AE21" i="44"/>
  <c r="AI21" i="44"/>
  <c r="AE33" i="44"/>
  <c r="AJ21" i="44"/>
  <c r="AP12" i="41"/>
  <c r="AS8" i="44"/>
  <c r="AP21" i="44"/>
  <c r="X51" i="42"/>
  <c r="AC10" i="41"/>
  <c r="AC12" i="41" s="1"/>
  <c r="W51" i="45"/>
  <c r="D51" i="42"/>
  <c r="U51" i="42"/>
  <c r="AG8" i="43"/>
  <c r="X51" i="45"/>
  <c r="V51" i="42"/>
  <c r="AG12" i="44"/>
  <c r="D51" i="45"/>
  <c r="AR21" i="44"/>
  <c r="AS29" i="41"/>
  <c r="AF9" i="43"/>
  <c r="U52" i="42"/>
  <c r="AG11" i="43"/>
  <c r="AD21" i="44"/>
  <c r="V52" i="42"/>
  <c r="X52" i="42"/>
  <c r="D52" i="42"/>
  <c r="AQ12" i="41"/>
  <c r="AS11" i="41"/>
  <c r="AO12" i="41"/>
  <c r="AM12" i="41"/>
  <c r="AR12" i="44"/>
  <c r="AD12" i="44"/>
  <c r="AF12" i="44"/>
  <c r="AR29" i="39"/>
  <c r="AF21" i="44"/>
  <c r="AG32" i="39"/>
  <c r="Z29" i="39"/>
  <c r="AS23" i="41"/>
  <c r="AD29" i="39"/>
  <c r="AH29" i="39"/>
  <c r="AL29" i="39"/>
  <c r="AT28" i="39"/>
  <c r="AB32" i="39"/>
  <c r="I10" i="25"/>
  <c r="AS17" i="44"/>
  <c r="AF11" i="40"/>
  <c r="AG11" i="40"/>
  <c r="S13" i="41"/>
  <c r="I10" i="44"/>
  <c r="S10" i="44" s="1"/>
  <c r="S13" i="44"/>
  <c r="AB13" i="44" s="1"/>
  <c r="AB15" i="44" s="1"/>
  <c r="AS11" i="44"/>
  <c r="D42" i="45"/>
  <c r="AS20" i="44"/>
  <c r="AC21" i="44"/>
  <c r="AQ12" i="44"/>
  <c r="AI12" i="44"/>
  <c r="AG21" i="44"/>
  <c r="AN21" i="44"/>
  <c r="AF7" i="44"/>
  <c r="AF9" i="44" s="1"/>
  <c r="AK7" i="44"/>
  <c r="AK9" i="44" s="1"/>
  <c r="AI7" i="44"/>
  <c r="AI9" i="44" s="1"/>
  <c r="AO7" i="44"/>
  <c r="AO9" i="44" s="1"/>
  <c r="AC7" i="44"/>
  <c r="AM7" i="44"/>
  <c r="AM9" i="44" s="1"/>
  <c r="AH7" i="44"/>
  <c r="AH9" i="44" s="1"/>
  <c r="AP7" i="44"/>
  <c r="AP9" i="44" s="1"/>
  <c r="AE7" i="44"/>
  <c r="AE9" i="44" s="1"/>
  <c r="AR7" i="44"/>
  <c r="AR9" i="44" s="1"/>
  <c r="AJ7" i="44"/>
  <c r="AJ9" i="44" s="1"/>
  <c r="AL7" i="44"/>
  <c r="AL9" i="44" s="1"/>
  <c r="AD7" i="44"/>
  <c r="AD9" i="44" s="1"/>
  <c r="AN7" i="44"/>
  <c r="AN9" i="44" s="1"/>
  <c r="AG7" i="44"/>
  <c r="AG9" i="44" s="1"/>
  <c r="AQ7" i="44"/>
  <c r="AQ9" i="44" s="1"/>
  <c r="AF32" i="39"/>
  <c r="AJ32" i="39"/>
  <c r="AI32" i="39"/>
  <c r="X32" i="39"/>
  <c r="AR32" i="39"/>
  <c r="AT31" i="39"/>
  <c r="AA32" i="39"/>
  <c r="X52" i="45"/>
  <c r="W52" i="45"/>
  <c r="V52" i="45"/>
  <c r="U52" i="45"/>
  <c r="U43" i="45" s="1"/>
  <c r="D52" i="45"/>
  <c r="D19" i="45"/>
  <c r="D18" i="45" s="1"/>
  <c r="D19" i="42"/>
  <c r="D18" i="42" s="1"/>
  <c r="AS26" i="44"/>
  <c r="AS19" i="44"/>
  <c r="T30" i="44"/>
  <c r="AS30" i="44" s="1"/>
  <c r="AS28" i="44"/>
  <c r="AG7" i="43"/>
  <c r="AF7" i="43"/>
  <c r="AC16" i="43"/>
  <c r="AS19" i="41"/>
  <c r="AS21" i="41"/>
  <c r="AT27" i="39"/>
  <c r="AT24" i="39"/>
  <c r="AT21" i="39"/>
  <c r="AT23" i="39"/>
  <c r="AI14" i="39"/>
  <c r="AT14" i="39" s="1"/>
  <c r="AT38" i="39"/>
  <c r="AT36" i="39"/>
  <c r="AQ32" i="39"/>
  <c r="U32" i="39"/>
  <c r="AT30" i="39"/>
  <c r="U35" i="39"/>
  <c r="AT33" i="39"/>
  <c r="C4" i="34"/>
  <c r="AS33" i="44" l="1"/>
  <c r="AK13" i="41"/>
  <c r="AK15" i="41" s="1"/>
  <c r="AB13" i="41"/>
  <c r="AB15" i="41" s="1"/>
  <c r="AB36" i="41" s="1"/>
  <c r="D45" i="42" s="1"/>
  <c r="AS33" i="41"/>
  <c r="AK10" i="44"/>
  <c r="AK12" i="44" s="1"/>
  <c r="AA10" i="44"/>
  <c r="AA12" i="44" s="1"/>
  <c r="AD27" i="41"/>
  <c r="AD36" i="41" s="1"/>
  <c r="AS30" i="41"/>
  <c r="AQ24" i="44"/>
  <c r="AQ36" i="44" s="1"/>
  <c r="AS22" i="41"/>
  <c r="AN27" i="41"/>
  <c r="AA27" i="41"/>
  <c r="AA36" i="41" s="1"/>
  <c r="AE27" i="41"/>
  <c r="AE36" i="41" s="1"/>
  <c r="Y13" i="44"/>
  <c r="Y15" i="44" s="1"/>
  <c r="AK13" i="44"/>
  <c r="AK15" i="44" s="1"/>
  <c r="AI24" i="44"/>
  <c r="AI36" i="44" s="1"/>
  <c r="AH27" i="41"/>
  <c r="AH36" i="41" s="1"/>
  <c r="Y27" i="41"/>
  <c r="AR27" i="41"/>
  <c r="AR36" i="41" s="1"/>
  <c r="AQ27" i="41"/>
  <c r="AQ36" i="41" s="1"/>
  <c r="AF27" i="41"/>
  <c r="AF36" i="41" s="1"/>
  <c r="AO27" i="41"/>
  <c r="AO36" i="41" s="1"/>
  <c r="AC27" i="41"/>
  <c r="AF24" i="44"/>
  <c r="AF36" i="44" s="1"/>
  <c r="Y24" i="44"/>
  <c r="AL24" i="44"/>
  <c r="AL36" i="44" s="1"/>
  <c r="AJ27" i="41"/>
  <c r="U27" i="41"/>
  <c r="U36" i="41" s="1"/>
  <c r="AG27" i="41"/>
  <c r="AG36" i="41" s="1"/>
  <c r="AP27" i="41"/>
  <c r="AP36" i="41" s="1"/>
  <c r="AI27" i="41"/>
  <c r="AI36" i="41" s="1"/>
  <c r="Y41" i="39"/>
  <c r="AH24" i="44"/>
  <c r="AA24" i="44"/>
  <c r="AA36" i="44" s="1"/>
  <c r="Z27" i="41"/>
  <c r="Z36" i="41" s="1"/>
  <c r="AM27" i="41"/>
  <c r="AM36" i="41" s="1"/>
  <c r="AK27" i="41"/>
  <c r="X27" i="41"/>
  <c r="X36" i="41" s="1"/>
  <c r="AL27" i="41"/>
  <c r="AL36" i="41" s="1"/>
  <c r="X24" i="44"/>
  <c r="X36" i="44" s="1"/>
  <c r="AG24" i="44"/>
  <c r="AG36" i="44" s="1"/>
  <c r="T24" i="44"/>
  <c r="T36" i="44" s="1"/>
  <c r="V24" i="44"/>
  <c r="V36" i="44" s="1"/>
  <c r="AP24" i="44"/>
  <c r="AP36" i="44" s="1"/>
  <c r="Z24" i="44"/>
  <c r="Z36" i="44" s="1"/>
  <c r="AM24" i="44"/>
  <c r="AM36" i="44" s="1"/>
  <c r="AO24" i="44"/>
  <c r="AO36" i="44" s="1"/>
  <c r="AS23" i="44"/>
  <c r="AS24" i="41"/>
  <c r="W24" i="44"/>
  <c r="W36" i="44" s="1"/>
  <c r="T27" i="41"/>
  <c r="T36" i="41" s="1"/>
  <c r="AN24" i="44"/>
  <c r="AB24" i="44"/>
  <c r="AB36" i="44" s="1"/>
  <c r="D45" i="45" s="1"/>
  <c r="AJ24" i="44"/>
  <c r="AJ36" i="44" s="1"/>
  <c r="W27" i="41"/>
  <c r="W36" i="41" s="1"/>
  <c r="AS16" i="44"/>
  <c r="AE41" i="39"/>
  <c r="AS25" i="44"/>
  <c r="AS22" i="44"/>
  <c r="V36" i="41"/>
  <c r="AS26" i="41"/>
  <c r="U36" i="44"/>
  <c r="AS25" i="41"/>
  <c r="AS9" i="41"/>
  <c r="X41" i="39"/>
  <c r="AT26" i="39"/>
  <c r="AM41" i="39"/>
  <c r="AO41" i="39"/>
  <c r="Y13" i="41"/>
  <c r="Y15" i="41" s="1"/>
  <c r="AJ13" i="41"/>
  <c r="AJ15" i="41" s="1"/>
  <c r="AP41" i="39"/>
  <c r="V41" i="39"/>
  <c r="AD41" i="39"/>
  <c r="W41" i="39"/>
  <c r="AK41" i="39"/>
  <c r="AT20" i="39"/>
  <c r="AC41" i="39"/>
  <c r="Y10" i="44"/>
  <c r="Y12" i="44" s="1"/>
  <c r="AH10" i="44"/>
  <c r="AH12" i="44" s="1"/>
  <c r="AB41" i="39"/>
  <c r="V43" i="45"/>
  <c r="W43" i="45"/>
  <c r="AA41" i="39"/>
  <c r="AS41" i="39"/>
  <c r="Z41" i="39"/>
  <c r="AN41" i="39"/>
  <c r="AL41" i="39"/>
  <c r="AF41" i="39"/>
  <c r="AT35" i="39"/>
  <c r="AG41" i="39"/>
  <c r="AQ41" i="39"/>
  <c r="AJ41" i="39"/>
  <c r="AS27" i="44"/>
  <c r="AH41" i="39"/>
  <c r="D43" i="45"/>
  <c r="X43" i="45"/>
  <c r="C26" i="34"/>
  <c r="E33" i="46"/>
  <c r="E32" i="46"/>
  <c r="C27" i="34"/>
  <c r="X43" i="42"/>
  <c r="V43" i="42"/>
  <c r="U43" i="42"/>
  <c r="D43" i="42"/>
  <c r="H32" i="46"/>
  <c r="D42" i="42"/>
  <c r="D56" i="42" s="1"/>
  <c r="D57" i="42" s="1"/>
  <c r="B8" i="38" s="1"/>
  <c r="E4" i="34"/>
  <c r="AF16" i="40"/>
  <c r="AG16" i="40" s="1"/>
  <c r="D53" i="42"/>
  <c r="B4" i="38" s="1"/>
  <c r="V53" i="42"/>
  <c r="D53" i="45"/>
  <c r="B5" i="38" s="1"/>
  <c r="W53" i="45"/>
  <c r="X53" i="45"/>
  <c r="X53" i="42"/>
  <c r="U53" i="42"/>
  <c r="V53" i="45"/>
  <c r="U53" i="45"/>
  <c r="AS18" i="41"/>
  <c r="AS16" i="41"/>
  <c r="D56" i="45"/>
  <c r="D57" i="45" s="1"/>
  <c r="B9" i="38" s="1"/>
  <c r="AT29" i="39"/>
  <c r="AR41" i="39"/>
  <c r="AE36" i="44"/>
  <c r="AD36" i="44"/>
  <c r="AS10" i="41"/>
  <c r="AF16" i="43"/>
  <c r="AG16" i="43" s="1"/>
  <c r="AR36" i="44"/>
  <c r="AS12" i="41"/>
  <c r="AS18" i="44"/>
  <c r="AC10" i="44"/>
  <c r="AN10" i="44"/>
  <c r="AN12" i="44" s="1"/>
  <c r="Y42" i="45"/>
  <c r="M9" i="45"/>
  <c r="M11" i="45" s="1"/>
  <c r="M14" i="45" s="1"/>
  <c r="M15" i="45" s="1"/>
  <c r="AS21" i="44"/>
  <c r="AC13" i="44"/>
  <c r="AN13" i="44"/>
  <c r="AN15" i="44" s="1"/>
  <c r="AC13" i="41"/>
  <c r="AN13" i="41"/>
  <c r="AN15" i="41" s="1"/>
  <c r="AI41" i="39"/>
  <c r="AS7" i="44"/>
  <c r="AC9" i="44"/>
  <c r="D34" i="42"/>
  <c r="D31" i="42"/>
  <c r="D32" i="42"/>
  <c r="D33" i="42"/>
  <c r="D32" i="45"/>
  <c r="D33" i="45"/>
  <c r="D31" i="45"/>
  <c r="D34" i="45"/>
  <c r="AT32" i="39"/>
  <c r="U41" i="39"/>
  <c r="C40" i="32"/>
  <c r="C39" i="32"/>
  <c r="P32" i="25"/>
  <c r="AJ32" i="25" s="1"/>
  <c r="P29" i="25"/>
  <c r="AK29" i="25" s="1"/>
  <c r="P26" i="25"/>
  <c r="AL26" i="25" s="1"/>
  <c r="P23" i="25"/>
  <c r="AQ23" i="25" s="1"/>
  <c r="P20" i="25"/>
  <c r="AP20" i="25" s="1"/>
  <c r="P17" i="25"/>
  <c r="AO17" i="25" s="1"/>
  <c r="P14" i="25"/>
  <c r="AP14" i="25" s="1"/>
  <c r="P11" i="25"/>
  <c r="AO11" i="25" s="1"/>
  <c r="P8" i="25"/>
  <c r="C34" i="32"/>
  <c r="C33" i="32"/>
  <c r="C27" i="32"/>
  <c r="C26" i="32"/>
  <c r="B1" i="38"/>
  <c r="A31" i="25"/>
  <c r="A28" i="25"/>
  <c r="A25" i="25"/>
  <c r="K31" i="25"/>
  <c r="K28" i="25"/>
  <c r="K25" i="25"/>
  <c r="A22" i="25"/>
  <c r="A19" i="25"/>
  <c r="A16" i="25"/>
  <c r="A13" i="25"/>
  <c r="A10" i="25"/>
  <c r="A7" i="25"/>
  <c r="K22" i="25"/>
  <c r="K19" i="25"/>
  <c r="K16" i="25"/>
  <c r="K13" i="25"/>
  <c r="K10" i="25"/>
  <c r="AK36" i="41" l="1"/>
  <c r="AK36" i="44"/>
  <c r="AN36" i="41"/>
  <c r="Y36" i="44"/>
  <c r="Y36" i="41"/>
  <c r="AJ36" i="41"/>
  <c r="AH36" i="44"/>
  <c r="U46" i="45"/>
  <c r="T46" i="45"/>
  <c r="V46" i="45"/>
  <c r="S46" i="45"/>
  <c r="R46" i="45"/>
  <c r="Q46" i="45"/>
  <c r="X46" i="45"/>
  <c r="W46" i="45"/>
  <c r="AS27" i="41"/>
  <c r="AS24" i="44"/>
  <c r="O46" i="45"/>
  <c r="P46" i="45"/>
  <c r="AB16" i="25"/>
  <c r="AA16" i="25"/>
  <c r="Z16" i="25"/>
  <c r="AT41" i="39"/>
  <c r="Y42" i="42"/>
  <c r="M9" i="42"/>
  <c r="M11" i="42" s="1"/>
  <c r="M14" i="42" s="1"/>
  <c r="M15" i="42" s="1"/>
  <c r="D29" i="45"/>
  <c r="D29" i="42"/>
  <c r="C28" i="34"/>
  <c r="G32" i="46"/>
  <c r="M16" i="45"/>
  <c r="F8" i="34" s="1"/>
  <c r="M46" i="45"/>
  <c r="N46" i="45"/>
  <c r="F46" i="45"/>
  <c r="AN36" i="44"/>
  <c r="H46" i="45"/>
  <c r="K46" i="45"/>
  <c r="G46" i="45"/>
  <c r="I46" i="45"/>
  <c r="AC12" i="44"/>
  <c r="AS12" i="44" s="1"/>
  <c r="AS10" i="44"/>
  <c r="E46" i="45"/>
  <c r="J46" i="45"/>
  <c r="L46" i="45"/>
  <c r="AC15" i="41"/>
  <c r="AS13" i="41"/>
  <c r="AC15" i="44"/>
  <c r="AS15" i="44" s="1"/>
  <c r="AS13" i="44"/>
  <c r="AS9" i="44"/>
  <c r="AL16" i="25"/>
  <c r="AD16" i="25"/>
  <c r="AM16" i="25"/>
  <c r="AE16" i="25"/>
  <c r="AP16" i="25"/>
  <c r="AO16" i="25"/>
  <c r="AO18" i="25" s="1"/>
  <c r="AR16" i="25"/>
  <c r="AJ16" i="25"/>
  <c r="AQ16" i="25"/>
  <c r="AI16" i="25"/>
  <c r="AH16" i="25"/>
  <c r="AG16" i="25"/>
  <c r="AF16" i="25"/>
  <c r="AP31" i="25"/>
  <c r="AH31" i="25"/>
  <c r="Z31" i="25"/>
  <c r="AD31" i="25"/>
  <c r="U31" i="25"/>
  <c r="AB31" i="25"/>
  <c r="AI31" i="25"/>
  <c r="AA31" i="25"/>
  <c r="AO31" i="25"/>
  <c r="AG31" i="25"/>
  <c r="Y31" i="25"/>
  <c r="AL31" i="25"/>
  <c r="AN31" i="25"/>
  <c r="AF31" i="25"/>
  <c r="X31" i="25"/>
  <c r="AK31" i="25"/>
  <c r="AR31" i="25"/>
  <c r="T31" i="25"/>
  <c r="AM31" i="25"/>
  <c r="AE31" i="25"/>
  <c r="W31" i="25"/>
  <c r="V31" i="25"/>
  <c r="AJ31" i="25"/>
  <c r="AJ33" i="25" s="1"/>
  <c r="AF7" i="25"/>
  <c r="AL7" i="25"/>
  <c r="AE7" i="25"/>
  <c r="AM7" i="25"/>
  <c r="AO7" i="25"/>
  <c r="AR7" i="25"/>
  <c r="AP7" i="25"/>
  <c r="AJ7" i="25"/>
  <c r="AD7" i="25"/>
  <c r="AI7" i="25"/>
  <c r="AQ7" i="25"/>
  <c r="AM13" i="25"/>
  <c r="AE13" i="25"/>
  <c r="AP13" i="25"/>
  <c r="AP15" i="25" s="1"/>
  <c r="AO13" i="25"/>
  <c r="AF13" i="25"/>
  <c r="AL13" i="25"/>
  <c r="AD13" i="25"/>
  <c r="AI13" i="25"/>
  <c r="AH13" i="25"/>
  <c r="AQ13" i="25"/>
  <c r="AR13" i="25"/>
  <c r="AJ13" i="25"/>
  <c r="AG13" i="25"/>
  <c r="D18" i="32"/>
  <c r="AL29" i="25"/>
  <c r="AD29" i="25"/>
  <c r="AC29" i="25"/>
  <c r="AE26" i="25"/>
  <c r="W26" i="25"/>
  <c r="Z23" i="25"/>
  <c r="AH23" i="25"/>
  <c r="AR23" i="25"/>
  <c r="AR20" i="25"/>
  <c r="AE20" i="25"/>
  <c r="X20" i="25"/>
  <c r="AF20" i="25"/>
  <c r="W20" i="25"/>
  <c r="Y20" i="25"/>
  <c r="AG20" i="25"/>
  <c r="V20" i="25"/>
  <c r="Z20" i="25"/>
  <c r="AA20" i="25"/>
  <c r="AL20" i="25"/>
  <c r="AM20" i="25"/>
  <c r="AB20" i="25"/>
  <c r="AO20" i="25"/>
  <c r="AD20" i="25"/>
  <c r="AH20" i="25"/>
  <c r="U20" i="25"/>
  <c r="AC20" i="25"/>
  <c r="AQ20" i="25"/>
  <c r="AI20" i="25"/>
  <c r="AJ20" i="25"/>
  <c r="AK20" i="25"/>
  <c r="AP11" i="25"/>
  <c r="AC11" i="25"/>
  <c r="AF11" i="25"/>
  <c r="AK11" i="25"/>
  <c r="AA23" i="25"/>
  <c r="AI23" i="25"/>
  <c r="V23" i="25"/>
  <c r="AD23" i="25"/>
  <c r="AL23" i="25"/>
  <c r="U29" i="25"/>
  <c r="AP29" i="25"/>
  <c r="AC23" i="25"/>
  <c r="AE23" i="25"/>
  <c r="X23" i="25"/>
  <c r="AF23" i="25"/>
  <c r="AP23" i="25"/>
  <c r="X29" i="25"/>
  <c r="AM23" i="25"/>
  <c r="AB23" i="25"/>
  <c r="AJ23" i="25"/>
  <c r="U23" i="25"/>
  <c r="AK23" i="25"/>
  <c r="AM29" i="25"/>
  <c r="AO29" i="25"/>
  <c r="W23" i="25"/>
  <c r="AO23" i="25"/>
  <c r="V29" i="25"/>
  <c r="Y23" i="25"/>
  <c r="AG23" i="25"/>
  <c r="AB29" i="25"/>
  <c r="AF26" i="25"/>
  <c r="Z26" i="25"/>
  <c r="AH26" i="25"/>
  <c r="W29" i="25"/>
  <c r="AE29" i="25"/>
  <c r="AQ29" i="25"/>
  <c r="AG26" i="25"/>
  <c r="X26" i="25"/>
  <c r="Y26" i="25"/>
  <c r="U26" i="25"/>
  <c r="AC26" i="25"/>
  <c r="AR26" i="25"/>
  <c r="Z29" i="25"/>
  <c r="AH29" i="25"/>
  <c r="AA26" i="25"/>
  <c r="AO26" i="25"/>
  <c r="AF29" i="25"/>
  <c r="AM26" i="25"/>
  <c r="AB26" i="25"/>
  <c r="AP26" i="25"/>
  <c r="Y29" i="25"/>
  <c r="AG29" i="25"/>
  <c r="V26" i="25"/>
  <c r="AD26" i="25"/>
  <c r="AA29" i="25"/>
  <c r="AI29" i="25"/>
  <c r="U11" i="25"/>
  <c r="X11" i="25"/>
  <c r="AH19" i="25"/>
  <c r="Y11" i="25"/>
  <c r="AG11" i="25"/>
  <c r="AQ11" i="25"/>
  <c r="Z11" i="25"/>
  <c r="AH11" i="25"/>
  <c r="AR11" i="25"/>
  <c r="AA11" i="25"/>
  <c r="AI11" i="25"/>
  <c r="AM11" i="25"/>
  <c r="AB11" i="25"/>
  <c r="AJ11" i="25"/>
  <c r="V11" i="25"/>
  <c r="AD11" i="25"/>
  <c r="AL11" i="25"/>
  <c r="W11" i="25"/>
  <c r="AE11" i="25"/>
  <c r="T8" i="25"/>
  <c r="U32" i="25"/>
  <c r="V32" i="25"/>
  <c r="AD32" i="25"/>
  <c r="AL32" i="25"/>
  <c r="W32" i="25"/>
  <c r="AE32" i="25"/>
  <c r="AO32" i="25"/>
  <c r="AC32" i="25"/>
  <c r="X32" i="25"/>
  <c r="Y32" i="25"/>
  <c r="AG32" i="25"/>
  <c r="AQ32" i="25"/>
  <c r="AK32" i="25"/>
  <c r="AP32" i="25"/>
  <c r="Z32" i="25"/>
  <c r="AH32" i="25"/>
  <c r="AR32" i="25"/>
  <c r="AF32" i="25"/>
  <c r="AA32" i="25"/>
  <c r="AI32" i="25"/>
  <c r="AM32" i="25"/>
  <c r="AB32" i="25"/>
  <c r="AR29" i="25"/>
  <c r="AJ29" i="25"/>
  <c r="AQ26" i="25"/>
  <c r="AI26" i="25"/>
  <c r="AJ26" i="25"/>
  <c r="AK26" i="25"/>
  <c r="AG17" i="25"/>
  <c r="AP17" i="25"/>
  <c r="Z17" i="25"/>
  <c r="AQ17" i="25"/>
  <c r="AA17" i="25"/>
  <c r="AI17" i="25"/>
  <c r="AR17" i="25"/>
  <c r="Y17" i="25"/>
  <c r="AB17" i="25"/>
  <c r="U17" i="25"/>
  <c r="AC17" i="25"/>
  <c r="AK17" i="25"/>
  <c r="AH17" i="25"/>
  <c r="AJ17" i="25"/>
  <c r="V17" i="25"/>
  <c r="AD17" i="25"/>
  <c r="AL17" i="25"/>
  <c r="W17" i="25"/>
  <c r="AE17" i="25"/>
  <c r="AM17" i="25"/>
  <c r="X17" i="25"/>
  <c r="AF17" i="25"/>
  <c r="AA14" i="25"/>
  <c r="AI14" i="25"/>
  <c r="Y14" i="25"/>
  <c r="Z14" i="25"/>
  <c r="AH14" i="25"/>
  <c r="AR14" i="25"/>
  <c r="AM14" i="25"/>
  <c r="AB14" i="25"/>
  <c r="AJ14" i="25"/>
  <c r="AK14" i="25"/>
  <c r="V14" i="25"/>
  <c r="AD14" i="25"/>
  <c r="AL14" i="25"/>
  <c r="AG14" i="25"/>
  <c r="U14" i="25"/>
  <c r="W14" i="25"/>
  <c r="W15" i="25" s="1"/>
  <c r="AE14" i="25"/>
  <c r="AO14" i="25"/>
  <c r="AQ14" i="25"/>
  <c r="AC14" i="25"/>
  <c r="X14" i="25"/>
  <c r="AF14" i="25"/>
  <c r="S31" i="25"/>
  <c r="AC31" i="25" s="1"/>
  <c r="T32" i="25"/>
  <c r="AN32" i="25"/>
  <c r="S28" i="25"/>
  <c r="T29" i="25"/>
  <c r="AN29" i="25"/>
  <c r="S25" i="25"/>
  <c r="T26" i="25"/>
  <c r="AN26" i="25"/>
  <c r="S22" i="25"/>
  <c r="T23" i="25"/>
  <c r="AN23" i="25"/>
  <c r="S16" i="25"/>
  <c r="AC16" i="25" s="1"/>
  <c r="S19" i="25"/>
  <c r="T20" i="25"/>
  <c r="AN20" i="25"/>
  <c r="T17" i="25"/>
  <c r="AN17" i="25"/>
  <c r="T14" i="25"/>
  <c r="AN14" i="25"/>
  <c r="S10" i="25"/>
  <c r="T11" i="25"/>
  <c r="AN11" i="25"/>
  <c r="Y10" i="25" l="1"/>
  <c r="AA10" i="25"/>
  <c r="AQ31" i="25"/>
  <c r="AK16" i="25"/>
  <c r="AK18" i="25" s="1"/>
  <c r="M46" i="42"/>
  <c r="T46" i="42"/>
  <c r="P46" i="42"/>
  <c r="S46" i="42"/>
  <c r="X46" i="42"/>
  <c r="R46" i="42"/>
  <c r="Q46" i="42"/>
  <c r="W46" i="42"/>
  <c r="O46" i="42"/>
  <c r="V46" i="42"/>
  <c r="U46" i="42"/>
  <c r="Y16" i="25"/>
  <c r="Y18" i="25" s="1"/>
  <c r="L46" i="42"/>
  <c r="G46" i="42"/>
  <c r="E46" i="42"/>
  <c r="N46" i="42"/>
  <c r="H46" i="42"/>
  <c r="I46" i="42"/>
  <c r="J46" i="42"/>
  <c r="M16" i="42"/>
  <c r="E8" i="34" s="1"/>
  <c r="G28" i="34" s="1"/>
  <c r="F46" i="42"/>
  <c r="K46" i="42"/>
  <c r="D31" i="32"/>
  <c r="H33" i="46"/>
  <c r="G29" i="34"/>
  <c r="Y46" i="45"/>
  <c r="AN16" i="25"/>
  <c r="AN18" i="25" s="1"/>
  <c r="AS36" i="44"/>
  <c r="U45" i="45" s="1"/>
  <c r="AC36" i="44"/>
  <c r="AS15" i="41"/>
  <c r="AS36" i="41" s="1"/>
  <c r="U45" i="42" s="1"/>
  <c r="AC36" i="41"/>
  <c r="D32" i="32"/>
  <c r="D33" i="32"/>
  <c r="D34" i="32"/>
  <c r="W33" i="25"/>
  <c r="AR25" i="25"/>
  <c r="AR27" i="25" s="1"/>
  <c r="AJ25" i="25"/>
  <c r="AJ27" i="25" s="1"/>
  <c r="AB25" i="25"/>
  <c r="AB27" i="25" s="1"/>
  <c r="T25" i="25"/>
  <c r="T27" i="25" s="1"/>
  <c r="AN25" i="25"/>
  <c r="AN27" i="25" s="1"/>
  <c r="AE25" i="25"/>
  <c r="AE27" i="25" s="1"/>
  <c r="W25" i="25"/>
  <c r="W27" i="25" s="1"/>
  <c r="AD25" i="25"/>
  <c r="AD27" i="25" s="1"/>
  <c r="AK25" i="25"/>
  <c r="AK27" i="25" s="1"/>
  <c r="AC25" i="25"/>
  <c r="AC27" i="25" s="1"/>
  <c r="U25" i="25"/>
  <c r="U27" i="25" s="1"/>
  <c r="AQ25" i="25"/>
  <c r="AQ27" i="25" s="1"/>
  <c r="AI25" i="25"/>
  <c r="AI27" i="25" s="1"/>
  <c r="AA25" i="25"/>
  <c r="AA27" i="25" s="1"/>
  <c r="AF25" i="25"/>
  <c r="AF27" i="25" s="1"/>
  <c r="AM25" i="25"/>
  <c r="AM27" i="25" s="1"/>
  <c r="AP25" i="25"/>
  <c r="AP27" i="25" s="1"/>
  <c r="AH25" i="25"/>
  <c r="AH27" i="25" s="1"/>
  <c r="Z25" i="25"/>
  <c r="Z27" i="25" s="1"/>
  <c r="X25" i="25"/>
  <c r="X27" i="25" s="1"/>
  <c r="AL25" i="25"/>
  <c r="AL27" i="25" s="1"/>
  <c r="AO25" i="25"/>
  <c r="AO27" i="25" s="1"/>
  <c r="AG25" i="25"/>
  <c r="AG27" i="25" s="1"/>
  <c r="Y25" i="25"/>
  <c r="Y27" i="25" s="1"/>
  <c r="V25" i="25"/>
  <c r="V27" i="25" s="1"/>
  <c r="AQ28" i="25"/>
  <c r="AQ30" i="25" s="1"/>
  <c r="AI28" i="25"/>
  <c r="AI30" i="25" s="1"/>
  <c r="AA28" i="25"/>
  <c r="AA30" i="25" s="1"/>
  <c r="AM28" i="25"/>
  <c r="AM30" i="25" s="1"/>
  <c r="AL28" i="25"/>
  <c r="AL30" i="25" s="1"/>
  <c r="AD28" i="25"/>
  <c r="AD30" i="25" s="1"/>
  <c r="AK28" i="25"/>
  <c r="AK30" i="25" s="1"/>
  <c r="U28" i="25"/>
  <c r="U30" i="25" s="1"/>
  <c r="AR28" i="25"/>
  <c r="AR30" i="25" s="1"/>
  <c r="AJ28" i="25"/>
  <c r="AJ30" i="25" s="1"/>
  <c r="AB28" i="25"/>
  <c r="AB30" i="25" s="1"/>
  <c r="T28" i="25"/>
  <c r="T30" i="25" s="1"/>
  <c r="AP28" i="25"/>
  <c r="AP30" i="25" s="1"/>
  <c r="AH28" i="25"/>
  <c r="AH30" i="25" s="1"/>
  <c r="Z28" i="25"/>
  <c r="Z30" i="25" s="1"/>
  <c r="AE28" i="25"/>
  <c r="AE30" i="25" s="1"/>
  <c r="AO28" i="25"/>
  <c r="AO30" i="25" s="1"/>
  <c r="AG28" i="25"/>
  <c r="AG30" i="25" s="1"/>
  <c r="Y28" i="25"/>
  <c r="Y30" i="25" s="1"/>
  <c r="V28" i="25"/>
  <c r="V30" i="25" s="1"/>
  <c r="AN28" i="25"/>
  <c r="AN30" i="25" s="1"/>
  <c r="AF28" i="25"/>
  <c r="AF30" i="25" s="1"/>
  <c r="X28" i="25"/>
  <c r="X30" i="25" s="1"/>
  <c r="W28" i="25"/>
  <c r="W30" i="25" s="1"/>
  <c r="AC28" i="25"/>
  <c r="AC30" i="25" s="1"/>
  <c r="AK22" i="25"/>
  <c r="AK24" i="25" s="1"/>
  <c r="AC22" i="25"/>
  <c r="AC24" i="25" s="1"/>
  <c r="U22" i="25"/>
  <c r="U24" i="25" s="1"/>
  <c r="AG22" i="25"/>
  <c r="AG24" i="25" s="1"/>
  <c r="X22" i="25"/>
  <c r="X24" i="25" s="1"/>
  <c r="AM22" i="25"/>
  <c r="AM24" i="25" s="1"/>
  <c r="AL22" i="25"/>
  <c r="AL24" i="25" s="1"/>
  <c r="AD22" i="25"/>
  <c r="AD24" i="25" s="1"/>
  <c r="V22" i="25"/>
  <c r="V24" i="25" s="1"/>
  <c r="AR22" i="25"/>
  <c r="AR24" i="25" s="1"/>
  <c r="AJ22" i="25"/>
  <c r="AJ24" i="25" s="1"/>
  <c r="AB22" i="25"/>
  <c r="AB24" i="25" s="1"/>
  <c r="T22" i="25"/>
  <c r="T24" i="25" s="1"/>
  <c r="Y22" i="25"/>
  <c r="Y24" i="25" s="1"/>
  <c r="AF22" i="25"/>
  <c r="AF24" i="25" s="1"/>
  <c r="AQ22" i="25"/>
  <c r="AQ24" i="25" s="1"/>
  <c r="AI22" i="25"/>
  <c r="AI24" i="25" s="1"/>
  <c r="AA22" i="25"/>
  <c r="AA24" i="25" s="1"/>
  <c r="AN22" i="25"/>
  <c r="AN24" i="25" s="1"/>
  <c r="AE22" i="25"/>
  <c r="AE24" i="25" s="1"/>
  <c r="AP22" i="25"/>
  <c r="AP24" i="25" s="1"/>
  <c r="AH22" i="25"/>
  <c r="AH24" i="25" s="1"/>
  <c r="Z22" i="25"/>
  <c r="Z24" i="25" s="1"/>
  <c r="AO22" i="25"/>
  <c r="AO24" i="25" s="1"/>
  <c r="W22" i="25"/>
  <c r="W24" i="25" s="1"/>
  <c r="AN10" i="25"/>
  <c r="AN12" i="25" s="1"/>
  <c r="AF10" i="25"/>
  <c r="AF12" i="25" s="1"/>
  <c r="AR10" i="25"/>
  <c r="AR12" i="25" s="1"/>
  <c r="AO10" i="25"/>
  <c r="AO12" i="25" s="1"/>
  <c r="AG10" i="25"/>
  <c r="AG12" i="25" s="1"/>
  <c r="AM10" i="25"/>
  <c r="AM12" i="25" s="1"/>
  <c r="AE10" i="25"/>
  <c r="AE12" i="25" s="1"/>
  <c r="AI10" i="25"/>
  <c r="AI12" i="25" s="1"/>
  <c r="AL10" i="25"/>
  <c r="AL12" i="25" s="1"/>
  <c r="AD10" i="25"/>
  <c r="AD12" i="25" s="1"/>
  <c r="AJ10" i="25"/>
  <c r="AJ12" i="25" s="1"/>
  <c r="AQ10" i="25"/>
  <c r="AQ12" i="25" s="1"/>
  <c r="AH10" i="25"/>
  <c r="AH12" i="25" s="1"/>
  <c r="AK10" i="25"/>
  <c r="AK12" i="25" s="1"/>
  <c r="AC10" i="25"/>
  <c r="AC12" i="25" s="1"/>
  <c r="AP10" i="25"/>
  <c r="AP12" i="25" s="1"/>
  <c r="AM19" i="25"/>
  <c r="AM21" i="25" s="1"/>
  <c r="AE19" i="25"/>
  <c r="AE21" i="25" s="1"/>
  <c r="W19" i="25"/>
  <c r="W21" i="25" s="1"/>
  <c r="AL19" i="25"/>
  <c r="AL21" i="25" s="1"/>
  <c r="AD19" i="25"/>
  <c r="AD21" i="25" s="1"/>
  <c r="V19" i="25"/>
  <c r="V21" i="25" s="1"/>
  <c r="AK19" i="25"/>
  <c r="AK21" i="25" s="1"/>
  <c r="AC19" i="25"/>
  <c r="AC21" i="25" s="1"/>
  <c r="U19" i="25"/>
  <c r="U21" i="25" s="1"/>
  <c r="AR19" i="25"/>
  <c r="AR21" i="25" s="1"/>
  <c r="AJ19" i="25"/>
  <c r="AJ21" i="25" s="1"/>
  <c r="AB19" i="25"/>
  <c r="AB21" i="25" s="1"/>
  <c r="T19" i="25"/>
  <c r="AQ19" i="25"/>
  <c r="AQ21" i="25" s="1"/>
  <c r="AI19" i="25"/>
  <c r="AI21" i="25" s="1"/>
  <c r="AA19" i="25"/>
  <c r="AA21" i="25" s="1"/>
  <c r="AP19" i="25"/>
  <c r="AP21" i="25" s="1"/>
  <c r="AH21" i="25"/>
  <c r="Z19" i="25"/>
  <c r="Z21" i="25" s="1"/>
  <c r="AO19" i="25"/>
  <c r="AO21" i="25" s="1"/>
  <c r="AG19" i="25"/>
  <c r="AG21" i="25" s="1"/>
  <c r="Y19" i="25"/>
  <c r="Y21" i="25" s="1"/>
  <c r="AN19" i="25"/>
  <c r="AN21" i="25" s="1"/>
  <c r="AF19" i="25"/>
  <c r="AF21" i="25" s="1"/>
  <c r="X19" i="25"/>
  <c r="X21" i="25" s="1"/>
  <c r="U18" i="25"/>
  <c r="AG15" i="25"/>
  <c r="AR15" i="25"/>
  <c r="AF33" i="25"/>
  <c r="AF18" i="25"/>
  <c r="AI18" i="25"/>
  <c r="AJ18" i="25"/>
  <c r="V33" i="25"/>
  <c r="Y33" i="25"/>
  <c r="U33" i="25"/>
  <c r="AR33" i="25"/>
  <c r="AF15" i="25"/>
  <c r="AA33" i="25"/>
  <c r="X33" i="25"/>
  <c r="AD33" i="25"/>
  <c r="AR18" i="25"/>
  <c r="AK33" i="25"/>
  <c r="V15" i="25"/>
  <c r="AA15" i="25"/>
  <c r="AI15" i="25"/>
  <c r="AD18" i="25"/>
  <c r="AG18" i="25"/>
  <c r="AE15" i="25"/>
  <c r="AQ15" i="25"/>
  <c r="AL18" i="25"/>
  <c r="AG33" i="25"/>
  <c r="V18" i="25"/>
  <c r="W18" i="25"/>
  <c r="S13" i="25"/>
  <c r="AB13" i="25" s="1"/>
  <c r="AB15" i="25" s="1"/>
  <c r="AL33" i="25"/>
  <c r="AQ33" i="25"/>
  <c r="AO33" i="25"/>
  <c r="Z33" i="25"/>
  <c r="AH18" i="25"/>
  <c r="X18" i="25"/>
  <c r="AA18" i="25"/>
  <c r="Z15" i="25"/>
  <c r="AH15" i="25"/>
  <c r="AL15" i="25"/>
  <c r="U15" i="25"/>
  <c r="AB33" i="25"/>
  <c r="AE33" i="25"/>
  <c r="AM33" i="25"/>
  <c r="AH33" i="25"/>
  <c r="AC33" i="25"/>
  <c r="AP33" i="25"/>
  <c r="AI33" i="25"/>
  <c r="Z18" i="25"/>
  <c r="AM18" i="25"/>
  <c r="AB18" i="25"/>
  <c r="AP18" i="25"/>
  <c r="AQ18" i="25"/>
  <c r="AE18" i="25"/>
  <c r="AC18" i="25"/>
  <c r="AM15" i="25"/>
  <c r="X15" i="25"/>
  <c r="AS31" i="25"/>
  <c r="AS29" i="25"/>
  <c r="X12" i="25"/>
  <c r="W12" i="25"/>
  <c r="V12" i="25"/>
  <c r="U12" i="25"/>
  <c r="T12" i="25"/>
  <c r="AS11" i="25"/>
  <c r="AS32" i="25"/>
  <c r="AS26" i="25"/>
  <c r="AS20" i="25"/>
  <c r="AS17" i="25"/>
  <c r="AB12" i="25"/>
  <c r="Y12" i="25"/>
  <c r="AN33" i="25"/>
  <c r="T33" i="25"/>
  <c r="Z12" i="25"/>
  <c r="AS23" i="25"/>
  <c r="AA12" i="25"/>
  <c r="T18" i="25"/>
  <c r="AS14" i="25"/>
  <c r="T15" i="25"/>
  <c r="Y13" i="25" l="1"/>
  <c r="Y15" i="25" s="1"/>
  <c r="AK13" i="25"/>
  <c r="AK15" i="25" s="1"/>
  <c r="Y46" i="42"/>
  <c r="G33" i="46"/>
  <c r="D29" i="32"/>
  <c r="B2" i="38"/>
  <c r="AS16" i="25"/>
  <c r="AC13" i="25"/>
  <c r="AC15" i="25" s="1"/>
  <c r="AN13" i="25"/>
  <c r="AN15" i="25" s="1"/>
  <c r="AD15" i="25"/>
  <c r="AJ15" i="25"/>
  <c r="AO15" i="25"/>
  <c r="AS28" i="25"/>
  <c r="AS22" i="25"/>
  <c r="AS25" i="25"/>
  <c r="AS27" i="25"/>
  <c r="AS24" i="25"/>
  <c r="AS18" i="25"/>
  <c r="AS33" i="25"/>
  <c r="AS30" i="25"/>
  <c r="AS19" i="25"/>
  <c r="T21" i="25"/>
  <c r="AS21" i="25" s="1"/>
  <c r="AS12" i="25"/>
  <c r="AS10" i="25"/>
  <c r="AS15" i="25" l="1"/>
  <c r="AS13" i="25"/>
  <c r="D28" i="32"/>
  <c r="D24" i="32"/>
  <c r="E24" i="32" l="1"/>
  <c r="F24" i="32" s="1"/>
  <c r="G24" i="32" s="1"/>
  <c r="H24" i="32" s="1"/>
  <c r="I24" i="32" s="1"/>
  <c r="J24" i="32" s="1"/>
  <c r="K24" i="32" s="1"/>
  <c r="L24" i="32" s="1"/>
  <c r="M24" i="32" s="1"/>
  <c r="N24" i="32" s="1"/>
  <c r="O24" i="32" s="1"/>
  <c r="P24" i="32" s="1"/>
  <c r="Q24" i="32" s="1"/>
  <c r="R24" i="32" s="1"/>
  <c r="S24" i="32" s="1"/>
  <c r="T24" i="32" s="1"/>
  <c r="U24" i="32" s="1"/>
  <c r="V24" i="32" s="1"/>
  <c r="W24" i="32" s="1"/>
  <c r="X24" i="32" s="1"/>
  <c r="T9" i="25"/>
  <c r="T36" i="25" s="1"/>
  <c r="Y24" i="32" l="1"/>
  <c r="AE8" i="28" l="1"/>
  <c r="AE9" i="28"/>
  <c r="AE10" i="28"/>
  <c r="AE12" i="28"/>
  <c r="AE13" i="28"/>
  <c r="AE14" i="28"/>
  <c r="AE15" i="28"/>
  <c r="T4" i="28"/>
  <c r="R4" i="28"/>
  <c r="AE7" i="28"/>
  <c r="F1" i="18"/>
  <c r="AB5" i="28"/>
  <c r="AC20" i="37" l="1"/>
  <c r="AE20" i="37" s="1"/>
  <c r="AC19" i="37"/>
  <c r="AE19" i="37" s="1"/>
  <c r="AC18" i="37"/>
  <c r="AE18" i="37" s="1"/>
  <c r="AC17" i="37"/>
  <c r="AE17" i="37" s="1"/>
  <c r="AC15" i="37"/>
  <c r="AE15" i="37" s="1"/>
  <c r="AC16" i="37"/>
  <c r="AE16" i="37" s="1"/>
  <c r="AC14" i="37"/>
  <c r="AE14" i="37" s="1"/>
  <c r="AC22" i="37"/>
  <c r="AE22" i="37" s="1"/>
  <c r="AC21" i="37"/>
  <c r="AE21" i="37" s="1"/>
  <c r="D25" i="32"/>
  <c r="D25" i="42"/>
  <c r="D25" i="45"/>
  <c r="D38" i="45"/>
  <c r="D38" i="42"/>
  <c r="D27" i="45"/>
  <c r="D27" i="42"/>
  <c r="D40" i="42"/>
  <c r="D40" i="45"/>
  <c r="D27" i="32"/>
  <c r="D26" i="42"/>
  <c r="D26" i="45"/>
  <c r="D39" i="42"/>
  <c r="D39" i="45"/>
  <c r="D26" i="32"/>
  <c r="D23" i="45"/>
  <c r="D23" i="42"/>
  <c r="AB14" i="40"/>
  <c r="AD14" i="40" s="1"/>
  <c r="AB13" i="43"/>
  <c r="AD13" i="43" s="1"/>
  <c r="AB15" i="43"/>
  <c r="AD15" i="43" s="1"/>
  <c r="AB15" i="40"/>
  <c r="AD15" i="40" s="1"/>
  <c r="AB12" i="40"/>
  <c r="AD12" i="40" s="1"/>
  <c r="AB12" i="43"/>
  <c r="AD12" i="43" s="1"/>
  <c r="AB8" i="40"/>
  <c r="AD8" i="40" s="1"/>
  <c r="AB10" i="40"/>
  <c r="AD10" i="40" s="1"/>
  <c r="AB14" i="43"/>
  <c r="AD14" i="43" s="1"/>
  <c r="AB10" i="43"/>
  <c r="AD10" i="43" s="1"/>
  <c r="AB13" i="40"/>
  <c r="AD13" i="40" s="1"/>
  <c r="AB8" i="43"/>
  <c r="AD8" i="43" s="1"/>
  <c r="AB9" i="40"/>
  <c r="AD9" i="40" s="1"/>
  <c r="AB7" i="43"/>
  <c r="D37" i="42"/>
  <c r="AB7" i="40"/>
  <c r="AB9" i="43"/>
  <c r="AD9" i="43" s="1"/>
  <c r="D37" i="45"/>
  <c r="AB11" i="43"/>
  <c r="AD11" i="43" s="1"/>
  <c r="D23" i="32"/>
  <c r="AB11" i="40"/>
  <c r="AD11" i="40" s="1"/>
  <c r="E19" i="45"/>
  <c r="E18" i="45" s="1"/>
  <c r="E19" i="42"/>
  <c r="E18" i="42" s="1"/>
  <c r="D42" i="32"/>
  <c r="X49" i="32"/>
  <c r="S7" i="25"/>
  <c r="G1" i="18"/>
  <c r="E19" i="32"/>
  <c r="AM8" i="25"/>
  <c r="AM9" i="25" s="1"/>
  <c r="AM36" i="25" s="1"/>
  <c r="AF8" i="25"/>
  <c r="AF9" i="25" s="1"/>
  <c r="AF36" i="25" s="1"/>
  <c r="Z8" i="25"/>
  <c r="AH8" i="25"/>
  <c r="AP8" i="25"/>
  <c r="AP9" i="25" s="1"/>
  <c r="AP36" i="25" s="1"/>
  <c r="Y8" i="25"/>
  <c r="AG8" i="25"/>
  <c r="AO8" i="25"/>
  <c r="AO9" i="25" s="1"/>
  <c r="AO36" i="25" s="1"/>
  <c r="AA8" i="25"/>
  <c r="AA9" i="25" s="1"/>
  <c r="AA36" i="25" s="1"/>
  <c r="AI8" i="25"/>
  <c r="AI9" i="25" s="1"/>
  <c r="AI36" i="25" s="1"/>
  <c r="AQ8" i="25"/>
  <c r="AQ9" i="25" s="1"/>
  <c r="AQ36" i="25" s="1"/>
  <c r="AB8" i="25"/>
  <c r="U8" i="25"/>
  <c r="U9" i="25" s="1"/>
  <c r="U36" i="25" s="1"/>
  <c r="AC8" i="25"/>
  <c r="AK8" i="25"/>
  <c r="AR8" i="25"/>
  <c r="AR9" i="25" s="1"/>
  <c r="AR36" i="25" s="1"/>
  <c r="V8" i="25"/>
  <c r="V9" i="25" s="1"/>
  <c r="V36" i="25" s="1"/>
  <c r="AD8" i="25"/>
  <c r="AD9" i="25" s="1"/>
  <c r="AD36" i="25" s="1"/>
  <c r="AL8" i="25"/>
  <c r="AL9" i="25" s="1"/>
  <c r="AL36" i="25" s="1"/>
  <c r="X8" i="25"/>
  <c r="X9" i="25" s="1"/>
  <c r="X36" i="25" s="1"/>
  <c r="AN8" i="25"/>
  <c r="AJ8" i="25"/>
  <c r="AJ9" i="25" s="1"/>
  <c r="AJ36" i="25" s="1"/>
  <c r="W8" i="25"/>
  <c r="W9" i="25" s="1"/>
  <c r="W36" i="25" s="1"/>
  <c r="AE8" i="25"/>
  <c r="AE9" i="25" s="1"/>
  <c r="AE36" i="25" s="1"/>
  <c r="AB15" i="28"/>
  <c r="AD15" i="28" s="1"/>
  <c r="AB7" i="25" l="1"/>
  <c r="Z7" i="25"/>
  <c r="Z9" i="25" s="1"/>
  <c r="Z36" i="25" s="1"/>
  <c r="AN7" i="25"/>
  <c r="AN9" i="25" s="1"/>
  <c r="AN36" i="25" s="1"/>
  <c r="AG7" i="25"/>
  <c r="AG9" i="25" s="1"/>
  <c r="AG36" i="25" s="1"/>
  <c r="AB9" i="25"/>
  <c r="AB36" i="25" s="1"/>
  <c r="D45" i="32" s="1"/>
  <c r="AH7" i="25"/>
  <c r="AH9" i="25" s="1"/>
  <c r="AH36" i="25" s="1"/>
  <c r="AK7" i="25"/>
  <c r="AK9" i="25" s="1"/>
  <c r="AK36" i="25" s="1"/>
  <c r="U16" i="28"/>
  <c r="V52" i="32" s="1"/>
  <c r="S16" i="28"/>
  <c r="F32" i="46"/>
  <c r="D60" i="32"/>
  <c r="D61" i="32" s="1"/>
  <c r="AB8" i="28"/>
  <c r="AD8" i="28" s="1"/>
  <c r="AC23" i="37"/>
  <c r="AE23" i="37" s="1"/>
  <c r="AD7" i="40"/>
  <c r="AB16" i="40"/>
  <c r="AD16" i="40" s="1"/>
  <c r="AD7" i="43"/>
  <c r="AB16" i="43"/>
  <c r="AD16" i="43" s="1"/>
  <c r="F19" i="45"/>
  <c r="F18" i="45" s="1"/>
  <c r="F19" i="42"/>
  <c r="F18" i="42" s="1"/>
  <c r="E34" i="42"/>
  <c r="E27" i="42"/>
  <c r="E26" i="42"/>
  <c r="E32" i="42"/>
  <c r="E25" i="42"/>
  <c r="E31" i="42"/>
  <c r="E50" i="42"/>
  <c r="E23" i="42"/>
  <c r="E28" i="42"/>
  <c r="E33" i="42"/>
  <c r="E52" i="42"/>
  <c r="E49" i="42"/>
  <c r="E51" i="42"/>
  <c r="E38" i="42"/>
  <c r="E37" i="42"/>
  <c r="E39" i="42"/>
  <c r="E40" i="42"/>
  <c r="E45" i="42"/>
  <c r="E26" i="45"/>
  <c r="E31" i="45"/>
  <c r="E27" i="45"/>
  <c r="E23" i="45"/>
  <c r="E52" i="45"/>
  <c r="E28" i="45"/>
  <c r="E32" i="45"/>
  <c r="E33" i="45"/>
  <c r="E34" i="45"/>
  <c r="E25" i="45"/>
  <c r="E50" i="45"/>
  <c r="E40" i="45"/>
  <c r="E49" i="45"/>
  <c r="E51" i="45"/>
  <c r="E38" i="45"/>
  <c r="E39" i="45"/>
  <c r="E37" i="45"/>
  <c r="E45" i="45"/>
  <c r="D37" i="32"/>
  <c r="D49" i="32"/>
  <c r="U49" i="32"/>
  <c r="V49" i="32"/>
  <c r="W49" i="32"/>
  <c r="Y42" i="32"/>
  <c r="M9" i="32"/>
  <c r="M11" i="32" s="1"/>
  <c r="M14" i="32" s="1"/>
  <c r="M15" i="32" s="1"/>
  <c r="D56" i="32"/>
  <c r="D57" i="32" s="1"/>
  <c r="AC7" i="25"/>
  <c r="AC9" i="25" s="1"/>
  <c r="AC36" i="25" s="1"/>
  <c r="X50" i="32"/>
  <c r="W50" i="32"/>
  <c r="U50" i="32"/>
  <c r="D50" i="32"/>
  <c r="V50" i="32"/>
  <c r="D38" i="32"/>
  <c r="E18" i="32"/>
  <c r="Y9" i="25"/>
  <c r="H1" i="18"/>
  <c r="F19" i="32"/>
  <c r="AC12" i="28"/>
  <c r="AB9" i="28"/>
  <c r="AD9" i="28" s="1"/>
  <c r="AC10" i="28"/>
  <c r="AS8" i="25"/>
  <c r="AC14" i="28"/>
  <c r="AB13" i="28"/>
  <c r="AD13" i="28" s="1"/>
  <c r="AC11" i="28"/>
  <c r="AF11" i="28" s="1"/>
  <c r="AB7" i="28"/>
  <c r="AD7" i="28" s="1"/>
  <c r="AC8" i="28"/>
  <c r="AC7" i="28"/>
  <c r="AC13" i="28"/>
  <c r="AB12" i="28"/>
  <c r="AD12" i="28" s="1"/>
  <c r="AC15" i="28"/>
  <c r="AB14" i="28"/>
  <c r="AD14" i="28" s="1"/>
  <c r="AB10" i="28"/>
  <c r="AD10" i="28" s="1"/>
  <c r="AB11" i="28"/>
  <c r="AC9" i="28"/>
  <c r="B7" i="38" l="1"/>
  <c r="E29" i="45"/>
  <c r="E43" i="45"/>
  <c r="C1" i="38"/>
  <c r="E29" i="42"/>
  <c r="F37" i="45"/>
  <c r="E43" i="42"/>
  <c r="E53" i="45"/>
  <c r="C5" i="38" s="1"/>
  <c r="F37" i="42"/>
  <c r="E53" i="42"/>
  <c r="C4" i="38" s="1"/>
  <c r="M46" i="32"/>
  <c r="N46" i="32"/>
  <c r="F38" i="42"/>
  <c r="F25" i="45"/>
  <c r="F26" i="45"/>
  <c r="F26" i="42"/>
  <c r="F25" i="42"/>
  <c r="G19" i="45"/>
  <c r="G18" i="45" s="1"/>
  <c r="G19" i="42"/>
  <c r="G18" i="42" s="1"/>
  <c r="F39" i="45"/>
  <c r="F27" i="42"/>
  <c r="F38" i="45"/>
  <c r="F40" i="42"/>
  <c r="F40" i="45"/>
  <c r="F27" i="45"/>
  <c r="F39" i="42"/>
  <c r="F23" i="42"/>
  <c r="Q11" i="42"/>
  <c r="F31" i="42"/>
  <c r="F28" i="42"/>
  <c r="F50" i="42"/>
  <c r="F32" i="42"/>
  <c r="F34" i="42"/>
  <c r="F33" i="42"/>
  <c r="F51" i="42"/>
  <c r="F49" i="42"/>
  <c r="F52" i="42"/>
  <c r="F45" i="42"/>
  <c r="F23" i="45"/>
  <c r="Q11" i="45"/>
  <c r="F32" i="45"/>
  <c r="F52" i="45"/>
  <c r="F31" i="45"/>
  <c r="F28" i="45"/>
  <c r="F34" i="45"/>
  <c r="F33" i="45"/>
  <c r="F49" i="45"/>
  <c r="F51" i="45"/>
  <c r="F50" i="45"/>
  <c r="F45" i="45"/>
  <c r="D40" i="32"/>
  <c r="E40" i="32" s="1"/>
  <c r="D52" i="32"/>
  <c r="W52" i="32"/>
  <c r="U52" i="32"/>
  <c r="X52" i="32"/>
  <c r="AG9" i="28"/>
  <c r="AF9" i="28"/>
  <c r="AG14" i="28"/>
  <c r="AF14" i="28"/>
  <c r="AG12" i="28"/>
  <c r="AF12" i="28"/>
  <c r="AG13" i="28"/>
  <c r="AF13" i="28"/>
  <c r="AG10" i="28"/>
  <c r="AF10" i="28"/>
  <c r="AG8" i="28"/>
  <c r="AF8" i="28"/>
  <c r="AG15" i="28"/>
  <c r="AF15" i="28"/>
  <c r="AG7" i="28"/>
  <c r="AF7" i="28"/>
  <c r="AS7" i="25"/>
  <c r="AC16" i="28"/>
  <c r="AG11" i="28"/>
  <c r="U51" i="32"/>
  <c r="V51" i="32"/>
  <c r="V43" i="32" s="1"/>
  <c r="D51" i="32"/>
  <c r="W51" i="32"/>
  <c r="X51" i="32"/>
  <c r="X53" i="32" s="1"/>
  <c r="D39" i="32"/>
  <c r="E39" i="32" s="1"/>
  <c r="AD11" i="28"/>
  <c r="AB16" i="28"/>
  <c r="AD16" i="28" s="1"/>
  <c r="E45" i="32"/>
  <c r="E31" i="32"/>
  <c r="E32" i="32"/>
  <c r="E49" i="32"/>
  <c r="E52" i="32"/>
  <c r="E34" i="32"/>
  <c r="E50" i="32"/>
  <c r="E51" i="32"/>
  <c r="E33" i="32"/>
  <c r="K46" i="32"/>
  <c r="L46" i="32"/>
  <c r="G46" i="32"/>
  <c r="J46" i="32"/>
  <c r="I46" i="32"/>
  <c r="F46" i="32"/>
  <c r="H46" i="32"/>
  <c r="M16" i="32"/>
  <c r="D8" i="34" s="1"/>
  <c r="G27" i="34" s="1"/>
  <c r="E46" i="32"/>
  <c r="E38" i="32"/>
  <c r="AS9" i="25"/>
  <c r="AS36" i="25" s="1"/>
  <c r="U45" i="32" s="1"/>
  <c r="Y36" i="25"/>
  <c r="F18" i="32"/>
  <c r="E28" i="32"/>
  <c r="E37" i="32"/>
  <c r="E23" i="32"/>
  <c r="E27" i="32"/>
  <c r="E26" i="32"/>
  <c r="E25" i="32"/>
  <c r="I1" i="18"/>
  <c r="G19" i="32"/>
  <c r="W43" i="32" l="1"/>
  <c r="E56" i="45"/>
  <c r="E57" i="45" s="1"/>
  <c r="E60" i="45"/>
  <c r="E61" i="45" s="1"/>
  <c r="C2" i="38"/>
  <c r="U43" i="32"/>
  <c r="F29" i="45"/>
  <c r="D1" i="38"/>
  <c r="F29" i="42"/>
  <c r="F43" i="45"/>
  <c r="E29" i="32"/>
  <c r="E60" i="42"/>
  <c r="E61" i="42" s="1"/>
  <c r="E56" i="42"/>
  <c r="E57" i="42" s="1"/>
  <c r="D53" i="32"/>
  <c r="B3" i="38" s="1"/>
  <c r="X43" i="32"/>
  <c r="D43" i="32"/>
  <c r="E43" i="32"/>
  <c r="F43" i="42"/>
  <c r="F53" i="45"/>
  <c r="D5" i="38" s="1"/>
  <c r="W53" i="32"/>
  <c r="F53" i="42"/>
  <c r="D4" i="38" s="1"/>
  <c r="U53" i="32"/>
  <c r="V53" i="32"/>
  <c r="E53" i="32"/>
  <c r="C3" i="38" s="1"/>
  <c r="F33" i="46"/>
  <c r="G26" i="45"/>
  <c r="G38" i="45"/>
  <c r="G27" i="45"/>
  <c r="G40" i="45"/>
  <c r="G39" i="45"/>
  <c r="G31" i="42"/>
  <c r="G28" i="42"/>
  <c r="G33" i="42"/>
  <c r="G32" i="42"/>
  <c r="G34" i="42"/>
  <c r="G50" i="42"/>
  <c r="G49" i="42"/>
  <c r="G52" i="42"/>
  <c r="G51" i="42"/>
  <c r="G45" i="42"/>
  <c r="G31" i="45"/>
  <c r="G32" i="45"/>
  <c r="G33" i="45"/>
  <c r="G52" i="45"/>
  <c r="G34" i="45"/>
  <c r="G28" i="45"/>
  <c r="G51" i="45"/>
  <c r="G50" i="45"/>
  <c r="G49" i="45"/>
  <c r="G45" i="45"/>
  <c r="G23" i="42"/>
  <c r="G27" i="42"/>
  <c r="G37" i="45"/>
  <c r="G25" i="45"/>
  <c r="G25" i="42"/>
  <c r="G23" i="45"/>
  <c r="G39" i="42"/>
  <c r="H19" i="42"/>
  <c r="H18" i="42" s="1"/>
  <c r="H19" i="45"/>
  <c r="H18" i="45" s="1"/>
  <c r="G37" i="42"/>
  <c r="G40" i="42"/>
  <c r="G26" i="42"/>
  <c r="G38" i="42"/>
  <c r="AF16" i="28"/>
  <c r="AG16" i="28" s="1"/>
  <c r="F45" i="32"/>
  <c r="F49" i="32"/>
  <c r="F52" i="32"/>
  <c r="F50" i="32"/>
  <c r="F51" i="32"/>
  <c r="Q11" i="32"/>
  <c r="F25" i="32"/>
  <c r="Y46" i="32"/>
  <c r="F27" i="32"/>
  <c r="F26" i="32"/>
  <c r="F37" i="32"/>
  <c r="F40" i="32"/>
  <c r="F39" i="32"/>
  <c r="F38" i="32"/>
  <c r="G18" i="32"/>
  <c r="F31" i="32"/>
  <c r="F34" i="32"/>
  <c r="F32" i="32"/>
  <c r="F33" i="32"/>
  <c r="F28" i="32"/>
  <c r="F23" i="32"/>
  <c r="J1" i="18"/>
  <c r="H19" i="32"/>
  <c r="C8" i="38" l="1"/>
  <c r="C9" i="38"/>
  <c r="F60" i="45"/>
  <c r="F61" i="45" s="1"/>
  <c r="E60" i="32"/>
  <c r="D2" i="38"/>
  <c r="G29" i="45"/>
  <c r="F29" i="32"/>
  <c r="G43" i="45"/>
  <c r="G29" i="42"/>
  <c r="F56" i="45"/>
  <c r="F57" i="45" s="1"/>
  <c r="E1" i="38"/>
  <c r="F60" i="42"/>
  <c r="F61" i="42" s="1"/>
  <c r="F56" i="42"/>
  <c r="F57" i="42" s="1"/>
  <c r="E56" i="32"/>
  <c r="E57" i="32" s="1"/>
  <c r="F43" i="32"/>
  <c r="F56" i="32" s="1"/>
  <c r="G43" i="42"/>
  <c r="G53" i="42"/>
  <c r="E4" i="38" s="1"/>
  <c r="G53" i="45"/>
  <c r="E5" i="38" s="1"/>
  <c r="F53" i="32"/>
  <c r="D3" i="38" s="1"/>
  <c r="H40" i="45"/>
  <c r="H27" i="45"/>
  <c r="H39" i="45"/>
  <c r="H38" i="45"/>
  <c r="H37" i="45"/>
  <c r="H27" i="42"/>
  <c r="H40" i="42"/>
  <c r="H23" i="45"/>
  <c r="I19" i="42"/>
  <c r="I18" i="42" s="1"/>
  <c r="I19" i="45"/>
  <c r="I18" i="45" s="1"/>
  <c r="H26" i="42"/>
  <c r="H38" i="42"/>
  <c r="H37" i="42"/>
  <c r="H32" i="45"/>
  <c r="H31" i="45"/>
  <c r="H28" i="45"/>
  <c r="H34" i="45"/>
  <c r="H33" i="45"/>
  <c r="H52" i="45"/>
  <c r="H49" i="45"/>
  <c r="H51" i="45"/>
  <c r="H50" i="45"/>
  <c r="H45" i="45"/>
  <c r="H23" i="42"/>
  <c r="H26" i="45"/>
  <c r="H50" i="42"/>
  <c r="H28" i="42"/>
  <c r="H32" i="42"/>
  <c r="H33" i="42"/>
  <c r="H31" i="42"/>
  <c r="H34" i="42"/>
  <c r="H52" i="42"/>
  <c r="H51" i="42"/>
  <c r="H49" i="42"/>
  <c r="H45" i="42"/>
  <c r="H25" i="42"/>
  <c r="H39" i="42"/>
  <c r="H25" i="45"/>
  <c r="G51" i="32"/>
  <c r="G49" i="32"/>
  <c r="G52" i="32"/>
  <c r="G50" i="32"/>
  <c r="G37" i="32"/>
  <c r="G27" i="32"/>
  <c r="G45" i="32"/>
  <c r="G23" i="32"/>
  <c r="G26" i="32"/>
  <c r="G25" i="32"/>
  <c r="G39" i="32"/>
  <c r="G38" i="32"/>
  <c r="H18" i="32"/>
  <c r="G40" i="32"/>
  <c r="G31" i="32"/>
  <c r="G34" i="32"/>
  <c r="G33" i="32"/>
  <c r="G32" i="32"/>
  <c r="G28" i="32"/>
  <c r="K1" i="18"/>
  <c r="I19" i="32"/>
  <c r="D8" i="38" l="1"/>
  <c r="E2" i="38"/>
  <c r="D9" i="38"/>
  <c r="G56" i="45"/>
  <c r="G57" i="45" s="1"/>
  <c r="G60" i="42"/>
  <c r="G61" i="42" s="1"/>
  <c r="F57" i="32"/>
  <c r="H29" i="42"/>
  <c r="G43" i="32"/>
  <c r="G60" i="45"/>
  <c r="G61" i="45" s="1"/>
  <c r="H43" i="45"/>
  <c r="G29" i="32"/>
  <c r="F1" i="38"/>
  <c r="H29" i="45"/>
  <c r="G56" i="42"/>
  <c r="G57" i="42" s="1"/>
  <c r="F60" i="32"/>
  <c r="H43" i="42"/>
  <c r="H53" i="45"/>
  <c r="F5" i="38" s="1"/>
  <c r="I39" i="42"/>
  <c r="I25" i="42"/>
  <c r="H53" i="42"/>
  <c r="F4" i="38" s="1"/>
  <c r="G53" i="32"/>
  <c r="E3" i="38" s="1"/>
  <c r="E61" i="32"/>
  <c r="C7" i="38" s="1"/>
  <c r="I40" i="42"/>
  <c r="I27" i="42"/>
  <c r="I37" i="42"/>
  <c r="I38" i="42"/>
  <c r="I26" i="42"/>
  <c r="I37" i="45"/>
  <c r="H26" i="32"/>
  <c r="I39" i="45"/>
  <c r="I27" i="45"/>
  <c r="I40" i="45"/>
  <c r="I25" i="45"/>
  <c r="I23" i="45"/>
  <c r="I23" i="42"/>
  <c r="I26" i="45"/>
  <c r="J19" i="42"/>
  <c r="J18" i="42" s="1"/>
  <c r="J19" i="45"/>
  <c r="J18" i="45" s="1"/>
  <c r="I31" i="45"/>
  <c r="I32" i="45"/>
  <c r="I28" i="45"/>
  <c r="I52" i="45"/>
  <c r="I34" i="45"/>
  <c r="I33" i="45"/>
  <c r="I51" i="45"/>
  <c r="I50" i="45"/>
  <c r="I49" i="45"/>
  <c r="I45" i="45"/>
  <c r="I38" i="45"/>
  <c r="I31" i="42"/>
  <c r="I33" i="42"/>
  <c r="I34" i="42"/>
  <c r="I28" i="42"/>
  <c r="I50" i="42"/>
  <c r="I32" i="42"/>
  <c r="I52" i="42"/>
  <c r="I49" i="42"/>
  <c r="I51" i="42"/>
  <c r="I45" i="42"/>
  <c r="H32" i="32"/>
  <c r="H51" i="32"/>
  <c r="H49" i="32"/>
  <c r="H52" i="32"/>
  <c r="H50" i="32"/>
  <c r="H27" i="32"/>
  <c r="H37" i="32"/>
  <c r="H45" i="32"/>
  <c r="H23" i="32"/>
  <c r="H40" i="32"/>
  <c r="H34" i="32"/>
  <c r="H31" i="32"/>
  <c r="H38" i="32"/>
  <c r="H28" i="32"/>
  <c r="H39" i="32"/>
  <c r="H33" i="32"/>
  <c r="I18" i="32"/>
  <c r="H25" i="32"/>
  <c r="L1" i="18"/>
  <c r="J19" i="32"/>
  <c r="E8" i="38" l="1"/>
  <c r="F2" i="38"/>
  <c r="I29" i="45"/>
  <c r="E9" i="38"/>
  <c r="I29" i="42"/>
  <c r="H43" i="32"/>
  <c r="H60" i="42"/>
  <c r="H61" i="42" s="1"/>
  <c r="H60" i="45"/>
  <c r="H61" i="45" s="1"/>
  <c r="G56" i="32"/>
  <c r="G57" i="32" s="1"/>
  <c r="G60" i="32"/>
  <c r="I43" i="45"/>
  <c r="I60" i="45" s="1"/>
  <c r="H56" i="45"/>
  <c r="H57" i="45" s="1"/>
  <c r="H29" i="32"/>
  <c r="G1" i="38"/>
  <c r="H56" i="42"/>
  <c r="H57" i="42" s="1"/>
  <c r="I43" i="42"/>
  <c r="I53" i="42"/>
  <c r="G4" i="38" s="1"/>
  <c r="I53" i="45"/>
  <c r="G5" i="38" s="1"/>
  <c r="H53" i="32"/>
  <c r="F3" i="38" s="1"/>
  <c r="F61" i="32"/>
  <c r="D7" i="38" s="1"/>
  <c r="J27" i="42"/>
  <c r="I25" i="32"/>
  <c r="J26" i="45"/>
  <c r="J32" i="45"/>
  <c r="J34" i="45"/>
  <c r="J31" i="45"/>
  <c r="J28" i="45"/>
  <c r="J33" i="45"/>
  <c r="J52" i="45"/>
  <c r="J50" i="45"/>
  <c r="J49" i="45"/>
  <c r="J51" i="45"/>
  <c r="J45" i="45"/>
  <c r="J40" i="42"/>
  <c r="K19" i="42"/>
  <c r="K18" i="42" s="1"/>
  <c r="K19" i="45"/>
  <c r="K18" i="45" s="1"/>
  <c r="J39" i="42"/>
  <c r="J27" i="45"/>
  <c r="J25" i="45"/>
  <c r="J39" i="45"/>
  <c r="J23" i="45"/>
  <c r="J40" i="45"/>
  <c r="J33" i="42"/>
  <c r="J32" i="42"/>
  <c r="J34" i="42"/>
  <c r="J31" i="42"/>
  <c r="J28" i="42"/>
  <c r="J50" i="42"/>
  <c r="J51" i="42"/>
  <c r="J52" i="42"/>
  <c r="J49" i="42"/>
  <c r="J45" i="42"/>
  <c r="J38" i="45"/>
  <c r="J38" i="42"/>
  <c r="J23" i="42"/>
  <c r="J37" i="42"/>
  <c r="J26" i="42"/>
  <c r="J25" i="42"/>
  <c r="J37" i="45"/>
  <c r="I51" i="32"/>
  <c r="I49" i="32"/>
  <c r="I52" i="32"/>
  <c r="I50" i="32"/>
  <c r="I27" i="32"/>
  <c r="I26" i="32"/>
  <c r="I45" i="32"/>
  <c r="I37" i="32"/>
  <c r="I34" i="32"/>
  <c r="I39" i="32"/>
  <c r="I31" i="32"/>
  <c r="I38" i="32"/>
  <c r="I32" i="32"/>
  <c r="I28" i="32"/>
  <c r="I33" i="32"/>
  <c r="J18" i="32"/>
  <c r="I40" i="32"/>
  <c r="I23" i="32"/>
  <c r="M1" i="18"/>
  <c r="K19" i="32"/>
  <c r="F8" i="38" l="1"/>
  <c r="I60" i="42"/>
  <c r="I61" i="42" s="1"/>
  <c r="G2" i="38"/>
  <c r="H60" i="32"/>
  <c r="H56" i="32"/>
  <c r="H57" i="32" s="1"/>
  <c r="F9" i="38"/>
  <c r="I29" i="32"/>
  <c r="I56" i="45"/>
  <c r="I57" i="45" s="1"/>
  <c r="J29" i="45"/>
  <c r="J43" i="45"/>
  <c r="H1" i="38"/>
  <c r="J29" i="42"/>
  <c r="K37" i="45"/>
  <c r="I43" i="32"/>
  <c r="I56" i="42"/>
  <c r="I57" i="42" s="1"/>
  <c r="J43" i="42"/>
  <c r="J53" i="45"/>
  <c r="H5" i="38" s="1"/>
  <c r="K38" i="45"/>
  <c r="J53" i="42"/>
  <c r="H4" i="38" s="1"/>
  <c r="I53" i="32"/>
  <c r="G3" i="38" s="1"/>
  <c r="G61" i="32"/>
  <c r="E7" i="38" s="1"/>
  <c r="I61" i="45"/>
  <c r="K25" i="42"/>
  <c r="J38" i="32"/>
  <c r="J39" i="32"/>
  <c r="K37" i="42"/>
  <c r="K26" i="45"/>
  <c r="K23" i="42"/>
  <c r="K34" i="45"/>
  <c r="K52" i="45"/>
  <c r="K31" i="45"/>
  <c r="K33" i="45"/>
  <c r="K28" i="45"/>
  <c r="K32" i="45"/>
  <c r="K49" i="45"/>
  <c r="K51" i="45"/>
  <c r="K50" i="45"/>
  <c r="K45" i="45"/>
  <c r="K38" i="42"/>
  <c r="K31" i="42"/>
  <c r="K32" i="42"/>
  <c r="K34" i="42"/>
  <c r="K50" i="42"/>
  <c r="K28" i="42"/>
  <c r="K33" i="42"/>
  <c r="K52" i="42"/>
  <c r="K51" i="42"/>
  <c r="K49" i="42"/>
  <c r="K45" i="42"/>
  <c r="K39" i="42"/>
  <c r="L19" i="45"/>
  <c r="L18" i="45" s="1"/>
  <c r="L19" i="42"/>
  <c r="L18" i="42" s="1"/>
  <c r="K23" i="45"/>
  <c r="K40" i="42"/>
  <c r="K26" i="42"/>
  <c r="K39" i="45"/>
  <c r="K27" i="42"/>
  <c r="K25" i="45"/>
  <c r="K40" i="45"/>
  <c r="K27" i="45"/>
  <c r="J45" i="32"/>
  <c r="J50" i="32"/>
  <c r="J51" i="32"/>
  <c r="J49" i="32"/>
  <c r="J52" i="32"/>
  <c r="J33" i="32"/>
  <c r="J28" i="32"/>
  <c r="J26" i="32"/>
  <c r="J37" i="32"/>
  <c r="J23" i="32"/>
  <c r="J34" i="32"/>
  <c r="J32" i="32"/>
  <c r="J40" i="32"/>
  <c r="J27" i="32"/>
  <c r="J31" i="32"/>
  <c r="J25" i="32"/>
  <c r="K18" i="32"/>
  <c r="N1" i="18"/>
  <c r="L19" i="32"/>
  <c r="G8" i="38" l="1"/>
  <c r="H2" i="38"/>
  <c r="I56" i="32"/>
  <c r="I57" i="32" s="1"/>
  <c r="G9" i="38"/>
  <c r="J60" i="45"/>
  <c r="J61" i="45" s="1"/>
  <c r="J56" i="45"/>
  <c r="J57" i="45" s="1"/>
  <c r="J60" i="42"/>
  <c r="J61" i="42" s="1"/>
  <c r="I60" i="32"/>
  <c r="I1" i="38"/>
  <c r="K43" i="45"/>
  <c r="J29" i="32"/>
  <c r="K29" i="45"/>
  <c r="K29" i="42"/>
  <c r="J56" i="42"/>
  <c r="J57" i="42" s="1"/>
  <c r="J43" i="32"/>
  <c r="K43" i="42"/>
  <c r="K53" i="42"/>
  <c r="I4" i="38" s="1"/>
  <c r="K53" i="45"/>
  <c r="I5" i="38" s="1"/>
  <c r="J53" i="32"/>
  <c r="H3" i="38" s="1"/>
  <c r="H61" i="32"/>
  <c r="F7" i="38" s="1"/>
  <c r="K39" i="32"/>
  <c r="L37" i="42"/>
  <c r="L26" i="42"/>
  <c r="K40" i="32"/>
  <c r="L40" i="42"/>
  <c r="L38" i="42"/>
  <c r="K38" i="32"/>
  <c r="L39" i="42"/>
  <c r="L32" i="45"/>
  <c r="L28" i="45"/>
  <c r="L52" i="45"/>
  <c r="L33" i="45"/>
  <c r="L34" i="45"/>
  <c r="L31" i="45"/>
  <c r="L51" i="45"/>
  <c r="L50" i="45"/>
  <c r="L49" i="45"/>
  <c r="L45" i="45"/>
  <c r="L27" i="42"/>
  <c r="M19" i="45"/>
  <c r="M18" i="45" s="1"/>
  <c r="M19" i="42"/>
  <c r="M18" i="42" s="1"/>
  <c r="L40" i="45"/>
  <c r="L37" i="45"/>
  <c r="L39" i="45"/>
  <c r="L23" i="45"/>
  <c r="L25" i="45"/>
  <c r="L38" i="45"/>
  <c r="L23" i="42"/>
  <c r="L27" i="45"/>
  <c r="L26" i="45"/>
  <c r="L33" i="42"/>
  <c r="L28" i="42"/>
  <c r="L50" i="42"/>
  <c r="L34" i="42"/>
  <c r="L31" i="42"/>
  <c r="L32" i="42"/>
  <c r="L49" i="42"/>
  <c r="L52" i="42"/>
  <c r="L51" i="42"/>
  <c r="L45" i="42"/>
  <c r="L25" i="42"/>
  <c r="K27" i="32"/>
  <c r="K50" i="32"/>
  <c r="K52" i="32"/>
  <c r="K51" i="32"/>
  <c r="K49" i="32"/>
  <c r="K23" i="32"/>
  <c r="K37" i="32"/>
  <c r="K31" i="32"/>
  <c r="K34" i="32"/>
  <c r="K26" i="32"/>
  <c r="K45" i="32"/>
  <c r="K28" i="32"/>
  <c r="L18" i="32"/>
  <c r="K33" i="32"/>
  <c r="K25" i="32"/>
  <c r="K32" i="32"/>
  <c r="O1" i="18"/>
  <c r="M19" i="32"/>
  <c r="H8" i="38" l="1"/>
  <c r="K29" i="32"/>
  <c r="L29" i="42"/>
  <c r="I2" i="38"/>
  <c r="H9" i="38"/>
  <c r="J60" i="32"/>
  <c r="K60" i="45"/>
  <c r="K61" i="45" s="1"/>
  <c r="J56" i="32"/>
  <c r="J57" i="32" s="1"/>
  <c r="K56" i="45"/>
  <c r="K57" i="45" s="1"/>
  <c r="K60" i="42"/>
  <c r="K61" i="42" s="1"/>
  <c r="L43" i="45"/>
  <c r="L29" i="45"/>
  <c r="J1" i="38"/>
  <c r="K43" i="32"/>
  <c r="K56" i="42"/>
  <c r="K57" i="42" s="1"/>
  <c r="I61" i="32"/>
  <c r="G7" i="38" s="1"/>
  <c r="L43" i="42"/>
  <c r="L53" i="42"/>
  <c r="J4" i="38" s="1"/>
  <c r="L53" i="45"/>
  <c r="J5" i="38" s="1"/>
  <c r="K53" i="32"/>
  <c r="I3" i="38" s="1"/>
  <c r="M40" i="42"/>
  <c r="M27" i="45"/>
  <c r="M23" i="42"/>
  <c r="M26" i="45"/>
  <c r="M38" i="45"/>
  <c r="M39" i="45"/>
  <c r="M33" i="45"/>
  <c r="M31" i="45"/>
  <c r="M34" i="45"/>
  <c r="M28" i="45"/>
  <c r="M32" i="45"/>
  <c r="M52" i="45"/>
  <c r="M49" i="45"/>
  <c r="M50" i="45"/>
  <c r="M51" i="45"/>
  <c r="M45" i="45"/>
  <c r="M34" i="42"/>
  <c r="M28" i="42"/>
  <c r="M31" i="42"/>
  <c r="M33" i="42"/>
  <c r="M32" i="42"/>
  <c r="M50" i="42"/>
  <c r="M52" i="42"/>
  <c r="M51" i="42"/>
  <c r="M49" i="42"/>
  <c r="M45" i="42"/>
  <c r="M25" i="45"/>
  <c r="M37" i="42"/>
  <c r="M40" i="45"/>
  <c r="M37" i="45"/>
  <c r="M27" i="42"/>
  <c r="M26" i="42"/>
  <c r="M25" i="42"/>
  <c r="M38" i="42"/>
  <c r="M39" i="42"/>
  <c r="N19" i="45"/>
  <c r="N18" i="45" s="1"/>
  <c r="N19" i="42"/>
  <c r="N18" i="42" s="1"/>
  <c r="M23" i="45"/>
  <c r="L52" i="32"/>
  <c r="L50" i="32"/>
  <c r="L51" i="32"/>
  <c r="L49" i="32"/>
  <c r="L39" i="32"/>
  <c r="L45" i="32"/>
  <c r="L37" i="32"/>
  <c r="L23" i="32"/>
  <c r="L27" i="32"/>
  <c r="L31" i="32"/>
  <c r="L25" i="32"/>
  <c r="M18" i="32"/>
  <c r="L33" i="32"/>
  <c r="L40" i="32"/>
  <c r="L32" i="32"/>
  <c r="L38" i="32"/>
  <c r="L28" i="32"/>
  <c r="L26" i="32"/>
  <c r="L34" i="32"/>
  <c r="P1" i="18"/>
  <c r="N19" i="32"/>
  <c r="I8" i="38" l="1"/>
  <c r="M29" i="42"/>
  <c r="L60" i="42"/>
  <c r="L61" i="42" s="1"/>
  <c r="L29" i="32"/>
  <c r="K60" i="32"/>
  <c r="L60" i="45"/>
  <c r="L61" i="45" s="1"/>
  <c r="J61" i="32"/>
  <c r="L56" i="45"/>
  <c r="L57" i="45" s="1"/>
  <c r="I9" i="38"/>
  <c r="M29" i="45"/>
  <c r="J2" i="38"/>
  <c r="M32" i="32"/>
  <c r="K1" i="38"/>
  <c r="K56" i="32"/>
  <c r="K57" i="32" s="1"/>
  <c r="M43" i="45"/>
  <c r="L56" i="42"/>
  <c r="L57" i="42" s="1"/>
  <c r="L43" i="32"/>
  <c r="M43" i="42"/>
  <c r="M60" i="42" s="1"/>
  <c r="M53" i="42"/>
  <c r="K4" i="38" s="1"/>
  <c r="M53" i="45"/>
  <c r="K5" i="38" s="1"/>
  <c r="L53" i="32"/>
  <c r="J3" i="38" s="1"/>
  <c r="N40" i="42"/>
  <c r="N37" i="42"/>
  <c r="N25" i="42"/>
  <c r="N38" i="45"/>
  <c r="N37" i="45"/>
  <c r="N27" i="42"/>
  <c r="N39" i="42"/>
  <c r="N26" i="45"/>
  <c r="N28" i="45"/>
  <c r="N32" i="45"/>
  <c r="N33" i="45"/>
  <c r="N52" i="45"/>
  <c r="N34" i="45"/>
  <c r="N31" i="45"/>
  <c r="N51" i="45"/>
  <c r="N50" i="45"/>
  <c r="N49" i="45"/>
  <c r="N45" i="45"/>
  <c r="N38" i="42"/>
  <c r="N40" i="45"/>
  <c r="O19" i="42"/>
  <c r="O18" i="42" s="1"/>
  <c r="O19" i="45"/>
  <c r="O18" i="45" s="1"/>
  <c r="N23" i="45"/>
  <c r="N27" i="45"/>
  <c r="N39" i="45"/>
  <c r="N23" i="42"/>
  <c r="N33" i="42"/>
  <c r="N50" i="42"/>
  <c r="N31" i="42"/>
  <c r="N28" i="42"/>
  <c r="N32" i="42"/>
  <c r="N34" i="42"/>
  <c r="N51" i="42"/>
  <c r="N49" i="42"/>
  <c r="N52" i="42"/>
  <c r="N45" i="42"/>
  <c r="N26" i="42"/>
  <c r="N25" i="45"/>
  <c r="M28" i="32"/>
  <c r="M49" i="32"/>
  <c r="M52" i="32"/>
  <c r="M50" i="32"/>
  <c r="M51" i="32"/>
  <c r="M34" i="32"/>
  <c r="M26" i="32"/>
  <c r="M38" i="32"/>
  <c r="M27" i="32"/>
  <c r="M33" i="32"/>
  <c r="M31" i="32"/>
  <c r="M40" i="32"/>
  <c r="M37" i="32"/>
  <c r="M25" i="32"/>
  <c r="M39" i="32"/>
  <c r="M45" i="32"/>
  <c r="N18" i="32"/>
  <c r="M23" i="32"/>
  <c r="Q1" i="18"/>
  <c r="O19" i="32"/>
  <c r="J8" i="38" l="1"/>
  <c r="L56" i="32"/>
  <c r="L57" i="32" s="1"/>
  <c r="K61" i="32"/>
  <c r="I7" i="38" s="1"/>
  <c r="H7" i="38"/>
  <c r="M56" i="45"/>
  <c r="M57" i="45" s="1"/>
  <c r="J9" i="38"/>
  <c r="K2" i="38"/>
  <c r="L60" i="32"/>
  <c r="M60" i="45"/>
  <c r="M61" i="45" s="1"/>
  <c r="N33" i="32"/>
  <c r="L1" i="38"/>
  <c r="N29" i="45"/>
  <c r="N43" i="45"/>
  <c r="N29" i="42"/>
  <c r="M29" i="32"/>
  <c r="M56" i="42"/>
  <c r="M57" i="42" s="1"/>
  <c r="N43" i="42"/>
  <c r="M43" i="32"/>
  <c r="N53" i="45"/>
  <c r="L5" i="38" s="1"/>
  <c r="N53" i="42"/>
  <c r="L4" i="38" s="1"/>
  <c r="M53" i="32"/>
  <c r="K3" i="38" s="1"/>
  <c r="O25" i="42"/>
  <c r="M61" i="42"/>
  <c r="N28" i="32"/>
  <c r="O23" i="45"/>
  <c r="O27" i="42"/>
  <c r="O34" i="45"/>
  <c r="O32" i="45"/>
  <c r="O33" i="45"/>
  <c r="O31" i="45"/>
  <c r="O52" i="45"/>
  <c r="O28" i="45"/>
  <c r="O51" i="45"/>
  <c r="O49" i="45"/>
  <c r="O50" i="45"/>
  <c r="O45" i="45"/>
  <c r="O38" i="42"/>
  <c r="O37" i="45"/>
  <c r="O23" i="42"/>
  <c r="O32" i="42"/>
  <c r="O33" i="42"/>
  <c r="O50" i="42"/>
  <c r="O34" i="42"/>
  <c r="O28" i="42"/>
  <c r="O31" i="42"/>
  <c r="O52" i="42"/>
  <c r="O51" i="42"/>
  <c r="O49" i="42"/>
  <c r="O45" i="42"/>
  <c r="O38" i="45"/>
  <c r="O39" i="45"/>
  <c r="O25" i="45"/>
  <c r="O27" i="45"/>
  <c r="O37" i="42"/>
  <c r="O26" i="45"/>
  <c r="O26" i="42"/>
  <c r="O40" i="42"/>
  <c r="P19" i="42"/>
  <c r="P18" i="42" s="1"/>
  <c r="P19" i="45"/>
  <c r="P18" i="45" s="1"/>
  <c r="O40" i="45"/>
  <c r="O39" i="42"/>
  <c r="N49" i="32"/>
  <c r="N52" i="32"/>
  <c r="N51" i="32"/>
  <c r="N50" i="32"/>
  <c r="N23" i="32"/>
  <c r="N38" i="32"/>
  <c r="N45" i="32"/>
  <c r="N26" i="32"/>
  <c r="N27" i="32"/>
  <c r="N37" i="32"/>
  <c r="N40" i="32"/>
  <c r="N32" i="32"/>
  <c r="N34" i="32"/>
  <c r="N31" i="32"/>
  <c r="O18" i="32"/>
  <c r="N25" i="32"/>
  <c r="N39" i="32"/>
  <c r="R1" i="18"/>
  <c r="P19" i="32"/>
  <c r="K8" i="38" l="1"/>
  <c r="L61" i="32"/>
  <c r="J7" i="38" s="1"/>
  <c r="O29" i="45"/>
  <c r="L2" i="38"/>
  <c r="N43" i="32"/>
  <c r="N56" i="45"/>
  <c r="K9" i="38"/>
  <c r="N60" i="45"/>
  <c r="N61" i="45" s="1"/>
  <c r="N29" i="32"/>
  <c r="O43" i="45"/>
  <c r="O29" i="42"/>
  <c r="M56" i="32"/>
  <c r="M57" i="32" s="1"/>
  <c r="N60" i="42"/>
  <c r="N61" i="42" s="1"/>
  <c r="O31" i="32"/>
  <c r="M1" i="38"/>
  <c r="M60" i="32"/>
  <c r="N56" i="42"/>
  <c r="O43" i="42"/>
  <c r="O53" i="42"/>
  <c r="M4" i="38" s="1"/>
  <c r="O53" i="45"/>
  <c r="M5" i="38" s="1"/>
  <c r="N53" i="32"/>
  <c r="L3" i="38" s="1"/>
  <c r="O39" i="32"/>
  <c r="O26" i="32"/>
  <c r="O25" i="32"/>
  <c r="O37" i="32"/>
  <c r="P37" i="42"/>
  <c r="P40" i="42"/>
  <c r="P27" i="42"/>
  <c r="P26" i="42"/>
  <c r="Q19" i="42"/>
  <c r="Q18" i="42" s="1"/>
  <c r="Q19" i="45"/>
  <c r="Q18" i="45" s="1"/>
  <c r="O40" i="32"/>
  <c r="P31" i="42"/>
  <c r="P28" i="42"/>
  <c r="P33" i="42"/>
  <c r="P50" i="42"/>
  <c r="P34" i="42"/>
  <c r="P32" i="42"/>
  <c r="P49" i="42"/>
  <c r="P51" i="42"/>
  <c r="P52" i="42"/>
  <c r="P45" i="42"/>
  <c r="P25" i="45"/>
  <c r="P39" i="42"/>
  <c r="P39" i="45"/>
  <c r="P23" i="42"/>
  <c r="P23" i="45"/>
  <c r="P25" i="42"/>
  <c r="P38" i="45"/>
  <c r="P37" i="45"/>
  <c r="P32" i="45"/>
  <c r="P28" i="45"/>
  <c r="P34" i="45"/>
  <c r="P52" i="45"/>
  <c r="P33" i="45"/>
  <c r="P31" i="45"/>
  <c r="P49" i="45"/>
  <c r="P51" i="45"/>
  <c r="P50" i="45"/>
  <c r="P45" i="45"/>
  <c r="P27" i="45"/>
  <c r="P40" i="45"/>
  <c r="P26" i="45"/>
  <c r="P38" i="42"/>
  <c r="O45" i="32"/>
  <c r="O51" i="32"/>
  <c r="O49" i="32"/>
  <c r="O52" i="32"/>
  <c r="O50" i="32"/>
  <c r="O32" i="32"/>
  <c r="O28" i="32"/>
  <c r="O33" i="32"/>
  <c r="O34" i="32"/>
  <c r="P18" i="32"/>
  <c r="O27" i="32"/>
  <c r="O23" i="32"/>
  <c r="O38" i="32"/>
  <c r="S1" i="18"/>
  <c r="Q19" i="32"/>
  <c r="Q18" i="32" s="1"/>
  <c r="O56" i="45" l="1"/>
  <c r="M61" i="32"/>
  <c r="K7" i="38" s="1"/>
  <c r="N60" i="32"/>
  <c r="O60" i="42"/>
  <c r="O61" i="42" s="1"/>
  <c r="O60" i="45"/>
  <c r="O61" i="45" s="1"/>
  <c r="M2" i="38"/>
  <c r="O1" i="38"/>
  <c r="P29" i="42"/>
  <c r="N56" i="32"/>
  <c r="N57" i="32" s="1"/>
  <c r="O29" i="32"/>
  <c r="P43" i="45"/>
  <c r="N1" i="38"/>
  <c r="P29" i="45"/>
  <c r="O56" i="42"/>
  <c r="O43" i="32"/>
  <c r="P43" i="42"/>
  <c r="P53" i="45"/>
  <c r="N5" i="38" s="1"/>
  <c r="P53" i="42"/>
  <c r="N4" i="38" s="1"/>
  <c r="O53" i="32"/>
  <c r="M3" i="38" s="1"/>
  <c r="Q26" i="45"/>
  <c r="Q40" i="42"/>
  <c r="Q40" i="45"/>
  <c r="Q27" i="45"/>
  <c r="Q38" i="42"/>
  <c r="Q39" i="42"/>
  <c r="Q37" i="42"/>
  <c r="Q27" i="42"/>
  <c r="Q26" i="42"/>
  <c r="Q39" i="45"/>
  <c r="Q38" i="45"/>
  <c r="Q25" i="42"/>
  <c r="Q23" i="45"/>
  <c r="R19" i="42"/>
  <c r="R18" i="42" s="1"/>
  <c r="R19" i="45"/>
  <c r="R18" i="45" s="1"/>
  <c r="Q37" i="45"/>
  <c r="Q23" i="42"/>
  <c r="N57" i="45"/>
  <c r="L9" i="38" s="1"/>
  <c r="N57" i="42"/>
  <c r="Q31" i="45"/>
  <c r="Q34" i="45"/>
  <c r="Q33" i="45"/>
  <c r="Q28" i="45"/>
  <c r="Q32" i="45"/>
  <c r="Q52" i="45"/>
  <c r="Q50" i="45"/>
  <c r="Q49" i="45"/>
  <c r="Q51" i="45"/>
  <c r="Q45" i="45"/>
  <c r="Q25" i="45"/>
  <c r="Q28" i="42"/>
  <c r="Q32" i="42"/>
  <c r="Q50" i="42"/>
  <c r="Q33" i="42"/>
  <c r="Q34" i="42"/>
  <c r="Q31" i="42"/>
  <c r="Q52" i="42"/>
  <c r="Q51" i="42"/>
  <c r="Q49" i="42"/>
  <c r="Q45" i="42"/>
  <c r="P27" i="32"/>
  <c r="Q27" i="32" s="1"/>
  <c r="Q45" i="32"/>
  <c r="Q51" i="32"/>
  <c r="Q50" i="32"/>
  <c r="Q49" i="32"/>
  <c r="Q52" i="32"/>
  <c r="P25" i="32"/>
  <c r="Q25" i="32" s="1"/>
  <c r="P51" i="32"/>
  <c r="P49" i="32"/>
  <c r="P52" i="32"/>
  <c r="P50" i="32"/>
  <c r="P34" i="32"/>
  <c r="P32" i="32"/>
  <c r="P31" i="32"/>
  <c r="P38" i="32"/>
  <c r="Q38" i="32" s="1"/>
  <c r="P26" i="32"/>
  <c r="Q26" i="32" s="1"/>
  <c r="P23" i="32"/>
  <c r="P37" i="32"/>
  <c r="P45" i="32"/>
  <c r="P28" i="32"/>
  <c r="P39" i="32"/>
  <c r="Q39" i="32" s="1"/>
  <c r="P33" i="32"/>
  <c r="P40" i="32"/>
  <c r="Q40" i="32" s="1"/>
  <c r="Q33" i="32"/>
  <c r="Q28" i="32"/>
  <c r="Q31" i="32"/>
  <c r="Q34" i="32"/>
  <c r="Q32" i="32"/>
  <c r="T1" i="18"/>
  <c r="R19" i="32"/>
  <c r="R18" i="32" s="1"/>
  <c r="P56" i="42" l="1"/>
  <c r="N61" i="32"/>
  <c r="L7" i="38" s="1"/>
  <c r="Q29" i="32"/>
  <c r="P60" i="45"/>
  <c r="P61" i="45" s="1"/>
  <c r="O56" i="32"/>
  <c r="O57" i="32" s="1"/>
  <c r="N2" i="38"/>
  <c r="O2" i="38"/>
  <c r="Q43" i="45"/>
  <c r="P1" i="38"/>
  <c r="Q29" i="42"/>
  <c r="Q29" i="45"/>
  <c r="P56" i="45"/>
  <c r="P29" i="32"/>
  <c r="P43" i="32"/>
  <c r="Q43" i="32"/>
  <c r="P60" i="42"/>
  <c r="P61" i="42" s="1"/>
  <c r="Q37" i="32"/>
  <c r="R37" i="32" s="1"/>
  <c r="O60" i="32"/>
  <c r="O57" i="42"/>
  <c r="M8" i="38" s="1"/>
  <c r="L8" i="38"/>
  <c r="Q43" i="42"/>
  <c r="Q53" i="42"/>
  <c r="O4" i="38" s="1"/>
  <c r="Q53" i="45"/>
  <c r="O5" i="38" s="1"/>
  <c r="Q53" i="32"/>
  <c r="O3" i="38" s="1"/>
  <c r="P53" i="32"/>
  <c r="N3" i="38" s="1"/>
  <c r="O57" i="45"/>
  <c r="R38" i="42"/>
  <c r="R38" i="45"/>
  <c r="R39" i="45"/>
  <c r="R26" i="45"/>
  <c r="R37" i="45"/>
  <c r="R27" i="45"/>
  <c r="R25" i="45"/>
  <c r="R27" i="42"/>
  <c r="R25" i="42"/>
  <c r="R26" i="42"/>
  <c r="R37" i="42"/>
  <c r="R40" i="42"/>
  <c r="R32" i="45"/>
  <c r="R34" i="45"/>
  <c r="R31" i="45"/>
  <c r="R33" i="45"/>
  <c r="R52" i="45"/>
  <c r="R28" i="45"/>
  <c r="R49" i="45"/>
  <c r="R51" i="45"/>
  <c r="R50" i="45"/>
  <c r="R45" i="45"/>
  <c r="R23" i="45"/>
  <c r="R32" i="42"/>
  <c r="R50" i="42"/>
  <c r="R34" i="42"/>
  <c r="R33" i="42"/>
  <c r="R31" i="42"/>
  <c r="R28" i="42"/>
  <c r="R49" i="42"/>
  <c r="R52" i="42"/>
  <c r="R51" i="42"/>
  <c r="R45" i="42"/>
  <c r="R23" i="42"/>
  <c r="R40" i="45"/>
  <c r="S19" i="42"/>
  <c r="S18" i="42" s="1"/>
  <c r="S19" i="45"/>
  <c r="S18" i="45" s="1"/>
  <c r="R39" i="42"/>
  <c r="Q23" i="32"/>
  <c r="R23" i="32" s="1"/>
  <c r="R50" i="32"/>
  <c r="R51" i="32"/>
  <c r="R49" i="32"/>
  <c r="R52" i="32"/>
  <c r="R27" i="32"/>
  <c r="R45" i="32"/>
  <c r="R40" i="32"/>
  <c r="R39" i="32"/>
  <c r="R38" i="32"/>
  <c r="R32" i="32"/>
  <c r="R33" i="32"/>
  <c r="R28" i="32"/>
  <c r="R31" i="32"/>
  <c r="R34" i="32"/>
  <c r="R25" i="32"/>
  <c r="R26" i="32"/>
  <c r="U1" i="18"/>
  <c r="S19" i="32"/>
  <c r="S18" i="32" s="1"/>
  <c r="Q1" i="38" l="1"/>
  <c r="O61" i="32"/>
  <c r="M7" i="38" s="1"/>
  <c r="Q60" i="45"/>
  <c r="Q61" i="45" s="1"/>
  <c r="R29" i="42"/>
  <c r="P2" i="38"/>
  <c r="P60" i="32"/>
  <c r="Q60" i="42"/>
  <c r="Q61" i="42" s="1"/>
  <c r="P56" i="32"/>
  <c r="P57" i="32" s="1"/>
  <c r="R29" i="45"/>
  <c r="R43" i="45"/>
  <c r="R29" i="32"/>
  <c r="Q56" i="45"/>
  <c r="P57" i="42"/>
  <c r="N8" i="38" s="1"/>
  <c r="Q56" i="42"/>
  <c r="R43" i="32"/>
  <c r="Q60" i="32"/>
  <c r="Q56" i="32"/>
  <c r="P57" i="45"/>
  <c r="N9" i="38" s="1"/>
  <c r="M9" i="38"/>
  <c r="R43" i="42"/>
  <c r="R60" i="42" s="1"/>
  <c r="R53" i="42"/>
  <c r="P4" i="38" s="1"/>
  <c r="R53" i="45"/>
  <c r="P5" i="38" s="1"/>
  <c r="R53" i="32"/>
  <c r="P3" i="38" s="1"/>
  <c r="S33" i="45"/>
  <c r="S32" i="45"/>
  <c r="S52" i="45"/>
  <c r="S28" i="45"/>
  <c r="S34" i="45"/>
  <c r="S31" i="45"/>
  <c r="S49" i="45"/>
  <c r="S51" i="45"/>
  <c r="S50" i="45"/>
  <c r="S45" i="45"/>
  <c r="S32" i="42"/>
  <c r="S34" i="42"/>
  <c r="S50" i="42"/>
  <c r="S33" i="42"/>
  <c r="S31" i="42"/>
  <c r="S28" i="42"/>
  <c r="S52" i="42"/>
  <c r="S51" i="42"/>
  <c r="S49" i="42"/>
  <c r="S45" i="42"/>
  <c r="S40" i="42"/>
  <c r="S38" i="45"/>
  <c r="S37" i="42"/>
  <c r="S40" i="45"/>
  <c r="S26" i="42"/>
  <c r="S37" i="45"/>
  <c r="S38" i="42"/>
  <c r="T19" i="45"/>
  <c r="T18" i="45" s="1"/>
  <c r="T19" i="42"/>
  <c r="T18" i="42" s="1"/>
  <c r="S39" i="42"/>
  <c r="S27" i="45"/>
  <c r="S26" i="45"/>
  <c r="S25" i="42"/>
  <c r="S25" i="45"/>
  <c r="S23" i="45"/>
  <c r="S39" i="45"/>
  <c r="S27" i="42"/>
  <c r="S23" i="42"/>
  <c r="S52" i="32"/>
  <c r="S50" i="32"/>
  <c r="S51" i="32"/>
  <c r="S49" i="32"/>
  <c r="S27" i="32"/>
  <c r="S45" i="32"/>
  <c r="S37" i="32"/>
  <c r="S23" i="32"/>
  <c r="S25" i="32"/>
  <c r="S38" i="32"/>
  <c r="S26" i="32"/>
  <c r="S39" i="32"/>
  <c r="S40" i="32"/>
  <c r="S32" i="32"/>
  <c r="S33" i="32"/>
  <c r="S28" i="32"/>
  <c r="S31" i="32"/>
  <c r="S34" i="32"/>
  <c r="V1" i="18"/>
  <c r="T19" i="32"/>
  <c r="T18" i="32" s="1"/>
  <c r="Q2" i="38" l="1"/>
  <c r="R1" i="38"/>
  <c r="P61" i="32"/>
  <c r="Q61" i="32" s="1"/>
  <c r="R60" i="45"/>
  <c r="R61" i="45" s="1"/>
  <c r="R56" i="45"/>
  <c r="R60" i="32"/>
  <c r="S29" i="42"/>
  <c r="S29" i="45"/>
  <c r="S43" i="45"/>
  <c r="S29" i="32"/>
  <c r="S43" i="32"/>
  <c r="R56" i="42"/>
  <c r="R56" i="32"/>
  <c r="S43" i="42"/>
  <c r="S53" i="42"/>
  <c r="Q4" i="38" s="1"/>
  <c r="S53" i="45"/>
  <c r="Q5" i="38" s="1"/>
  <c r="S53" i="32"/>
  <c r="Q3" i="38" s="1"/>
  <c r="R61" i="42"/>
  <c r="T25" i="45"/>
  <c r="U25" i="45" s="1"/>
  <c r="V25" i="45" s="1"/>
  <c r="W25" i="45" s="1"/>
  <c r="X25" i="45" s="1"/>
  <c r="Y25" i="45" s="1"/>
  <c r="T25" i="42"/>
  <c r="U25" i="42" s="1"/>
  <c r="V25" i="42" s="1"/>
  <c r="W25" i="42" s="1"/>
  <c r="X25" i="42" s="1"/>
  <c r="Y25" i="42" s="1"/>
  <c r="T39" i="45"/>
  <c r="U39" i="45" s="1"/>
  <c r="V39" i="45" s="1"/>
  <c r="W39" i="45" s="1"/>
  <c r="X39" i="45" s="1"/>
  <c r="Y39" i="45" s="1"/>
  <c r="T39" i="42"/>
  <c r="U39" i="42" s="1"/>
  <c r="V39" i="42" s="1"/>
  <c r="W39" i="42" s="1"/>
  <c r="X39" i="42" s="1"/>
  <c r="Y39" i="42" s="1"/>
  <c r="T27" i="42"/>
  <c r="U27" i="42" s="1"/>
  <c r="V27" i="42" s="1"/>
  <c r="W27" i="42" s="1"/>
  <c r="X27" i="42" s="1"/>
  <c r="Y27" i="42" s="1"/>
  <c r="T23" i="45"/>
  <c r="T38" i="45"/>
  <c r="U38" i="45" s="1"/>
  <c r="V38" i="45" s="1"/>
  <c r="W38" i="45" s="1"/>
  <c r="X38" i="45" s="1"/>
  <c r="Y38" i="45" s="1"/>
  <c r="T34" i="42"/>
  <c r="Y34" i="42" s="1"/>
  <c r="T33" i="42"/>
  <c r="Y33" i="42" s="1"/>
  <c r="T31" i="42"/>
  <c r="T28" i="42"/>
  <c r="Y28" i="42" s="1"/>
  <c r="T32" i="42"/>
  <c r="T50" i="42"/>
  <c r="T52" i="42"/>
  <c r="Y52" i="42" s="1"/>
  <c r="T51" i="42"/>
  <c r="Y51" i="42" s="1"/>
  <c r="T49" i="42"/>
  <c r="T45" i="42"/>
  <c r="Y45" i="42" s="1"/>
  <c r="T28" i="45"/>
  <c r="Y28" i="45" s="1"/>
  <c r="T33" i="45"/>
  <c r="Y33" i="45" s="1"/>
  <c r="T34" i="45"/>
  <c r="Y34" i="45" s="1"/>
  <c r="T31" i="45"/>
  <c r="Y31" i="45" s="1"/>
  <c r="T52" i="45"/>
  <c r="Y52" i="45" s="1"/>
  <c r="T32" i="45"/>
  <c r="T50" i="45"/>
  <c r="Y50" i="45" s="1"/>
  <c r="T51" i="45"/>
  <c r="Y51" i="45" s="1"/>
  <c r="T49" i="45"/>
  <c r="T45" i="45"/>
  <c r="Y45" i="45" s="1"/>
  <c r="T40" i="42"/>
  <c r="U40" i="42" s="1"/>
  <c r="V40" i="42" s="1"/>
  <c r="W40" i="42" s="1"/>
  <c r="X40" i="42" s="1"/>
  <c r="Y40" i="42" s="1"/>
  <c r="U19" i="45"/>
  <c r="U19" i="42"/>
  <c r="T38" i="42"/>
  <c r="U38" i="42" s="1"/>
  <c r="V38" i="42" s="1"/>
  <c r="W38" i="42" s="1"/>
  <c r="X38" i="42" s="1"/>
  <c r="Y38" i="42" s="1"/>
  <c r="Q57" i="45"/>
  <c r="O9" i="38" s="1"/>
  <c r="Q57" i="42"/>
  <c r="O8" i="38" s="1"/>
  <c r="T37" i="45"/>
  <c r="T37" i="42"/>
  <c r="T23" i="42"/>
  <c r="T26" i="45"/>
  <c r="U26" i="45" s="1"/>
  <c r="V26" i="45" s="1"/>
  <c r="W26" i="45" s="1"/>
  <c r="X26" i="45" s="1"/>
  <c r="Y26" i="45" s="1"/>
  <c r="T26" i="42"/>
  <c r="U26" i="42" s="1"/>
  <c r="V26" i="42" s="1"/>
  <c r="W26" i="42" s="1"/>
  <c r="X26" i="42" s="1"/>
  <c r="Y26" i="42" s="1"/>
  <c r="T27" i="45"/>
  <c r="U27" i="45" s="1"/>
  <c r="V27" i="45" s="1"/>
  <c r="W27" i="45" s="1"/>
  <c r="X27" i="45" s="1"/>
  <c r="Y27" i="45" s="1"/>
  <c r="T40" i="45"/>
  <c r="U40" i="45" s="1"/>
  <c r="V40" i="45" s="1"/>
  <c r="W40" i="45" s="1"/>
  <c r="X40" i="45" s="1"/>
  <c r="Y40" i="45" s="1"/>
  <c r="Q57" i="32"/>
  <c r="T45" i="32"/>
  <c r="Y45" i="32" s="1"/>
  <c r="T52" i="32"/>
  <c r="T49" i="32"/>
  <c r="T50" i="32"/>
  <c r="T51" i="32"/>
  <c r="T37" i="32"/>
  <c r="T40" i="32"/>
  <c r="U40" i="32" s="1"/>
  <c r="V40" i="32" s="1"/>
  <c r="W40" i="32" s="1"/>
  <c r="X40" i="32" s="1"/>
  <c r="Y40" i="32" s="1"/>
  <c r="T27" i="32"/>
  <c r="U27" i="32" s="1"/>
  <c r="V27" i="32" s="1"/>
  <c r="W27" i="32" s="1"/>
  <c r="X27" i="32" s="1"/>
  <c r="Y27" i="32" s="1"/>
  <c r="T25" i="32"/>
  <c r="U25" i="32" s="1"/>
  <c r="V25" i="32" s="1"/>
  <c r="W25" i="32" s="1"/>
  <c r="X25" i="32" s="1"/>
  <c r="Y25" i="32" s="1"/>
  <c r="T26" i="32"/>
  <c r="U26" i="32" s="1"/>
  <c r="V26" i="32" s="1"/>
  <c r="W26" i="32" s="1"/>
  <c r="X26" i="32" s="1"/>
  <c r="Y26" i="32" s="1"/>
  <c r="T39" i="32"/>
  <c r="U39" i="32" s="1"/>
  <c r="V39" i="32" s="1"/>
  <c r="W39" i="32" s="1"/>
  <c r="X39" i="32" s="1"/>
  <c r="Y39" i="32" s="1"/>
  <c r="T38" i="32"/>
  <c r="U38" i="32" s="1"/>
  <c r="V38" i="32" s="1"/>
  <c r="W38" i="32" s="1"/>
  <c r="X38" i="32" s="1"/>
  <c r="Y38" i="32" s="1"/>
  <c r="T32" i="32"/>
  <c r="T34" i="32"/>
  <c r="T33" i="32"/>
  <c r="Y33" i="32" s="1"/>
  <c r="T28" i="32"/>
  <c r="Y28" i="32" s="1"/>
  <c r="T31" i="32"/>
  <c r="Y31" i="32" s="1"/>
  <c r="T23" i="32"/>
  <c r="W1" i="18"/>
  <c r="U19" i="32"/>
  <c r="R2" i="38" l="1"/>
  <c r="N7" i="38"/>
  <c r="T43" i="45"/>
  <c r="Y43" i="45" s="1"/>
  <c r="S60" i="42"/>
  <c r="S61" i="42" s="1"/>
  <c r="S60" i="45"/>
  <c r="S61" i="45" s="1"/>
  <c r="S56" i="45"/>
  <c r="S60" i="32"/>
  <c r="Y32" i="42"/>
  <c r="T29" i="42"/>
  <c r="Y29" i="42" s="1"/>
  <c r="S56" i="32"/>
  <c r="Y32" i="45"/>
  <c r="T29" i="45"/>
  <c r="Y29" i="45" s="1"/>
  <c r="T29" i="32"/>
  <c r="Y29" i="32" s="1"/>
  <c r="C7" i="34" s="1"/>
  <c r="U37" i="45"/>
  <c r="T43" i="32"/>
  <c r="Y43" i="32" s="1"/>
  <c r="U37" i="42"/>
  <c r="S56" i="42"/>
  <c r="U37" i="32"/>
  <c r="R57" i="32"/>
  <c r="O7" i="38"/>
  <c r="Y50" i="42"/>
  <c r="T43" i="42"/>
  <c r="Y43" i="42" s="1"/>
  <c r="D6" i="34"/>
  <c r="F35" i="46" s="1"/>
  <c r="E27" i="34"/>
  <c r="F6" i="34"/>
  <c r="H35" i="46" s="1"/>
  <c r="E29" i="34"/>
  <c r="E6" i="34"/>
  <c r="G35" i="46" s="1"/>
  <c r="E28" i="34"/>
  <c r="T53" i="45"/>
  <c r="R5" i="38" s="1"/>
  <c r="Y49" i="42"/>
  <c r="T53" i="42"/>
  <c r="R4" i="38" s="1"/>
  <c r="T53" i="32"/>
  <c r="R3" i="38" s="1"/>
  <c r="R57" i="42"/>
  <c r="P8" i="38" s="1"/>
  <c r="R57" i="45"/>
  <c r="U23" i="45"/>
  <c r="Y49" i="45"/>
  <c r="Y31" i="42"/>
  <c r="V19" i="45"/>
  <c r="V19" i="42"/>
  <c r="U23" i="42"/>
  <c r="R61" i="32"/>
  <c r="Y32" i="32"/>
  <c r="U23" i="32"/>
  <c r="Y49" i="32"/>
  <c r="Y51" i="32"/>
  <c r="Y50" i="32"/>
  <c r="Y52" i="32"/>
  <c r="Y34" i="32"/>
  <c r="X1" i="18"/>
  <c r="V19" i="32"/>
  <c r="P7" i="38" l="1"/>
  <c r="T56" i="32"/>
  <c r="T56" i="42"/>
  <c r="T60" i="32"/>
  <c r="F26" i="34"/>
  <c r="E36" i="46"/>
  <c r="Y53" i="42"/>
  <c r="S57" i="32"/>
  <c r="T60" i="45"/>
  <c r="T61" i="45" s="1"/>
  <c r="T56" i="45"/>
  <c r="V37" i="45"/>
  <c r="U56" i="45"/>
  <c r="U60" i="45"/>
  <c r="G40" i="46"/>
  <c r="T60" i="42"/>
  <c r="T61" i="42" s="1"/>
  <c r="V37" i="42"/>
  <c r="U60" i="42"/>
  <c r="U56" i="42"/>
  <c r="V37" i="32"/>
  <c r="U56" i="32"/>
  <c r="U60" i="32"/>
  <c r="S57" i="45"/>
  <c r="Q9" i="38" s="1"/>
  <c r="P9" i="38"/>
  <c r="F27" i="34"/>
  <c r="D7" i="34"/>
  <c r="F36" i="46" s="1"/>
  <c r="F40" i="46"/>
  <c r="F15" i="34"/>
  <c r="H43" i="46" s="1"/>
  <c r="H40" i="46"/>
  <c r="F7" i="34"/>
  <c r="H36" i="46" s="1"/>
  <c r="F29" i="34"/>
  <c r="E7" i="34"/>
  <c r="G36" i="46" s="1"/>
  <c r="F28" i="34"/>
  <c r="E15" i="34"/>
  <c r="Y53" i="32"/>
  <c r="D15" i="34"/>
  <c r="W19" i="42"/>
  <c r="W19" i="45"/>
  <c r="V23" i="45"/>
  <c r="V23" i="32"/>
  <c r="V23" i="42"/>
  <c r="S57" i="42"/>
  <c r="Q8" i="38" s="1"/>
  <c r="C15" i="34"/>
  <c r="S61" i="32"/>
  <c r="Y1" i="18"/>
  <c r="W19" i="32"/>
  <c r="Q7" i="38" l="1"/>
  <c r="T57" i="32"/>
  <c r="W37" i="45"/>
  <c r="V60" i="45"/>
  <c r="V56" i="45"/>
  <c r="W37" i="42"/>
  <c r="V60" i="42"/>
  <c r="V56" i="42"/>
  <c r="E43" i="46"/>
  <c r="F16" i="34"/>
  <c r="F43" i="46"/>
  <c r="D16" i="34"/>
  <c r="W37" i="32"/>
  <c r="V56" i="32"/>
  <c r="V60" i="32"/>
  <c r="T57" i="45"/>
  <c r="R9" i="38" s="1"/>
  <c r="G43" i="46"/>
  <c r="E16" i="34"/>
  <c r="U61" i="45"/>
  <c r="T57" i="42"/>
  <c r="X19" i="42"/>
  <c r="X19" i="45"/>
  <c r="W23" i="32"/>
  <c r="U61" i="42"/>
  <c r="W23" i="45"/>
  <c r="W23" i="42"/>
  <c r="T61" i="32"/>
  <c r="Z1" i="18"/>
  <c r="AA1" i="18" s="1"/>
  <c r="AB1" i="18" s="1"/>
  <c r="AC1" i="18" s="1"/>
  <c r="AD1" i="18" s="1"/>
  <c r="X19" i="32"/>
  <c r="I29" i="34" l="1"/>
  <c r="I27" i="34"/>
  <c r="I28" i="34"/>
  <c r="R7" i="38"/>
  <c r="U57" i="32"/>
  <c r="U57" i="45"/>
  <c r="S9" i="38" s="1"/>
  <c r="H44" i="46"/>
  <c r="X37" i="45"/>
  <c r="W60" i="45"/>
  <c r="E62" i="45" s="1"/>
  <c r="W56" i="45"/>
  <c r="X37" i="42"/>
  <c r="W60" i="42"/>
  <c r="E62" i="42" s="1"/>
  <c r="W56" i="42"/>
  <c r="D55" i="42" s="1"/>
  <c r="X37" i="32"/>
  <c r="W56" i="32"/>
  <c r="W60" i="32"/>
  <c r="F44" i="46"/>
  <c r="G44" i="46"/>
  <c r="U57" i="42"/>
  <c r="S8" i="38" s="1"/>
  <c r="R8" i="38"/>
  <c r="V61" i="45"/>
  <c r="X23" i="45"/>
  <c r="V61" i="42"/>
  <c r="X23" i="32"/>
  <c r="Y23" i="32" s="1"/>
  <c r="C5" i="34" s="1"/>
  <c r="X23" i="42"/>
  <c r="U61" i="32"/>
  <c r="S7" i="38" l="1"/>
  <c r="V57" i="32"/>
  <c r="V57" i="45"/>
  <c r="T9" i="38" s="1"/>
  <c r="X60" i="45"/>
  <c r="X56" i="45"/>
  <c r="Y37" i="45"/>
  <c r="X60" i="42"/>
  <c r="X56" i="42"/>
  <c r="Y37" i="42"/>
  <c r="D26" i="34"/>
  <c r="Y37" i="32"/>
  <c r="X60" i="32"/>
  <c r="X56" i="32"/>
  <c r="E58" i="42"/>
  <c r="Q10" i="42" s="1"/>
  <c r="V57" i="42"/>
  <c r="T8" i="38" s="1"/>
  <c r="Q9" i="42"/>
  <c r="G39" i="46"/>
  <c r="E34" i="46"/>
  <c r="W61" i="42"/>
  <c r="D55" i="45"/>
  <c r="E58" i="45"/>
  <c r="Y23" i="45"/>
  <c r="J13" i="34"/>
  <c r="Y23" i="42"/>
  <c r="W61" i="45"/>
  <c r="V61" i="32"/>
  <c r="E62" i="32"/>
  <c r="T7" i="38" l="1"/>
  <c r="W57" i="32"/>
  <c r="W57" i="45"/>
  <c r="U9" i="38" s="1"/>
  <c r="F5" i="34"/>
  <c r="D29" i="34"/>
  <c r="H29" i="34" s="1"/>
  <c r="E5" i="34"/>
  <c r="D28" i="34"/>
  <c r="H28" i="34" s="1"/>
  <c r="W57" i="42"/>
  <c r="U8" i="38" s="1"/>
  <c r="D5" i="34"/>
  <c r="D9" i="34" s="1"/>
  <c r="D27" i="34"/>
  <c r="H27" i="34" s="1"/>
  <c r="G38" i="46"/>
  <c r="Q10" i="45"/>
  <c r="H38" i="46"/>
  <c r="Q9" i="45"/>
  <c r="H39" i="46"/>
  <c r="X61" i="42"/>
  <c r="X61" i="45"/>
  <c r="E58" i="32"/>
  <c r="D55" i="32"/>
  <c r="W61" i="32"/>
  <c r="U7" i="38" l="1"/>
  <c r="X57" i="32"/>
  <c r="X57" i="45"/>
  <c r="V9" i="38" s="1"/>
  <c r="X57" i="42"/>
  <c r="V8" i="38" s="1"/>
  <c r="H34" i="46"/>
  <c r="F9" i="34"/>
  <c r="G34" i="46"/>
  <c r="E9" i="34"/>
  <c r="F34" i="46"/>
  <c r="Q10" i="32"/>
  <c r="F38" i="46"/>
  <c r="Q9" i="32"/>
  <c r="F39" i="46"/>
  <c r="X61" i="32"/>
  <c r="H37" i="46" l="1"/>
  <c r="V7" i="38"/>
  <c r="I12" i="34"/>
  <c r="G37" i="46"/>
  <c r="H11" i="34"/>
  <c r="F37" i="46"/>
  <c r="G10" i="34"/>
  <c r="S34" i="25"/>
  <c r="B31" i="18" l="1"/>
  <c r="B32" i="18" s="1"/>
  <c r="B33" i="18" s="1"/>
  <c r="B34" i="18" s="1"/>
  <c r="B35" i="18" s="1"/>
  <c r="B36" i="18" s="1"/>
  <c r="B37" i="18" s="1"/>
  <c r="B38" i="18" s="1"/>
  <c r="B39" i="18" s="1"/>
  <c r="B19" i="18"/>
  <c r="B20" i="18" s="1"/>
  <c r="B21" i="18" s="1"/>
  <c r="B22" i="18" s="1"/>
  <c r="B23" i="18" s="1"/>
  <c r="B24" i="18" s="1"/>
  <c r="B25" i="18" s="1"/>
  <c r="B26" i="18" s="1"/>
  <c r="B27" i="18" s="1"/>
  <c r="AR34" i="25"/>
  <c r="AQ34" i="25"/>
  <c r="AP34" i="25"/>
  <c r="AO34" i="25"/>
  <c r="AN34" i="25"/>
  <c r="AM34" i="25"/>
  <c r="AL34" i="25"/>
  <c r="AK34" i="25"/>
  <c r="AJ34" i="25"/>
  <c r="AI34" i="25"/>
  <c r="AH34" i="25"/>
  <c r="AG34" i="25"/>
  <c r="AF34" i="25"/>
  <c r="AE34" i="25"/>
  <c r="AD34" i="25"/>
  <c r="AC34" i="25"/>
  <c r="AB34" i="25"/>
  <c r="AA34" i="25"/>
  <c r="Z34" i="25"/>
  <c r="Y34" i="25"/>
  <c r="X34" i="25"/>
  <c r="W34" i="25"/>
  <c r="V34" i="25"/>
  <c r="U34" i="25"/>
  <c r="T34" i="25"/>
  <c r="AS34" i="25" l="1"/>
  <c r="B7" i="18" l="1"/>
  <c r="B8" i="18" s="1"/>
  <c r="B9" i="18" s="1"/>
  <c r="B10" i="18" s="1"/>
  <c r="B11" i="18" s="1"/>
  <c r="B12" i="18" s="1"/>
  <c r="B13" i="18" s="1"/>
  <c r="B14" i="18" s="1"/>
  <c r="B15" i="18" s="1"/>
  <c r="Y53"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Wholley</author>
  </authors>
  <commentList>
    <comment ref="K10" authorId="0" shapeId="0" xr:uid="{D660095F-B1B7-4297-A628-633514BF2B6E}">
      <text>
        <r>
          <rPr>
            <b/>
            <sz val="9"/>
            <color indexed="81"/>
            <rFont val="Tahoma"/>
            <family val="2"/>
          </rPr>
          <t>Where known - identify here</t>
        </r>
      </text>
    </comment>
    <comment ref="N12" authorId="0" shapeId="0" xr:uid="{A93DFD08-4D65-42E5-B2C5-22DFD627D221}">
      <text>
        <r>
          <rPr>
            <b/>
            <sz val="9"/>
            <color indexed="81"/>
            <rFont val="Tahoma"/>
            <family val="2"/>
          </rPr>
          <t>Where individual units and costs are not known - Overwrite with total cost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Alderson, Simon G</author>
  </authors>
  <commentList>
    <comment ref="L9" authorId="0" shapeId="0" xr:uid="{3D7E242E-00DD-488B-A776-45488BF6E0FE}">
      <text>
        <r>
          <rPr>
            <sz val="9"/>
            <color indexed="81"/>
            <rFont val="Tahoma"/>
            <family val="2"/>
          </rPr>
          <t>CAPEX + uplift for removal and disposal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Wholley</author>
  </authors>
  <commentList>
    <comment ref="J3" authorId="0" shapeId="0" xr:uid="{8DB11839-B4E8-4AE5-90BC-8A9CD1A62D24}">
      <text>
        <r>
          <rPr>
            <b/>
            <sz val="9"/>
            <color indexed="81"/>
            <rFont val="Tahoma"/>
            <family val="2"/>
          </rPr>
          <t>Where known - identify here</t>
        </r>
      </text>
    </comment>
    <comment ref="M3" authorId="0" shapeId="0" xr:uid="{2EAC3E87-6A95-459B-A8CD-A0AF6C129E2F}">
      <text>
        <r>
          <rPr>
            <b/>
            <sz val="9"/>
            <color indexed="81"/>
            <rFont val="Tahoma"/>
            <family val="2"/>
          </rPr>
          <t>Where individual units and costs are not known - Overwrite with total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Alderson, Simon G</author>
  </authors>
  <commentList>
    <comment ref="K4" authorId="0" shapeId="0" xr:uid="{BDECF892-69A8-458E-A6CE-2AC2C3A90C24}">
      <text>
        <r>
          <rPr>
            <sz val="9"/>
            <color indexed="81"/>
            <rFont val="Tahoma"/>
            <family val="2"/>
          </rPr>
          <t>CAPEX + uplift for removal and disposal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Wholley</author>
  </authors>
  <commentList>
    <comment ref="J3" authorId="0" shapeId="0" xr:uid="{6233E61D-BE3E-414D-8217-6716DE9FDFB5}">
      <text>
        <r>
          <rPr>
            <b/>
            <sz val="9"/>
            <color indexed="81"/>
            <rFont val="Tahoma"/>
            <family val="2"/>
          </rPr>
          <t>Where known - identify here</t>
        </r>
      </text>
    </comment>
    <comment ref="M3" authorId="0" shapeId="0" xr:uid="{479AF8C2-4033-47DF-B915-2C0393E11C55}">
      <text>
        <r>
          <rPr>
            <b/>
            <sz val="9"/>
            <color indexed="81"/>
            <rFont val="Tahoma"/>
            <family val="2"/>
          </rPr>
          <t>Where individual units and costs are not known - Overwrite with total cost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Alderson, Simon G</author>
  </authors>
  <commentList>
    <comment ref="K4" authorId="0" shapeId="0" xr:uid="{79518EC0-BC4E-4535-8ECA-6E360A0E1DEF}">
      <text>
        <r>
          <rPr>
            <sz val="9"/>
            <color indexed="81"/>
            <rFont val="Tahoma"/>
            <family val="2"/>
          </rPr>
          <t>CAPEX + uplift for removal and disposal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Andrew Wholley</author>
  </authors>
  <commentList>
    <comment ref="J3" authorId="0" shapeId="0" xr:uid="{679DDC9D-262B-4629-8A1B-ACA9BB004BA4}">
      <text>
        <r>
          <rPr>
            <b/>
            <sz val="9"/>
            <color indexed="81"/>
            <rFont val="Tahoma"/>
            <family val="2"/>
          </rPr>
          <t>Where known - identify here</t>
        </r>
      </text>
    </comment>
    <comment ref="M3" authorId="0" shapeId="0" xr:uid="{1D99FDA9-EFC6-4883-9084-66D9354CB3A6}">
      <text>
        <r>
          <rPr>
            <b/>
            <sz val="9"/>
            <color indexed="81"/>
            <rFont val="Tahoma"/>
            <family val="2"/>
          </rPr>
          <t>Where individual units and costs are not known - Overwrite with total cost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Alderson, Simon G</author>
  </authors>
  <commentList>
    <comment ref="K4" authorId="0" shapeId="0" xr:uid="{1A9E1AAA-5A35-4B0D-A334-0A9CCB8DCEC2}">
      <text>
        <r>
          <rPr>
            <sz val="9"/>
            <color indexed="81"/>
            <rFont val="Tahoma"/>
            <family val="2"/>
          </rPr>
          <t>CAPEX + uplift for removal and disposal</t>
        </r>
      </text>
    </comment>
  </commentList>
</comments>
</file>

<file path=xl/sharedStrings.xml><?xml version="1.0" encoding="utf-8"?>
<sst xmlns="http://schemas.openxmlformats.org/spreadsheetml/2006/main" count="1378" uniqueCount="513">
  <si>
    <t>Revision</t>
  </si>
  <si>
    <t>Date</t>
  </si>
  <si>
    <t>Description</t>
  </si>
  <si>
    <t xml:space="preserve">PPP/PFI/hub DBFM/NPD </t>
  </si>
  <si>
    <t>ENERGY EFFICIENCY AND RENEWABLE TECHNOLOGY WHOLE LIFE OUTCOME TOOL</t>
  </si>
  <si>
    <t>Summary</t>
  </si>
  <si>
    <t xml:space="preserve">This whole life appraisal tool is designed to develop, assess, report and refine whole life outcomes for energy efficiency and renewable technology Energy Conservation Measure (ECM) opportunities, for public sector building(s). </t>
  </si>
  <si>
    <t>The diagram below summarises the key stages and sections of this appraisal tool:</t>
  </si>
  <si>
    <t>Workbook Rules</t>
  </si>
  <si>
    <t>All ECMs and outcomes for a project should be input in to the ECM Options input and lifecycle tabs.</t>
  </si>
  <si>
    <t>The Dashboard matrix should be used to identify which ECMs to compare for three comparitive options (Options A - C)</t>
  </si>
  <si>
    <t>Options A-C workbooks will automatically update based on ECM matrix inputs.</t>
  </si>
  <si>
    <t xml:space="preserve">Technology and utilities base data (such as persistence factors and cost and emissions forecasts respectively, can be manipulated, however such intervention will require SFT engagement to allow 'unlocking'. </t>
  </si>
  <si>
    <t>Project Input Sheet</t>
  </si>
  <si>
    <t>Year of Project's Operational Commencement</t>
  </si>
  <si>
    <t>Years</t>
  </si>
  <si>
    <t>Current Year of Operation</t>
  </si>
  <si>
    <t>Last Full Year Energy Consumption Data</t>
  </si>
  <si>
    <t>Notes</t>
  </si>
  <si>
    <t>Utility</t>
  </si>
  <si>
    <t>kWh</t>
  </si>
  <si>
    <t>£</t>
  </si>
  <si>
    <t>£/kWh</t>
  </si>
  <si>
    <t>Electricity</t>
  </si>
  <si>
    <t>Gas</t>
  </si>
  <si>
    <t>Other Fossil Fuel</t>
  </si>
  <si>
    <t>Fuel oil</t>
  </si>
  <si>
    <t>Burning oil</t>
  </si>
  <si>
    <t>Total</t>
  </si>
  <si>
    <t>Incentive</t>
  </si>
  <si>
    <t>Feed in Tariff (FIT)</t>
  </si>
  <si>
    <t>Incentives should be input as 'negative' costs</t>
  </si>
  <si>
    <t>Renewable Heat Incentive (RHI)</t>
  </si>
  <si>
    <t>Energy Conservation Measure (ECM) Input Data</t>
  </si>
  <si>
    <t>Energy Conservation Measure (ECM) Categorisation</t>
  </si>
  <si>
    <t>Existing Assets</t>
  </si>
  <si>
    <t>ECM Cost</t>
  </si>
  <si>
    <t xml:space="preserve">ECM Savings </t>
  </si>
  <si>
    <t>Water</t>
  </si>
  <si>
    <t>Incentives Impact</t>
  </si>
  <si>
    <t>Ref No.</t>
  </si>
  <si>
    <t>Category</t>
  </si>
  <si>
    <t>ECM type</t>
  </si>
  <si>
    <t>Replacement of asset?</t>
  </si>
  <si>
    <t>Replaced Asset Category</t>
  </si>
  <si>
    <t>Replaced Asset Sub-Category</t>
  </si>
  <si>
    <t>Asset</t>
  </si>
  <si>
    <t>Replaced Asset Reference Service Life</t>
  </si>
  <si>
    <t>No. units</t>
  </si>
  <si>
    <t>Unit Rate</t>
  </si>
  <si>
    <t>Cost per unit</t>
  </si>
  <si>
    <t xml:space="preserve">Total Project Cost </t>
  </si>
  <si>
    <t>Annual Savings</t>
  </si>
  <si>
    <t>FIT</t>
  </si>
  <si>
    <t>RHI</t>
  </si>
  <si>
    <t>Simple Payback</t>
  </si>
  <si>
    <t>SALIX PF</t>
  </si>
  <si>
    <t>Total Lifetime CO2 Saving</t>
  </si>
  <si>
    <r>
      <t>£/Lifetime. Tonne of CO</t>
    </r>
    <r>
      <rPr>
        <b/>
        <vertAlign val="subscript"/>
        <sz val="8"/>
        <color theme="0"/>
        <rFont val="Arial"/>
        <family val="2"/>
      </rPr>
      <t>2</t>
    </r>
  </si>
  <si>
    <t>%</t>
  </si>
  <si>
    <r>
      <t>m</t>
    </r>
    <r>
      <rPr>
        <b/>
        <vertAlign val="superscript"/>
        <sz val="8"/>
        <color theme="0"/>
        <rFont val="Arial"/>
        <family val="2"/>
      </rPr>
      <t>3</t>
    </r>
  </si>
  <si>
    <t>T.CO2</t>
  </si>
  <si>
    <t>Heating_Plant_Ancillary</t>
  </si>
  <si>
    <t>TOTAL</t>
  </si>
  <si>
    <t>ECM Lifecycle Data</t>
  </si>
  <si>
    <t>Frequencies</t>
  </si>
  <si>
    <t>Select?</t>
  </si>
  <si>
    <t>Quantity</t>
  </si>
  <si>
    <t>Unit</t>
  </si>
  <si>
    <t>Unit Cost</t>
  </si>
  <si>
    <t>Capex</t>
  </si>
  <si>
    <t>Rate</t>
  </si>
  <si>
    <t>LC Rate</t>
  </si>
  <si>
    <t>Proportion replaced</t>
  </si>
  <si>
    <t>Year Installed</t>
  </si>
  <si>
    <t>Persistence Factor</t>
  </si>
  <si>
    <t>Persistence Factor (Rounded)</t>
  </si>
  <si>
    <t>Actual Quantity each event</t>
  </si>
  <si>
    <t>Cost each event</t>
  </si>
  <si>
    <t>System</t>
  </si>
  <si>
    <t>ECM</t>
  </si>
  <si>
    <t>Replacement</t>
  </si>
  <si>
    <t>Difference</t>
  </si>
  <si>
    <t>Dashboard</t>
  </si>
  <si>
    <t>Option A</t>
  </si>
  <si>
    <t>Option B</t>
  </si>
  <si>
    <t>Option C</t>
  </si>
  <si>
    <t>Finance or Capital?</t>
  </si>
  <si>
    <t>Capital</t>
  </si>
  <si>
    <t>Finance</t>
  </si>
  <si>
    <t>Finance Interest Rate (%)</t>
  </si>
  <si>
    <t>Finance Term (years)</t>
  </si>
  <si>
    <t>Remainder of Concession Period Outcomes Analysis:</t>
  </si>
  <si>
    <t>Remaining Concession Commercial Appraisal</t>
  </si>
  <si>
    <t>Business As Usual</t>
  </si>
  <si>
    <t>Capital Costs (£)</t>
  </si>
  <si>
    <t>Loan Repayment Costs (£)</t>
  </si>
  <si>
    <t>Utilities Costs (£)</t>
  </si>
  <si>
    <t>Lifecycle Cost Differential (£)</t>
  </si>
  <si>
    <t>Carbon Offset Costs (£)</t>
  </si>
  <si>
    <t>BAU Saving (£)</t>
  </si>
  <si>
    <t>NPV</t>
  </si>
  <si>
    <t>IRR</t>
  </si>
  <si>
    <t>Lifetime Carbon Costs (£/LT.CO2)</t>
  </si>
  <si>
    <t>Remaining Concession Emissions</t>
  </si>
  <si>
    <t>Emissions (t.CO2)</t>
  </si>
  <si>
    <t>BAU Saving (t.CO2)</t>
  </si>
  <si>
    <t>Option A Outcomes</t>
  </si>
  <si>
    <t>Financing</t>
  </si>
  <si>
    <t>Loan</t>
  </si>
  <si>
    <t>Capital Cost</t>
  </si>
  <si>
    <t>Amount Borrowed</t>
  </si>
  <si>
    <t>Loan Interest Rate</t>
  </si>
  <si>
    <t>Loan Term (Years)</t>
  </si>
  <si>
    <t>Monthly Payment</t>
  </si>
  <si>
    <t>Annual Repayment</t>
  </si>
  <si>
    <t>Total Borrowed</t>
  </si>
  <si>
    <t>Concession Year</t>
  </si>
  <si>
    <t>Year</t>
  </si>
  <si>
    <t>Business As Usual - Costs</t>
  </si>
  <si>
    <t>Electricity Costs</t>
  </si>
  <si>
    <t>Gas Costs</t>
  </si>
  <si>
    <t>Carbon Offset Costs</t>
  </si>
  <si>
    <t>Business As Usual - Carbon</t>
  </si>
  <si>
    <t>Electricity Emissions</t>
  </si>
  <si>
    <t>Gas Emissions</t>
  </si>
  <si>
    <t>Revised Costs</t>
  </si>
  <si>
    <t>Grid Electricity</t>
  </si>
  <si>
    <t xml:space="preserve">Natural Gas </t>
  </si>
  <si>
    <t>Maintenance</t>
  </si>
  <si>
    <t xml:space="preserve">ECM Capital Costs </t>
  </si>
  <si>
    <t>Variation and Design Costs</t>
  </si>
  <si>
    <t>ECM Lifecycle Costs Difference</t>
  </si>
  <si>
    <t>Loan Interest Repayments</t>
  </si>
  <si>
    <t>Revised Carbon Emissions - Carbon</t>
  </si>
  <si>
    <t>Total Emissions</t>
  </si>
  <si>
    <t>Annualised Cash Flow (No Finance)</t>
  </si>
  <si>
    <t>Cumulative Cash Flow</t>
  </si>
  <si>
    <t>Cash flow with Finance</t>
  </si>
  <si>
    <t>Cumulative Cash flow with Finance</t>
  </si>
  <si>
    <t>Option B Outcomes</t>
  </si>
  <si>
    <t>Option C Outcomes</t>
  </si>
  <si>
    <t>Asset Class</t>
  </si>
  <si>
    <t>Asset Category</t>
  </si>
  <si>
    <t>Technology / Equipment</t>
  </si>
  <si>
    <t>FF&amp;E</t>
  </si>
  <si>
    <t>Kitchen_equipment</t>
  </si>
  <si>
    <t>Hospital_equipment_hoists</t>
  </si>
  <si>
    <t>Hospital_medical_equipment</t>
  </si>
  <si>
    <t>Mechanical</t>
  </si>
  <si>
    <t>Cold Water Installation</t>
  </si>
  <si>
    <t>Boosted Cold Water Pump</t>
  </si>
  <si>
    <t>HW_Installation</t>
  </si>
  <si>
    <t>Hot water calorifiers</t>
  </si>
  <si>
    <t>Hot water pumps</t>
  </si>
  <si>
    <t>Hot water pipework</t>
  </si>
  <si>
    <t>Hot water pipework insulation</t>
  </si>
  <si>
    <t>Heating_Plant</t>
  </si>
  <si>
    <t>Gas boiler</t>
  </si>
  <si>
    <t>Oil boiler</t>
  </si>
  <si>
    <t>Dual fired boiler</t>
  </si>
  <si>
    <t>Combined Heat and Power Plant</t>
  </si>
  <si>
    <t>Heat Pump (Air Source)</t>
  </si>
  <si>
    <t>Heat Pump (Water Source)</t>
  </si>
  <si>
    <t>Heat Pump (Ground Source)</t>
  </si>
  <si>
    <t>Biomass Boiler</t>
  </si>
  <si>
    <t>Plant room pipework &amp; valves</t>
  </si>
  <si>
    <t>Plant room thermal insulation</t>
  </si>
  <si>
    <t>Distribution Pumps</t>
  </si>
  <si>
    <t>Distribution Pumps - Drives</t>
  </si>
  <si>
    <t>Heating_Emitters</t>
  </si>
  <si>
    <t>Underfloor / radiators etc.</t>
  </si>
  <si>
    <t>Heating_Distribution</t>
  </si>
  <si>
    <t>Valves (including TRVS)</t>
  </si>
  <si>
    <t>Pipework insulation</t>
  </si>
  <si>
    <t>Ventilation_System</t>
  </si>
  <si>
    <t>Central AHU</t>
  </si>
  <si>
    <t>Local AHU</t>
  </si>
  <si>
    <t>Local exhaust unit</t>
  </si>
  <si>
    <t>Ventilation_Ancillary</t>
  </si>
  <si>
    <t>Fan Motors</t>
  </si>
  <si>
    <t>Ductwork insulation</t>
  </si>
  <si>
    <t>Fan Variable Speed Drive</t>
  </si>
  <si>
    <t>Building_Controls</t>
  </si>
  <si>
    <t>Building Management System</t>
  </si>
  <si>
    <t>Localised HVAC Controllers</t>
  </si>
  <si>
    <t>Cooling_Source</t>
  </si>
  <si>
    <t>Central CHW System</t>
  </si>
  <si>
    <t>Central VRV System</t>
  </si>
  <si>
    <t>Local split system</t>
  </si>
  <si>
    <t>Building Fabric</t>
  </si>
  <si>
    <t>Wall_insulation</t>
  </si>
  <si>
    <t>Glazing</t>
  </si>
  <si>
    <t>Roof_insulation</t>
  </si>
  <si>
    <t>Floor_insulation</t>
  </si>
  <si>
    <t>Draught_proofing</t>
  </si>
  <si>
    <t>Electrical</t>
  </si>
  <si>
    <t>Lighting</t>
  </si>
  <si>
    <t>Compact Fluorescent</t>
  </si>
  <si>
    <t>LED</t>
  </si>
  <si>
    <t>Central Lighting Control System</t>
  </si>
  <si>
    <t>Localised Lighting Control</t>
  </si>
  <si>
    <t>External Lighting - Non-LED</t>
  </si>
  <si>
    <t>External Lighting - LED</t>
  </si>
  <si>
    <t>Renewable Generation</t>
  </si>
  <si>
    <t>PV</t>
  </si>
  <si>
    <t>Wind turbine</t>
  </si>
  <si>
    <t>Power Installations</t>
  </si>
  <si>
    <t>Mains Board</t>
  </si>
  <si>
    <t>Distribution Board</t>
  </si>
  <si>
    <t>Yes</t>
  </si>
  <si>
    <t>Mech_plant</t>
  </si>
  <si>
    <t>No</t>
  </si>
  <si>
    <t>Elec_Plant</t>
  </si>
  <si>
    <t>Building_Fabric</t>
  </si>
  <si>
    <t>FFandE</t>
  </si>
  <si>
    <t>Renewable_Generation</t>
  </si>
  <si>
    <t>Power_Installations</t>
  </si>
  <si>
    <t>Energy Conservation Measure</t>
  </si>
  <si>
    <t>No. Units</t>
  </si>
  <si>
    <t xml:space="preserve">Savings </t>
  </si>
  <si>
    <t>No.</t>
  </si>
  <si>
    <t>Include?</t>
  </si>
  <si>
    <t>Replaced Asset PF</t>
  </si>
  <si>
    <t>Total CO2 Saving</t>
  </si>
  <si>
    <r>
      <t>£/Tonne of CO</t>
    </r>
    <r>
      <rPr>
        <b/>
        <vertAlign val="subscript"/>
        <sz val="8"/>
        <color theme="0"/>
        <rFont val="Arial"/>
        <family val="2"/>
      </rPr>
      <t>2</t>
    </r>
  </si>
  <si>
    <t>Year of concession</t>
  </si>
  <si>
    <t>Technology Inputs</t>
  </si>
  <si>
    <t>Carbon Emissions by Energy Source</t>
  </si>
  <si>
    <t>Column1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</si>
  <si>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</si>
  <si>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</si>
  <si>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</si>
  <si>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</si>
  <si>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</si>
  <si>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</si>
  <si>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</si>
  <si>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</si>
  <si>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</si>
  <si>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</si>
  <si>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</si>
  <si>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</si>
  <si>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</si>
  <si>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</si>
  <si>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</si>
  <si>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</si>
  <si>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</si>
  <si>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</si>
  <si>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</si>
  <si>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</si>
  <si>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</si>
  <si>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</si>
  <si>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</si>
  <si>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</si>
  <si>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</si>
  <si>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</si>
  <si>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 xml:space="preserve"> kg CO2e/kWh</t>
  </si>
  <si>
    <t>Gas oil</t>
  </si>
  <si>
    <t>Coal</t>
  </si>
  <si>
    <t>LPG</t>
  </si>
  <si>
    <t>Wood pellets</t>
  </si>
  <si>
    <t>Wood chips</t>
  </si>
  <si>
    <t>Biogas</t>
  </si>
  <si>
    <t>Cost Change by Energy Source</t>
  </si>
  <si>
    <t>Offset Costs by Energy Source</t>
  </si>
  <si>
    <t>£/t.CO2</t>
  </si>
  <si>
    <t>Project Type</t>
  </si>
  <si>
    <t>Work Type</t>
  </si>
  <si>
    <t>Current PF
(Basic maintenance)</t>
  </si>
  <si>
    <t>List:</t>
  </si>
  <si>
    <t>Lifecycle Category</t>
  </si>
  <si>
    <t>Lifecycle Sub-Category</t>
  </si>
  <si>
    <t>Boilers</t>
  </si>
  <si>
    <t>Boilers - burner management</t>
  </si>
  <si>
    <t>no</t>
  </si>
  <si>
    <t>Equipment</t>
  </si>
  <si>
    <t/>
  </si>
  <si>
    <t xml:space="preserve">Boilers - burner replacement </t>
  </si>
  <si>
    <t>Building_management_systems</t>
  </si>
  <si>
    <t>m2</t>
  </si>
  <si>
    <t>Boilers - control systems</t>
  </si>
  <si>
    <t>Combined_heat_and_power</t>
  </si>
  <si>
    <t>item</t>
  </si>
  <si>
    <t>Sanitary Fittings</t>
  </si>
  <si>
    <t>Boilers - replacement combination</t>
  </si>
  <si>
    <t>Compressor</t>
  </si>
  <si>
    <t>Drainage</t>
  </si>
  <si>
    <t>Boilers - replacement condensing</t>
  </si>
  <si>
    <t>Computers_and_IT_solutions</t>
  </si>
  <si>
    <t>Cold Water Installations</t>
  </si>
  <si>
    <t>Boilers - replacement modular</t>
  </si>
  <si>
    <t>Cooling</t>
  </si>
  <si>
    <t>Hot Water Installation</t>
  </si>
  <si>
    <t>Boilers - retrofit economiser</t>
  </si>
  <si>
    <t>Hand_Dryers</t>
  </si>
  <si>
    <t>Boiler Plant</t>
  </si>
  <si>
    <t>Building management systems</t>
  </si>
  <si>
    <t>BEMS - bureau remotely managed</t>
  </si>
  <si>
    <t>Energy_from_waste</t>
  </si>
  <si>
    <t>Heating installation</t>
  </si>
  <si>
    <t>BEMS - not remotely managed</t>
  </si>
  <si>
    <t>Heating</t>
  </si>
  <si>
    <t>HVAC Controls</t>
  </si>
  <si>
    <t>BEMS - remotely managed</t>
  </si>
  <si>
    <t>Hot_water</t>
  </si>
  <si>
    <t>Toilet Extract Ventilation</t>
  </si>
  <si>
    <t>Combined heat &amp; power</t>
  </si>
  <si>
    <t>Biomass CHP</t>
  </si>
  <si>
    <t>Industrial_kitchen_equipment</t>
  </si>
  <si>
    <t>Fresh Air Ventilation</t>
  </si>
  <si>
    <t>Gas Turbine</t>
  </si>
  <si>
    <t>Insulation_building_fabric</t>
  </si>
  <si>
    <t>Oil storage/plant</t>
  </si>
  <si>
    <t>Gas, Diesel, gasoil engine CHP</t>
  </si>
  <si>
    <t>Insulation_draught_proofing</t>
  </si>
  <si>
    <t>Protective Installations</t>
  </si>
  <si>
    <t>CHP Private Wire Connection</t>
  </si>
  <si>
    <t>Insulation_pipework</t>
  </si>
  <si>
    <t>Special Installations - medical gas, BMS</t>
  </si>
  <si>
    <t>Compressed Air: air compressor upgrade</t>
  </si>
  <si>
    <t>Insulation_other</t>
  </si>
  <si>
    <t>LV Dis &amp; Cabling</t>
  </si>
  <si>
    <t>Computers &amp; IT solutions</t>
  </si>
  <si>
    <t>CRT to flat screen LCD</t>
  </si>
  <si>
    <t>Lab_Upgrades</t>
  </si>
  <si>
    <t>Containment</t>
  </si>
  <si>
    <t>CRT to LED monitors</t>
  </si>
  <si>
    <t>Lighting_controls</t>
  </si>
  <si>
    <t>Electrical Services Wiring</t>
  </si>
  <si>
    <t>Energy Efficient File Storage Replacement</t>
  </si>
  <si>
    <t>LED_lighting</t>
  </si>
  <si>
    <t>Small Power</t>
  </si>
  <si>
    <t>Energy Efficient Server Replacement</t>
  </si>
  <si>
    <t>Street_lighting</t>
  </si>
  <si>
    <t>External Lighting</t>
  </si>
  <si>
    <t>Evaporative cooling for ICT</t>
  </si>
  <si>
    <t>Traffic_lights</t>
  </si>
  <si>
    <t>Free Cooling for ICT</t>
  </si>
  <si>
    <t>Motor_controls</t>
  </si>
  <si>
    <t>Examination Lights</t>
  </si>
  <si>
    <t>Hot aisle/cold aisle containment</t>
  </si>
  <si>
    <t>Motor_replacement</t>
  </si>
  <si>
    <t>Earthing</t>
  </si>
  <si>
    <t>LED monitors instead of LCD (cost difference)</t>
  </si>
  <si>
    <t>Office_equipment</t>
  </si>
  <si>
    <t>UPS</t>
  </si>
  <si>
    <t>Multi Functional Devices</t>
  </si>
  <si>
    <t>Renewable_energy</t>
  </si>
  <si>
    <t>Fire Installations</t>
  </si>
  <si>
    <t>Network PC power management</t>
  </si>
  <si>
    <t>Swimming</t>
  </si>
  <si>
    <t>Lightning Protection</t>
  </si>
  <si>
    <t>Thin client</t>
  </si>
  <si>
    <t>Time_switches</t>
  </si>
  <si>
    <t>Lift electrical services</t>
  </si>
  <si>
    <t>Uninterruptible Power Supplies</t>
  </si>
  <si>
    <t>Transformers</t>
  </si>
  <si>
    <t>Nurse Call</t>
  </si>
  <si>
    <t>Virtualisation</t>
  </si>
  <si>
    <t>Ventilation</t>
  </si>
  <si>
    <t>Induction Loop</t>
  </si>
  <si>
    <t>Cooling - control system</t>
  </si>
  <si>
    <t>Voltage_management</t>
  </si>
  <si>
    <t>Voice and data installation</t>
  </si>
  <si>
    <t>Cooling - plant replacement/upgrade</t>
  </si>
  <si>
    <t>TV Installations</t>
  </si>
  <si>
    <t>Energy Efficient Chillers</t>
  </si>
  <si>
    <t>Disabled Call</t>
  </si>
  <si>
    <t>Free cooling</t>
  </si>
  <si>
    <t>CCTV</t>
  </si>
  <si>
    <t>Replacement of air conditioning with evaporative cooling</t>
  </si>
  <si>
    <t>Access Control</t>
  </si>
  <si>
    <t>Hand Dryers</t>
  </si>
  <si>
    <t>Hand Dryers - replacement to more efficient type</t>
  </si>
  <si>
    <t>Intruder Detection</t>
  </si>
  <si>
    <t>Energy from waste</t>
  </si>
  <si>
    <t>Anaerobic digestion</t>
  </si>
  <si>
    <t>Incineration</t>
  </si>
  <si>
    <t>Connect to existing district heating via plate HE</t>
  </si>
  <si>
    <t>Replacement heating to heat pump (air source)</t>
  </si>
  <si>
    <t>Replacement heating to heat pump (ground source)</t>
  </si>
  <si>
    <t>Replacement heating to heat pump (water source)</t>
  </si>
  <si>
    <t>Heat recovery</t>
  </si>
  <si>
    <t>Heating - direct fired system</t>
  </si>
  <si>
    <t>Heating - discrete controls</t>
  </si>
  <si>
    <t>Heating – distribution pipework improvements</t>
  </si>
  <si>
    <t>Heating - TRVs</t>
  </si>
  <si>
    <t>Heating - zone control valves</t>
  </si>
  <si>
    <t>Oil to Gas - boiler fuel switching</t>
  </si>
  <si>
    <t>Replace steam calorifier with plate heat exchanger</t>
  </si>
  <si>
    <t>Steam trap replacements</t>
  </si>
  <si>
    <t>Thermal Stores</t>
  </si>
  <si>
    <t>Hot water</t>
  </si>
  <si>
    <t>Flow restrictors</t>
  </si>
  <si>
    <t>Hot Water - chlorine dioxide dosing and biocide treatment</t>
  </si>
  <si>
    <t>Hot Water - distribution improvements</t>
  </si>
  <si>
    <t>Hot Water - Efficient taps</t>
  </si>
  <si>
    <t>Hot Water - point of use heaters</t>
  </si>
  <si>
    <t>Industrial kitchen equipment</t>
  </si>
  <si>
    <t>Steriliser to dishwasher replacement</t>
  </si>
  <si>
    <t>Energy efficient combi-oven</t>
  </si>
  <si>
    <t>Energy efficient convection-oven</t>
  </si>
  <si>
    <t>Insulation - building fabric</t>
  </si>
  <si>
    <t>Cavity wall insulation</t>
  </si>
  <si>
    <t xml:space="preserve">Double glazing with metal or plastic frames </t>
  </si>
  <si>
    <t>Dry wall lining</t>
  </si>
  <si>
    <t>Loft insulation</t>
  </si>
  <si>
    <t>Retrofit single glazing units</t>
  </si>
  <si>
    <t>Roof insulation</t>
  </si>
  <si>
    <t>Secondary glazing</t>
  </si>
  <si>
    <t>Insulation - draught proofing</t>
  </si>
  <si>
    <t>Insulation - pipework</t>
  </si>
  <si>
    <t>Heating pipework insulation (external)</t>
  </si>
  <si>
    <t>Heating pipework insulation (internal)</t>
  </si>
  <si>
    <t>Insulation - other</t>
  </si>
  <si>
    <t>Air Curtains - ambient</t>
  </si>
  <si>
    <t>Air Curtains - heated</t>
  </si>
  <si>
    <t>Automatic speed doors</t>
  </si>
  <si>
    <t>Automatic/revolving doors</t>
  </si>
  <si>
    <t>Draught Lobby (external)</t>
  </si>
  <si>
    <t>Draught Lobby (internal)</t>
  </si>
  <si>
    <t>Radiator reflective foil (external walls)</t>
  </si>
  <si>
    <t>Lab Upgrades</t>
  </si>
  <si>
    <t>Diode pumped solid state lasers</t>
  </si>
  <si>
    <t>Energy Efficient Drying Cabinets</t>
  </si>
  <si>
    <t>Energy Efficient Freezers (-25°C)</t>
  </si>
  <si>
    <t>Energy Efficient Freezers (-86°C)</t>
  </si>
  <si>
    <t>Energy Efficient Fume Cupboards</t>
  </si>
  <si>
    <t>Energy Efficient Growth Cabinets</t>
  </si>
  <si>
    <t>Fume Cupboards - Auto Sash Closing + PIR</t>
  </si>
  <si>
    <t>Fume Cupboards - VAV Controls + Inverter Drives</t>
  </si>
  <si>
    <t>Heat Recovery on Extract System</t>
  </si>
  <si>
    <t>Energy Efficient X-Ray Generator</t>
  </si>
  <si>
    <t>Lighting controls</t>
  </si>
  <si>
    <t>Lighting - discrete controls</t>
  </si>
  <si>
    <t>Lighting control system centralised</t>
  </si>
  <si>
    <t>LED lighting</t>
  </si>
  <si>
    <t>Compact Fluorescent to LED including new fitting</t>
  </si>
  <si>
    <t>Compact Fluorescent to LED using same fitting</t>
  </si>
  <si>
    <t>Flood lighting to LED including changing the fitting</t>
  </si>
  <si>
    <t>Halogen to LED including changing the fitting</t>
  </si>
  <si>
    <t>Halogen to LED using same fitting</t>
  </si>
  <si>
    <t>Incandescent to LED including new fitting</t>
  </si>
  <si>
    <t>Incandescent to LED using same fitting</t>
  </si>
  <si>
    <t>T12/T8 to LED including new fitting</t>
  </si>
  <si>
    <t>T12/T8 to LED using same fitting</t>
  </si>
  <si>
    <t>Street lighting</t>
  </si>
  <si>
    <t>Fit centralised controls</t>
  </si>
  <si>
    <t>Non-illuminated bollards</t>
  </si>
  <si>
    <t>Replace control gear</t>
  </si>
  <si>
    <t>Replace luminaire incorporating electronic ballast</t>
  </si>
  <si>
    <t>Replace luminaire with LED</t>
  </si>
  <si>
    <t>Solar powered bollards</t>
  </si>
  <si>
    <t>Traffic lights</t>
  </si>
  <si>
    <t>Replace with LED including new fitting</t>
  </si>
  <si>
    <t>Replace with LED using same fitting</t>
  </si>
  <si>
    <t>Motor controls</t>
  </si>
  <si>
    <t>Fixed speed motor controls</t>
  </si>
  <si>
    <t>Column Ref</t>
  </si>
  <si>
    <t>Motors - flat belt drives</t>
  </si>
  <si>
    <t>Variable speed drives</t>
  </si>
  <si>
    <t>Motor replacement</t>
  </si>
  <si>
    <t>Motors - high efficiency</t>
  </si>
  <si>
    <t>Office equipment</t>
  </si>
  <si>
    <t>Office equipment improvements for non-ICT</t>
  </si>
  <si>
    <t>Renewable energy</t>
  </si>
  <si>
    <t>Biomass boilers</t>
  </si>
  <si>
    <t>Solar PV</t>
  </si>
  <si>
    <t>Solar Thermal</t>
  </si>
  <si>
    <t>Small Hydropower</t>
  </si>
  <si>
    <t>Swimming pool covers - manual</t>
  </si>
  <si>
    <t>Swimming pool covers - motorised</t>
  </si>
  <si>
    <t>Time switches</t>
  </si>
  <si>
    <t>Low loss</t>
  </si>
  <si>
    <t>Low loss (cost difference)</t>
  </si>
  <si>
    <t>Low loss+voltage management</t>
  </si>
  <si>
    <t>Low loss+voltage management(cost difference)</t>
  </si>
  <si>
    <t>Transformer tapping change</t>
  </si>
  <si>
    <t>Fans - air handling unit</t>
  </si>
  <si>
    <t>Fans - high efficiency</t>
  </si>
  <si>
    <t xml:space="preserve">Phase change material </t>
  </si>
  <si>
    <t>Ventilation - distribution</t>
  </si>
  <si>
    <t>Ventilation - presence controls</t>
  </si>
  <si>
    <t>Ultrasonic Humidifiers</t>
  </si>
  <si>
    <t>Voltage management</t>
  </si>
  <si>
    <t>Voltage management - fixed ratio</t>
  </si>
  <si>
    <t>Voltage management - variable ratio</t>
  </si>
  <si>
    <t>BAU</t>
  </si>
  <si>
    <t>Loan Repayments (£)</t>
  </si>
  <si>
    <t>BAU Emissions</t>
  </si>
  <si>
    <t>Option A Emissions</t>
  </si>
  <si>
    <t>Option B Emissions</t>
  </si>
  <si>
    <t>Option C Emissions</t>
  </si>
  <si>
    <t>Business as Usual Cashflow</t>
  </si>
  <si>
    <t xml:space="preserve">Option A Cashflow </t>
  </si>
  <si>
    <t>Option B Cashflow</t>
  </si>
  <si>
    <t>Option C Cashflow</t>
  </si>
  <si>
    <t>x</t>
  </si>
  <si>
    <t xml:space="preserve"> </t>
  </si>
  <si>
    <t>Concession Period Length - Years</t>
  </si>
  <si>
    <t>Remaing Concession Period - Years</t>
  </si>
  <si>
    <t>Funding Options</t>
  </si>
  <si>
    <r>
      <t>t.CO</t>
    </r>
    <r>
      <rPr>
        <b/>
        <vertAlign val="subscript"/>
        <sz val="10"/>
        <color theme="0"/>
        <rFont val="Calibri"/>
        <family val="2"/>
        <scheme val="minor"/>
      </rPr>
      <t>2</t>
    </r>
  </si>
  <si>
    <t>USER ADDED</t>
  </si>
  <si>
    <t xml:space="preserve">Cells which are not yellow are automatically populated in the tool. Cells coloured green can be overwritten. </t>
  </si>
  <si>
    <t>Appendix 2- Energy Conservation Measure Whole Life Cost Tool</t>
  </si>
  <si>
    <t>Issued</t>
  </si>
  <si>
    <t xml:space="preserve">Toolkit Version  : - </t>
  </si>
  <si>
    <t>SFT guidance on pathways to net zero for assets delivered under PPP contracts</t>
  </si>
  <si>
    <t>User to enter base project and ECM data and lifecycle inputs, identified by yellow cells.</t>
  </si>
  <si>
    <t xml:space="preserve">The focus of the tool is to forecast not only the emissions and cost impacts of measures, but impacts on lifecycle costing on opertional PPP projects only. </t>
  </si>
  <si>
    <t>For further information when adopting the tool, please refer to the written guidance, SFT guidance on pathways to net zero for assets delivered under PPP contracts.</t>
  </si>
  <si>
    <t>OPERTIONAL PPP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</si>
</sst>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quot;£&quot;#,##0"/>
    <numFmt numFmtId="6" formatCode="&quot;£&quot;#,##0;[Red]\-&quot;£&quot;#,##0"/>
    <numFmt numFmtId="44" formatCode="_-&quot;£&quot;* #,##0.00_-;\-&quot;£&quot;* #,##0.00_-;_-&quot;£&quot;* &quot;-&quot;??_-;_-@_-"/>
    <numFmt numFmtId="43" formatCode="_-* #,##0.00_-;\-* #,##0.00_-;_-* &quot;-&quot;??_-;_-@_-"/>
    <numFmt numFmtId="164" formatCode="#,##0.00_ ;\-#,##0.00\ "/>
    <numFmt numFmtId="165" formatCode="#,##0_);\(#,##0\);&quot;-  &quot;;&quot; &quot;@&quot; &quot;"/>
    <numFmt numFmtId="166" formatCode="0.00_)%_);\(0.00\)%_);&quot;-  &quot;;&quot; &quot;@&quot; &quot;"/>
    <numFmt numFmtId="167" formatCode="#,##0.0000_);\(#,##0.0000\);&quot;-  &quot;;&quot; &quot;@&quot; &quot;"/>
    <numFmt numFmtId="168" formatCode="dd\ mmm\ yyyy_);\(###0\);&quot;-  &quot;;&quot; &quot;@&quot; &quot;"/>
    <numFmt numFmtId="169" formatCode="dd\ mmm\ yy_);\(###0\);&quot;-  &quot;;&quot; &quot;@&quot; &quot;"/>
    <numFmt numFmtId="170" formatCode="###0_);\(###0\);&quot;-  &quot;;&quot; &quot;@&quot; &quot;"/>
    <numFmt numFmtId="171" formatCode="#,##0.00_);\(#,##0.00\);&quot;-  &quot;;&quot; &quot;@&quot; &quot;"/>
    <numFmt numFmtId="172" formatCode="0.0%"/>
    <numFmt numFmtId="173" formatCode="&quot;Yr &quot;0"/>
    <numFmt numFmtId="174" formatCode="0&quot; Yrs&quot;"/>
    <numFmt numFmtId="175" formatCode="_-* #,##0_-;\-* #,##0_-;_-* &quot;-&quot;??_-;_-@_-"/>
    <numFmt numFmtId="176" formatCode="0.0"/>
    <numFmt numFmtId="177" formatCode="&quot;£&quot;#,##0.00"/>
    <numFmt numFmtId="178" formatCode="&quot;£&quot;#,##0"/>
    <numFmt numFmtId="179" formatCode="_-* #,##0.0_-;\-* #,##0.0_-;_-* &quot;-&quot;??_-;_-@_-"/>
    <numFmt numFmtId="180" formatCode="[$-F800]dddd\,\ mmmm\ dd\,\ yyyy"/>
    <numFmt numFmtId="181" formatCode="_-&quot;£&quot;* #,##0_-;\-&quot;£&quot;* #,##0_-;_-&quot;£&quot;* &quot;-&quot;??_-;_-@_-"/>
    <numFmt numFmtId="182" formatCode="0_)%_);\(0\)%_);&quot;-  &quot;;&quot; &quot;@&quot; &quot;"/>
    <numFmt numFmtId="183" formatCode="_-* #,##0.000_-;\-* #,##0.000_-;_-* &quot;-&quot;??_-;_-@_-"/>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10"/>
      <color theme="1"/>
      <name val="Arial"/>
      <family val="2"/>
    </font>
    <font>
      <sz val="10"/>
      <name val="Calibri"/>
      <family val="2"/>
      <scheme val="minor"/>
    </font>
    <font>
      <sz val="10"/>
      <color indexed="8"/>
      <name val="Arial"/>
      <family val="2"/>
    </font>
    <font>
      <sz val="10"/>
      <name val="Calibri Light"/>
      <family val="2"/>
    </font>
    <font>
      <sz val="9"/>
      <color indexed="81"/>
      <name val="Tahoma"/>
      <family val="2"/>
    </font>
    <font>
      <b/>
      <sz val="9"/>
      <color indexed="81"/>
      <name val="Tahoma"/>
      <family val="2"/>
    </font>
    <font>
      <sz val="10"/>
      <name val="Arial"/>
      <family val="2"/>
    </font>
    <font>
      <b/>
      <sz val="11"/>
      <color rgb="FFFA7D00"/>
      <name val="Calibri"/>
      <family val="2"/>
      <scheme val="minor"/>
    </font>
    <font>
      <sz val="8"/>
      <name val="Arial"/>
      <family val="2"/>
    </font>
    <font>
      <sz val="8"/>
      <color theme="1"/>
      <name val="Arial"/>
      <family val="2"/>
    </font>
    <font>
      <b/>
      <sz val="9"/>
      <name val="Arial"/>
      <family val="2"/>
    </font>
    <font>
      <sz val="9"/>
      <name val="Arial"/>
      <family val="2"/>
    </font>
    <font>
      <b/>
      <sz val="10"/>
      <color theme="1"/>
      <name val="Arial"/>
      <family val="2"/>
    </font>
    <font>
      <b/>
      <sz val="8"/>
      <color theme="0"/>
      <name val="Arial"/>
      <family val="2"/>
    </font>
    <font>
      <b/>
      <vertAlign val="subscript"/>
      <sz val="8"/>
      <color theme="0"/>
      <name val="Arial"/>
      <family val="2"/>
    </font>
    <font>
      <b/>
      <vertAlign val="superscript"/>
      <sz val="8"/>
      <color theme="0"/>
      <name val="Arial"/>
      <family val="2"/>
    </font>
    <font>
      <sz val="9"/>
      <color theme="1"/>
      <name val="Arial"/>
      <family val="2"/>
    </font>
    <font>
      <b/>
      <sz val="12"/>
      <name val="Arial"/>
      <family val="2"/>
    </font>
    <font>
      <sz val="12"/>
      <color theme="1"/>
      <name val="Calibri"/>
      <family val="2"/>
      <scheme val="minor"/>
    </font>
    <font>
      <sz val="10"/>
      <name val="Arial"/>
      <family val="2"/>
    </font>
    <font>
      <b/>
      <sz val="11"/>
      <color theme="1"/>
      <name val="Calibri"/>
      <family val="2"/>
      <scheme val="minor"/>
    </font>
    <font>
      <b/>
      <sz val="10"/>
      <color theme="0"/>
      <name val="Arial"/>
      <family val="2"/>
    </font>
    <font>
      <b/>
      <sz val="11"/>
      <color theme="0"/>
      <name val="Calibri"/>
      <family val="2"/>
      <scheme val="minor"/>
    </font>
    <font>
      <sz val="11"/>
      <color theme="0"/>
      <name val="Calibri"/>
      <family val="2"/>
      <scheme val="minor"/>
    </font>
    <font>
      <sz val="9"/>
      <color theme="0"/>
      <name val="Arial"/>
      <family val="2"/>
    </font>
    <font>
      <b/>
      <sz val="9"/>
      <color theme="0"/>
      <name val="Arial"/>
      <family val="2"/>
    </font>
    <font>
      <b/>
      <sz val="12"/>
      <color theme="0"/>
      <name val="Calibri"/>
      <family val="2"/>
    </font>
    <font>
      <b/>
      <sz val="12"/>
      <name val="Calibri"/>
      <family val="2"/>
    </font>
    <font>
      <sz val="11"/>
      <name val="Calibri"/>
      <family val="2"/>
    </font>
    <font>
      <b/>
      <sz val="11"/>
      <name val="Calibri"/>
      <family val="2"/>
    </font>
    <font>
      <b/>
      <u/>
      <sz val="9"/>
      <name val="Calibri"/>
      <family val="2"/>
    </font>
    <font>
      <sz val="9"/>
      <name val="Calibri"/>
      <family val="2"/>
    </font>
    <font>
      <b/>
      <sz val="10"/>
      <color theme="0"/>
      <name val="Calibri"/>
      <family val="2"/>
      <scheme val="minor"/>
    </font>
    <font>
      <sz val="8"/>
      <color theme="1"/>
      <name val="Calibri"/>
      <family val="2"/>
      <scheme val="minor"/>
    </font>
    <font>
      <sz val="8"/>
      <color rgb="FFFF0000"/>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8"/>
      <color rgb="FFFF0000"/>
      <name val="Calibri"/>
      <family val="2"/>
      <scheme val="minor"/>
    </font>
    <font>
      <b/>
      <vertAlign val="subscript"/>
      <sz val="10"/>
      <color theme="0"/>
      <name val="Calibri"/>
      <family val="2"/>
      <scheme val="minor"/>
    </font>
    <font>
      <b/>
      <sz val="11"/>
      <name val="Calibri"/>
      <family val="2"/>
      <scheme val="minor"/>
    </font>
    <font>
      <sz val="12"/>
      <name val="Calibri"/>
      <family val="2"/>
    </font>
    <font>
      <b/>
      <sz val="12"/>
      <color theme="1"/>
      <name val="Calibri"/>
      <family val="2"/>
    </font>
    <font>
      <b/>
      <sz val="9"/>
      <name val="Calibri"/>
      <family val="2"/>
    </font>
    <font>
      <sz val="12"/>
      <name val="Arial"/>
      <family val="2"/>
    </font>
    <font>
      <sz val="10"/>
      <color theme="0"/>
      <name val="Arial"/>
      <family val="2"/>
    </font>
    <font>
      <sz val="8"/>
      <color theme="0"/>
      <name val="Arial"/>
      <family val="2"/>
    </font>
    <font>
      <sz val="10"/>
      <color theme="0"/>
      <name val="Calibri Light"/>
      <family val="2"/>
    </font>
    <font>
      <b/>
      <sz val="11"/>
      <color theme="0"/>
      <name val="Calibri Light"/>
      <family val="2"/>
    </font>
    <font>
      <b/>
      <sz val="10"/>
      <color theme="0"/>
      <name val="Calibri Light"/>
      <family val="2"/>
    </font>
    <font>
      <sz val="10"/>
      <color theme="0"/>
      <name val="Calibri"/>
      <family val="2"/>
      <scheme val="minor"/>
    </font>
    <font>
      <b/>
      <u/>
      <sz val="10"/>
      <color theme="0"/>
      <name val="Arial"/>
      <family val="2"/>
    </font>
  </fonts>
  <fills count="18">
    <fill>
      <patternFill patternType="none"/>
    </fill>
    <fill>
      <patternFill patternType="gray125"/>
    </fill>
    <fill>
      <patternFill patternType="solid">
        <fgColor theme="0"/>
        <bgColor indexed="64"/>
      </patternFill>
    </fill>
    <fill>
      <patternFill patternType="solid">
        <fgColor rgb="FFD3FFD3"/>
        <bgColor indexed="64"/>
      </patternFill>
    </fill>
    <fill>
      <patternFill patternType="solid">
        <fgColor rgb="FFFFFF99"/>
        <bgColor indexed="64"/>
      </patternFill>
    </fill>
    <fill>
      <patternFill patternType="solid">
        <fgColor rgb="FFFFFFFF"/>
        <bgColor indexed="64"/>
      </patternFill>
    </fill>
    <fill>
      <patternFill patternType="solid">
        <fgColor rgb="FFF2F2F2"/>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00CC"/>
        <bgColor indexed="64"/>
      </patternFill>
    </fill>
    <fill>
      <patternFill patternType="solid">
        <fgColor theme="9"/>
        <bgColor indexed="64"/>
      </patternFill>
    </fill>
    <fill>
      <patternFill patternType="solid">
        <fgColor theme="7"/>
        <bgColor indexed="64"/>
      </patternFill>
    </fill>
    <fill>
      <patternFill patternType="solid">
        <fgColor rgb="FF0070C0"/>
        <bgColor indexed="64"/>
      </patternFill>
    </fill>
    <fill>
      <patternFill patternType="solid">
        <fgColor rgb="FFFFFF6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auto="1"/>
      </top>
      <bottom/>
      <diagonal/>
    </border>
    <border>
      <left/>
      <right/>
      <top/>
      <bottom style="medium">
        <color auto="1"/>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top style="thin">
        <color theme="4"/>
      </top>
      <bottom style="thin">
        <color theme="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7">
    <xf numFmtId="165" fontId="0" fillId="0" borderId="0" applyFont="0" applyFill="0" applyBorder="0" applyProtection="0">
      <alignment vertical="top"/>
    </xf>
    <xf numFmtId="0" fontId="7"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166" fontId="8" fillId="0" borderId="0" applyFont="0" applyFill="0" applyBorder="0" applyProtection="0">
      <alignment vertical="top"/>
    </xf>
    <xf numFmtId="0" fontId="9" fillId="0" borderId="0"/>
    <xf numFmtId="0" fontId="11" fillId="0" borderId="0"/>
    <xf numFmtId="43" fontId="9" fillId="0" borderId="0" applyFont="0" applyFill="0" applyBorder="0" applyAlignment="0" applyProtection="0"/>
    <xf numFmtId="0" fontId="7" fillId="0" borderId="0"/>
    <xf numFmtId="0" fontId="9" fillId="0" borderId="0"/>
    <xf numFmtId="167" fontId="8" fillId="0" borderId="0" applyFont="0" applyFill="0" applyBorder="0" applyProtection="0">
      <alignment vertical="top"/>
    </xf>
    <xf numFmtId="168" fontId="8" fillId="0" borderId="0" applyFont="0" applyFill="0" applyBorder="0" applyProtection="0">
      <alignment vertical="top"/>
    </xf>
    <xf numFmtId="169" fontId="8" fillId="0" borderId="0" applyFont="0" applyFill="0" applyBorder="0" applyProtection="0">
      <alignment vertical="top"/>
    </xf>
    <xf numFmtId="170" fontId="8" fillId="0" borderId="0" applyFont="0" applyFill="0" applyBorder="0" applyProtection="0">
      <alignment vertical="top"/>
    </xf>
    <xf numFmtId="43" fontId="15" fillId="0" borderId="0" applyFont="0" applyFill="0" applyBorder="0" applyAlignment="0" applyProtection="0"/>
    <xf numFmtId="0" fontId="16" fillId="6" borderId="27" applyNumberFormat="0" applyAlignment="0" applyProtection="0"/>
    <xf numFmtId="0" fontId="15" fillId="0" borderId="0"/>
    <xf numFmtId="9" fontId="15" fillId="0" borderId="0" applyFont="0" applyFill="0" applyBorder="0" applyAlignment="0" applyProtection="0"/>
    <xf numFmtId="0" fontId="4" fillId="0" borderId="0"/>
    <xf numFmtId="43" fontId="4" fillId="0" borderId="0" applyFont="0" applyFill="0" applyBorder="0" applyAlignment="0" applyProtection="0"/>
    <xf numFmtId="0" fontId="7" fillId="0" borderId="0" applyBorder="0"/>
    <xf numFmtId="44" fontId="4" fillId="0" borderId="0" applyFont="0" applyFill="0" applyBorder="0" applyAlignment="0" applyProtection="0"/>
    <xf numFmtId="9" fontId="4" fillId="0" borderId="0" applyFont="0" applyFill="0" applyBorder="0" applyAlignment="0" applyProtection="0"/>
    <xf numFmtId="0" fontId="28" fillId="0" borderId="0"/>
    <xf numFmtId="0" fontId="3" fillId="0" borderId="0"/>
    <xf numFmtId="0" fontId="9" fillId="0" borderId="0"/>
  </cellStyleXfs>
  <cellXfs count="785">
    <xf numFmtId="165" fontId="0" fillId="0" borderId="0" xfId="0">
      <alignment vertical="top"/>
    </xf>
    <xf numFmtId="165" fontId="12" fillId="0" borderId="0" xfId="0" applyFont="1">
      <alignment vertical="top"/>
    </xf>
    <xf numFmtId="0" fontId="19" fillId="0" borderId="0" xfId="17" applyFont="1" applyAlignment="1">
      <alignment horizontal="left" vertical="top"/>
    </xf>
    <xf numFmtId="0" fontId="20" fillId="0" borderId="0" xfId="17" applyFont="1" applyAlignment="1">
      <alignment vertical="top"/>
    </xf>
    <xf numFmtId="0" fontId="20" fillId="0" borderId="0" xfId="17" applyFont="1"/>
    <xf numFmtId="43" fontId="20" fillId="0" borderId="0" xfId="17" applyNumberFormat="1" applyFont="1" applyAlignment="1">
      <alignment vertical="top"/>
    </xf>
    <xf numFmtId="0" fontId="20" fillId="0" borderId="0" xfId="17" applyFont="1" applyAlignment="1">
      <alignment horizontal="right"/>
    </xf>
    <xf numFmtId="0" fontId="19" fillId="0" borderId="1" xfId="17" applyFont="1" applyBorder="1" applyAlignment="1">
      <alignment horizontal="center" vertical="top"/>
    </xf>
    <xf numFmtId="0" fontId="19" fillId="0" borderId="33" xfId="17" applyFont="1" applyBorder="1" applyAlignment="1">
      <alignment horizontal="center" vertical="top"/>
    </xf>
    <xf numFmtId="0" fontId="20" fillId="0" borderId="37" xfId="17" applyFont="1" applyBorder="1"/>
    <xf numFmtId="0" fontId="20" fillId="0" borderId="38" xfId="17" applyFont="1" applyBorder="1"/>
    <xf numFmtId="0" fontId="20" fillId="0" borderId="1" xfId="17" applyFont="1" applyBorder="1"/>
    <xf numFmtId="0" fontId="19" fillId="0" borderId="1" xfId="17" applyFont="1" applyBorder="1" applyAlignment="1">
      <alignment horizontal="left"/>
    </xf>
    <xf numFmtId="4" fontId="20" fillId="0" borderId="31" xfId="17" applyNumberFormat="1" applyFont="1" applyBorder="1" applyAlignment="1">
      <alignment horizontal="right" vertical="top"/>
    </xf>
    <xf numFmtId="0" fontId="20" fillId="0" borderId="1" xfId="17" applyFont="1" applyBorder="1" applyAlignment="1">
      <alignment horizontal="right" vertical="top"/>
    </xf>
    <xf numFmtId="2" fontId="20" fillId="0" borderId="32" xfId="17" applyNumberFormat="1" applyFont="1" applyBorder="1" applyAlignment="1">
      <alignment horizontal="right" vertical="top"/>
    </xf>
    <xf numFmtId="9" fontId="20" fillId="0" borderId="1" xfId="18" applyFont="1" applyBorder="1" applyAlignment="1">
      <alignment horizontal="right" vertical="top"/>
    </xf>
    <xf numFmtId="43" fontId="20" fillId="0" borderId="1" xfId="15" applyFont="1" applyBorder="1"/>
    <xf numFmtId="2" fontId="20" fillId="0" borderId="1" xfId="17" applyNumberFormat="1" applyFont="1" applyBorder="1" applyAlignment="1">
      <alignment horizontal="right" vertical="top"/>
    </xf>
    <xf numFmtId="173" fontId="20" fillId="0" borderId="33" xfId="17" applyNumberFormat="1" applyFont="1" applyBorder="1" applyAlignment="1">
      <alignment horizontal="center" vertical="top"/>
    </xf>
    <xf numFmtId="174" fontId="20" fillId="0" borderId="1" xfId="17" applyNumberFormat="1" applyFont="1" applyBorder="1" applyAlignment="1">
      <alignment horizontal="center" vertical="top"/>
    </xf>
    <xf numFmtId="43" fontId="20" fillId="0" borderId="33" xfId="15" applyFont="1" applyBorder="1"/>
    <xf numFmtId="43" fontId="20" fillId="0" borderId="7" xfId="17" applyNumberFormat="1" applyFont="1" applyBorder="1"/>
    <xf numFmtId="0" fontId="4" fillId="0" borderId="0" xfId="19"/>
    <xf numFmtId="0" fontId="18" fillId="0" borderId="1" xfId="19" applyFont="1" applyBorder="1" applyAlignment="1">
      <alignment horizontal="center" vertical="center"/>
    </xf>
    <xf numFmtId="178" fontId="18" fillId="0" borderId="1" xfId="19" applyNumberFormat="1" applyFont="1" applyBorder="1" applyAlignment="1">
      <alignment vertical="center"/>
    </xf>
    <xf numFmtId="172" fontId="18" fillId="0" borderId="1" xfId="19" applyNumberFormat="1" applyFont="1" applyBorder="1" applyAlignment="1">
      <alignment vertical="center"/>
    </xf>
    <xf numFmtId="176" fontId="18" fillId="0" borderId="1" xfId="19" applyNumberFormat="1" applyFont="1" applyBorder="1" applyAlignment="1">
      <alignment vertical="center"/>
    </xf>
    <xf numFmtId="0" fontId="4" fillId="0" borderId="0" xfId="19" applyAlignment="1">
      <alignment wrapText="1"/>
    </xf>
    <xf numFmtId="165" fontId="12" fillId="0" borderId="0" xfId="0" applyFont="1" applyAlignment="1">
      <alignment vertical="top" wrapText="1"/>
    </xf>
    <xf numFmtId="165" fontId="6" fillId="4" borderId="1" xfId="0" applyFont="1" applyFill="1" applyBorder="1" applyAlignment="1">
      <alignment vertical="top" wrapText="1"/>
    </xf>
    <xf numFmtId="2" fontId="18" fillId="0" borderId="1" xfId="19" applyNumberFormat="1" applyFont="1" applyBorder="1" applyAlignment="1">
      <alignment vertical="center"/>
    </xf>
    <xf numFmtId="1" fontId="18" fillId="0" borderId="1" xfId="19" applyNumberFormat="1" applyFont="1" applyBorder="1" applyAlignment="1">
      <alignment vertical="center"/>
    </xf>
    <xf numFmtId="175" fontId="18" fillId="0" borderId="1" xfId="15" applyNumberFormat="1" applyFont="1" applyBorder="1" applyAlignment="1">
      <alignment vertical="center"/>
    </xf>
    <xf numFmtId="0" fontId="20" fillId="0" borderId="1" xfId="17" applyFont="1" applyBorder="1" applyAlignment="1">
      <alignment vertical="center"/>
    </xf>
    <xf numFmtId="2" fontId="20" fillId="0" borderId="6" xfId="17" applyNumberFormat="1" applyFont="1" applyBorder="1" applyAlignment="1">
      <alignment horizontal="right" vertical="top"/>
    </xf>
    <xf numFmtId="0" fontId="4" fillId="0" borderId="0" xfId="19" applyAlignment="1">
      <alignment horizontal="left" vertical="center" wrapText="1"/>
    </xf>
    <xf numFmtId="0" fontId="7" fillId="0" borderId="0" xfId="1"/>
    <xf numFmtId="0" fontId="21" fillId="2" borderId="1" xfId="19" applyFont="1" applyFill="1" applyBorder="1"/>
    <xf numFmtId="0" fontId="21" fillId="2" borderId="1" xfId="19" applyFont="1" applyFill="1" applyBorder="1" applyAlignment="1">
      <alignment horizontal="center"/>
    </xf>
    <xf numFmtId="0" fontId="9" fillId="10" borderId="1" xfId="19" applyFont="1" applyFill="1" applyBorder="1"/>
    <xf numFmtId="181" fontId="9" fillId="11" borderId="1" xfId="22" applyNumberFormat="1" applyFont="1" applyFill="1" applyBorder="1"/>
    <xf numFmtId="0" fontId="21" fillId="10" borderId="1" xfId="19" applyFont="1" applyFill="1" applyBorder="1"/>
    <xf numFmtId="9" fontId="21" fillId="2" borderId="1" xfId="23" applyFont="1" applyFill="1" applyBorder="1"/>
    <xf numFmtId="9" fontId="9" fillId="11" borderId="1" xfId="23" applyFont="1" applyFill="1" applyBorder="1"/>
    <xf numFmtId="181" fontId="21" fillId="2" borderId="1" xfId="22" applyNumberFormat="1" applyFont="1" applyFill="1" applyBorder="1"/>
    <xf numFmtId="181" fontId="9" fillId="2" borderId="1" xfId="22" applyNumberFormat="1" applyFont="1" applyFill="1" applyBorder="1"/>
    <xf numFmtId="0" fontId="21" fillId="10" borderId="1" xfId="19" applyFont="1" applyFill="1" applyBorder="1" applyAlignment="1">
      <alignment horizontal="center"/>
    </xf>
    <xf numFmtId="179" fontId="21" fillId="2" borderId="1" xfId="20" applyNumberFormat="1" applyFont="1" applyFill="1" applyBorder="1"/>
    <xf numFmtId="172" fontId="9" fillId="11" borderId="1" xfId="23" applyNumberFormat="1" applyFont="1" applyFill="1" applyBorder="1"/>
    <xf numFmtId="175" fontId="9" fillId="11" borderId="1" xfId="20" applyNumberFormat="1" applyFont="1" applyFill="1" applyBorder="1"/>
    <xf numFmtId="43" fontId="4" fillId="0" borderId="0" xfId="19" applyNumberFormat="1"/>
    <xf numFmtId="0" fontId="9" fillId="2" borderId="0" xfId="19" applyFont="1" applyFill="1"/>
    <xf numFmtId="0" fontId="4" fillId="2" borderId="47" xfId="19" applyFill="1" applyBorder="1"/>
    <xf numFmtId="0" fontId="4" fillId="2" borderId="0" xfId="19" applyFill="1"/>
    <xf numFmtId="0" fontId="21" fillId="2" borderId="28" xfId="19" applyFont="1" applyFill="1" applyBorder="1"/>
    <xf numFmtId="0" fontId="4" fillId="2" borderId="29" xfId="19" applyFill="1" applyBorder="1"/>
    <xf numFmtId="0" fontId="4" fillId="2" borderId="30" xfId="19" applyFill="1" applyBorder="1"/>
    <xf numFmtId="0" fontId="9" fillId="10" borderId="31" xfId="19" applyFont="1" applyFill="1" applyBorder="1"/>
    <xf numFmtId="5" fontId="16" fillId="6" borderId="1" xfId="16" applyNumberFormat="1" applyBorder="1"/>
    <xf numFmtId="5" fontId="4" fillId="2" borderId="1" xfId="19" applyNumberFormat="1" applyFill="1" applyBorder="1"/>
    <xf numFmtId="0" fontId="9" fillId="10" borderId="34" xfId="19" applyFont="1" applyFill="1" applyBorder="1"/>
    <xf numFmtId="181" fontId="16" fillId="6" borderId="1" xfId="16" applyNumberFormat="1" applyBorder="1"/>
    <xf numFmtId="181" fontId="16" fillId="6" borderId="32" xfId="16" applyNumberFormat="1" applyBorder="1"/>
    <xf numFmtId="181" fontId="16" fillId="6" borderId="35" xfId="16" applyNumberFormat="1" applyBorder="1"/>
    <xf numFmtId="5" fontId="4" fillId="2" borderId="0" xfId="19" applyNumberFormat="1" applyFill="1"/>
    <xf numFmtId="0" fontId="9" fillId="10" borderId="28" xfId="19" applyFont="1" applyFill="1" applyBorder="1"/>
    <xf numFmtId="9" fontId="4" fillId="2" borderId="29" xfId="19" applyNumberFormat="1" applyFill="1" applyBorder="1"/>
    <xf numFmtId="178" fontId="4" fillId="2" borderId="1" xfId="19" applyNumberFormat="1" applyFill="1" applyBorder="1"/>
    <xf numFmtId="181" fontId="0" fillId="2" borderId="35" xfId="22" applyNumberFormat="1" applyFont="1" applyFill="1" applyBorder="1"/>
    <xf numFmtId="0" fontId="4" fillId="2" borderId="48" xfId="19" applyFill="1" applyBorder="1"/>
    <xf numFmtId="6" fontId="4" fillId="2" borderId="49" xfId="19" applyNumberFormat="1" applyFill="1" applyBorder="1"/>
    <xf numFmtId="9" fontId="4" fillId="2" borderId="54" xfId="19" applyNumberFormat="1" applyFill="1" applyBorder="1"/>
    <xf numFmtId="181" fontId="9" fillId="2" borderId="29" xfId="19" applyNumberFormat="1" applyFont="1" applyFill="1" applyBorder="1"/>
    <xf numFmtId="5" fontId="4" fillId="2" borderId="29" xfId="19" applyNumberFormat="1" applyFill="1" applyBorder="1"/>
    <xf numFmtId="5" fontId="4" fillId="2" borderId="30" xfId="19" applyNumberFormat="1" applyFill="1" applyBorder="1"/>
    <xf numFmtId="181" fontId="9" fillId="2" borderId="35" xfId="19" applyNumberFormat="1" applyFont="1" applyFill="1" applyBorder="1"/>
    <xf numFmtId="181" fontId="4" fillId="2" borderId="35" xfId="19" applyNumberFormat="1" applyFill="1" applyBorder="1"/>
    <xf numFmtId="5" fontId="4" fillId="2" borderId="35" xfId="19" applyNumberFormat="1" applyFill="1" applyBorder="1"/>
    <xf numFmtId="5" fontId="4" fillId="2" borderId="36" xfId="19" applyNumberFormat="1" applyFill="1" applyBorder="1"/>
    <xf numFmtId="9" fontId="20" fillId="0" borderId="39" xfId="18" applyFont="1" applyBorder="1" applyAlignment="1">
      <alignment horizontal="right" vertical="top"/>
    </xf>
    <xf numFmtId="0" fontId="9" fillId="10" borderId="44" xfId="19" applyFont="1" applyFill="1" applyBorder="1"/>
    <xf numFmtId="181" fontId="16" fillId="6" borderId="38" xfId="16" applyNumberFormat="1" applyBorder="1"/>
    <xf numFmtId="181" fontId="16" fillId="6" borderId="45" xfId="16" applyNumberFormat="1" applyBorder="1"/>
    <xf numFmtId="175" fontId="18" fillId="4" borderId="1" xfId="20" applyNumberFormat="1" applyFont="1" applyFill="1" applyBorder="1" applyAlignment="1">
      <alignment vertical="center"/>
    </xf>
    <xf numFmtId="1" fontId="18" fillId="4" borderId="1" xfId="19" applyNumberFormat="1" applyFont="1" applyFill="1" applyBorder="1" applyAlignment="1">
      <alignment vertical="center"/>
    </xf>
    <xf numFmtId="178" fontId="18" fillId="4" borderId="1" xfId="19" applyNumberFormat="1" applyFont="1" applyFill="1" applyBorder="1" applyAlignment="1">
      <alignment vertical="center"/>
    </xf>
    <xf numFmtId="166" fontId="18" fillId="4" borderId="1" xfId="5" applyFont="1" applyFill="1" applyBorder="1">
      <alignment vertical="top"/>
    </xf>
    <xf numFmtId="0" fontId="19" fillId="0" borderId="39" xfId="17" applyFont="1" applyBorder="1" applyAlignment="1">
      <alignment horizontal="left"/>
    </xf>
    <xf numFmtId="2" fontId="20" fillId="0" borderId="30" xfId="17" applyNumberFormat="1" applyFont="1" applyBorder="1" applyAlignment="1">
      <alignment horizontal="right" vertical="top"/>
    </xf>
    <xf numFmtId="4" fontId="20" fillId="0" borderId="32" xfId="17" applyNumberFormat="1" applyFont="1" applyBorder="1" applyAlignment="1">
      <alignment horizontal="right" vertical="top"/>
    </xf>
    <xf numFmtId="4" fontId="20" fillId="0" borderId="34" xfId="17" applyNumberFormat="1" applyFont="1" applyBorder="1" applyAlignment="1">
      <alignment horizontal="right" vertical="top"/>
    </xf>
    <xf numFmtId="4" fontId="20" fillId="0" borderId="35" xfId="17" applyNumberFormat="1" applyFont="1" applyBorder="1" applyAlignment="1">
      <alignment horizontal="right" vertical="top"/>
    </xf>
    <xf numFmtId="4" fontId="20" fillId="0" borderId="36" xfId="17" applyNumberFormat="1" applyFont="1" applyBorder="1" applyAlignment="1">
      <alignment horizontal="right" vertical="top"/>
    </xf>
    <xf numFmtId="2" fontId="20" fillId="0" borderId="28" xfId="17" applyNumberFormat="1" applyFont="1" applyBorder="1" applyAlignment="1">
      <alignment horizontal="right" vertical="top"/>
    </xf>
    <xf numFmtId="0" fontId="20" fillId="0" borderId="1" xfId="17" applyFont="1" applyBorder="1" applyAlignment="1">
      <alignment horizontal="left"/>
    </xf>
    <xf numFmtId="0" fontId="19" fillId="0" borderId="0" xfId="17" applyFont="1" applyAlignment="1">
      <alignment horizontal="left" vertical="top" wrapText="1"/>
    </xf>
    <xf numFmtId="0" fontId="19" fillId="0" borderId="1" xfId="17" applyFont="1" applyBorder="1" applyAlignment="1">
      <alignment horizontal="center" vertical="top" wrapText="1"/>
    </xf>
    <xf numFmtId="0" fontId="20" fillId="0" borderId="35" xfId="17" applyFont="1" applyBorder="1" applyAlignment="1">
      <alignment wrapText="1"/>
    </xf>
    <xf numFmtId="3" fontId="20" fillId="0" borderId="1" xfId="17" applyNumberFormat="1" applyFont="1" applyBorder="1" applyAlignment="1">
      <alignment horizontal="right" vertical="top" wrapText="1"/>
    </xf>
    <xf numFmtId="0" fontId="20" fillId="0" borderId="0" xfId="17" applyFont="1" applyAlignment="1">
      <alignment wrapText="1"/>
    </xf>
    <xf numFmtId="0" fontId="20" fillId="0" borderId="11" xfId="17" applyFont="1" applyBorder="1" applyAlignment="1">
      <alignment vertical="top"/>
    </xf>
    <xf numFmtId="177" fontId="20" fillId="0" borderId="0" xfId="17" applyNumberFormat="1" applyFont="1"/>
    <xf numFmtId="177" fontId="20" fillId="0" borderId="43" xfId="17" applyNumberFormat="1" applyFont="1" applyBorder="1"/>
    <xf numFmtId="178" fontId="19" fillId="0" borderId="0" xfId="17" applyNumberFormat="1" applyFont="1" applyAlignment="1">
      <alignment horizontal="left" vertical="top"/>
    </xf>
    <xf numFmtId="178" fontId="20" fillId="0" borderId="31" xfId="17" applyNumberFormat="1" applyFont="1" applyBorder="1" applyAlignment="1">
      <alignment horizontal="right" vertical="top"/>
    </xf>
    <xf numFmtId="178" fontId="20" fillId="0" borderId="0" xfId="17" applyNumberFormat="1" applyFont="1"/>
    <xf numFmtId="178" fontId="20" fillId="0" borderId="1" xfId="17" applyNumberFormat="1" applyFont="1" applyBorder="1" applyAlignment="1">
      <alignment horizontal="right" vertical="top"/>
    </xf>
    <xf numFmtId="175" fontId="16" fillId="6" borderId="1" xfId="15" applyNumberFormat="1" applyFont="1" applyFill="1" applyBorder="1"/>
    <xf numFmtId="0" fontId="29" fillId="0" borderId="0" xfId="19" applyFont="1"/>
    <xf numFmtId="0" fontId="29" fillId="2" borderId="30" xfId="19" applyFont="1" applyFill="1" applyBorder="1"/>
    <xf numFmtId="165" fontId="6" fillId="4" borderId="1" xfId="0" applyFont="1" applyFill="1" applyBorder="1">
      <alignment vertical="top"/>
    </xf>
    <xf numFmtId="0" fontId="4" fillId="0" borderId="0" xfId="19" applyAlignment="1">
      <alignment horizontal="left" wrapText="1"/>
    </xf>
    <xf numFmtId="165" fontId="12" fillId="0" borderId="0" xfId="0" applyFont="1" applyAlignment="1">
      <alignment horizontal="left" vertical="top" wrapText="1"/>
    </xf>
    <xf numFmtId="0" fontId="18" fillId="4" borderId="1" xfId="19" applyFont="1" applyFill="1" applyBorder="1" applyAlignment="1">
      <alignment horizontal="left" vertical="center" wrapText="1"/>
    </xf>
    <xf numFmtId="0" fontId="6" fillId="4" borderId="1" xfId="17" applyFont="1" applyFill="1" applyBorder="1" applyAlignment="1">
      <alignment horizontal="left"/>
    </xf>
    <xf numFmtId="1" fontId="9" fillId="11" borderId="1" xfId="23" applyNumberFormat="1" applyFont="1" applyFill="1" applyBorder="1"/>
    <xf numFmtId="0" fontId="31" fillId="13" borderId="0" xfId="19" applyFont="1" applyFill="1"/>
    <xf numFmtId="0" fontId="22" fillId="13" borderId="6" xfId="19" applyFont="1" applyFill="1" applyBorder="1" applyAlignment="1">
      <alignment vertical="center" wrapText="1"/>
    </xf>
    <xf numFmtId="0" fontId="22" fillId="13" borderId="33" xfId="19" applyFont="1" applyFill="1" applyBorder="1" applyAlignment="1">
      <alignment vertical="center" wrapText="1"/>
    </xf>
    <xf numFmtId="2" fontId="22" fillId="13" borderId="1" xfId="19" applyNumberFormat="1" applyFont="1" applyFill="1" applyBorder="1" applyAlignment="1">
      <alignment horizontal="center" vertical="center" wrapText="1"/>
    </xf>
    <xf numFmtId="0" fontId="26" fillId="0" borderId="0" xfId="21" applyFont="1" applyBorder="1" applyAlignment="1">
      <alignment vertical="center"/>
    </xf>
    <xf numFmtId="0" fontId="27" fillId="0" borderId="0" xfId="19" applyFont="1" applyAlignment="1">
      <alignment vertical="center"/>
    </xf>
    <xf numFmtId="180" fontId="27" fillId="0" borderId="0" xfId="19" applyNumberFormat="1" applyFont="1" applyAlignment="1">
      <alignment vertical="center"/>
    </xf>
    <xf numFmtId="0" fontId="4" fillId="0" borderId="0" xfId="19" applyAlignment="1">
      <alignment vertical="center" wrapText="1"/>
    </xf>
    <xf numFmtId="175" fontId="16" fillId="6" borderId="1" xfId="16" applyNumberFormat="1" applyBorder="1"/>
    <xf numFmtId="0" fontId="22" fillId="14" borderId="38" xfId="19" applyFont="1" applyFill="1" applyBorder="1" applyAlignment="1">
      <alignment horizontal="center" vertical="center" wrapText="1"/>
    </xf>
    <xf numFmtId="0" fontId="22" fillId="14" borderId="26" xfId="19" applyFont="1" applyFill="1" applyBorder="1" applyAlignment="1">
      <alignment horizontal="center" vertical="center" wrapText="1"/>
    </xf>
    <xf numFmtId="178" fontId="22" fillId="15" borderId="1" xfId="19" applyNumberFormat="1" applyFont="1" applyFill="1" applyBorder="1" applyAlignment="1">
      <alignment vertical="center" wrapText="1"/>
    </xf>
    <xf numFmtId="178" fontId="22" fillId="15" borderId="38" xfId="19" applyNumberFormat="1" applyFont="1" applyFill="1" applyBorder="1" applyAlignment="1">
      <alignment vertical="center" wrapText="1"/>
    </xf>
    <xf numFmtId="178" fontId="22" fillId="15" borderId="1" xfId="19" applyNumberFormat="1" applyFont="1" applyFill="1" applyBorder="1" applyAlignment="1">
      <alignment horizontal="center" vertical="center" wrapText="1"/>
    </xf>
    <xf numFmtId="173" fontId="4" fillId="0" borderId="0" xfId="19" applyNumberFormat="1"/>
    <xf numFmtId="2" fontId="20" fillId="0" borderId="29" xfId="17" applyNumberFormat="1" applyFont="1" applyBorder="1" applyAlignment="1">
      <alignment horizontal="center" vertical="top"/>
    </xf>
    <xf numFmtId="1" fontId="4" fillId="0" borderId="0" xfId="19" applyNumberFormat="1"/>
    <xf numFmtId="0" fontId="2" fillId="0" borderId="0" xfId="19" applyFont="1"/>
    <xf numFmtId="0" fontId="2" fillId="0" borderId="0" xfId="19" applyFont="1" applyAlignment="1">
      <alignment wrapText="1"/>
    </xf>
    <xf numFmtId="0" fontId="2" fillId="0" borderId="0" xfId="19" applyFont="1" applyAlignment="1">
      <alignment vertical="center" wrapText="1"/>
    </xf>
    <xf numFmtId="175" fontId="2" fillId="2" borderId="0" xfId="15" applyNumberFormat="1" applyFont="1" applyFill="1"/>
    <xf numFmtId="0" fontId="22" fillId="16" borderId="1" xfId="19" applyFont="1" applyFill="1" applyBorder="1" applyAlignment="1">
      <alignment horizontal="center" vertical="center" wrapText="1"/>
    </xf>
    <xf numFmtId="0" fontId="31" fillId="16" borderId="0" xfId="19" applyFont="1" applyFill="1"/>
    <xf numFmtId="165" fontId="30" fillId="16" borderId="0" xfId="0" applyFont="1" applyFill="1">
      <alignment vertical="top"/>
    </xf>
    <xf numFmtId="0" fontId="32" fillId="16" borderId="0" xfId="19" applyFont="1" applyFill="1"/>
    <xf numFmtId="2" fontId="22" fillId="16" borderId="1" xfId="19" applyNumberFormat="1" applyFont="1" applyFill="1" applyBorder="1" applyAlignment="1">
      <alignment horizontal="center" vertical="center" wrapText="1"/>
    </xf>
    <xf numFmtId="2" fontId="22" fillId="16" borderId="38" xfId="19" applyNumberFormat="1" applyFont="1" applyFill="1" applyBorder="1" applyAlignment="1">
      <alignment horizontal="center" vertical="center" wrapText="1"/>
    </xf>
    <xf numFmtId="2" fontId="22" fillId="16" borderId="26" xfId="19" applyNumberFormat="1" applyFont="1" applyFill="1" applyBorder="1" applyAlignment="1">
      <alignment horizontal="center" vertical="center" wrapText="1"/>
    </xf>
    <xf numFmtId="0" fontId="32" fillId="16" borderId="0" xfId="19" applyFont="1" applyFill="1" applyAlignment="1">
      <alignment horizontal="left" wrapText="1"/>
    </xf>
    <xf numFmtId="0" fontId="22" fillId="16" borderId="0" xfId="19" applyFont="1" applyFill="1" applyAlignment="1">
      <alignment vertical="center"/>
    </xf>
    <xf numFmtId="0" fontId="22" fillId="16" borderId="0" xfId="19" applyFont="1" applyFill="1" applyAlignment="1">
      <alignment vertical="center" wrapText="1"/>
    </xf>
    <xf numFmtId="178" fontId="22" fillId="16" borderId="0" xfId="19" applyNumberFormat="1" applyFont="1" applyFill="1" applyAlignment="1">
      <alignment vertical="center"/>
    </xf>
    <xf numFmtId="175" fontId="22" fillId="16" borderId="0" xfId="15" applyNumberFormat="1" applyFont="1" applyFill="1" applyBorder="1" applyAlignment="1">
      <alignment vertical="center"/>
    </xf>
    <xf numFmtId="175" fontId="22" fillId="16" borderId="0" xfId="20" applyNumberFormat="1" applyFont="1" applyFill="1" applyBorder="1" applyAlignment="1">
      <alignment vertical="center"/>
    </xf>
    <xf numFmtId="172" fontId="22" fillId="16" borderId="0" xfId="19" applyNumberFormat="1" applyFont="1" applyFill="1" applyAlignment="1">
      <alignment vertical="center"/>
    </xf>
    <xf numFmtId="0" fontId="33" fillId="16" borderId="11" xfId="17" applyFont="1" applyFill="1" applyBorder="1" applyAlignment="1">
      <alignment vertical="top"/>
    </xf>
    <xf numFmtId="178" fontId="33" fillId="16" borderId="12" xfId="17" applyNumberFormat="1" applyFont="1" applyFill="1" applyBorder="1" applyAlignment="1">
      <alignment vertical="top"/>
    </xf>
    <xf numFmtId="178" fontId="33" fillId="16" borderId="11" xfId="17" applyNumberFormat="1" applyFont="1" applyFill="1" applyBorder="1" applyAlignment="1">
      <alignment vertical="top"/>
    </xf>
    <xf numFmtId="0" fontId="33" fillId="16" borderId="24" xfId="17" applyFont="1" applyFill="1" applyBorder="1" applyAlignment="1">
      <alignment vertical="top"/>
    </xf>
    <xf numFmtId="0" fontId="33" fillId="16" borderId="30" xfId="17" applyFont="1" applyFill="1" applyBorder="1" applyAlignment="1">
      <alignment horizontal="center" vertical="top"/>
    </xf>
    <xf numFmtId="0" fontId="33" fillId="16" borderId="11" xfId="17" applyFont="1" applyFill="1" applyBorder="1" applyAlignment="1">
      <alignment horizontal="center" vertical="top"/>
    </xf>
    <xf numFmtId="0" fontId="34" fillId="16" borderId="1" xfId="17" applyFont="1" applyFill="1" applyBorder="1" applyAlignment="1">
      <alignment horizontal="center" vertical="top"/>
    </xf>
    <xf numFmtId="0" fontId="34" fillId="16" borderId="32" xfId="17" applyFont="1" applyFill="1" applyBorder="1" applyAlignment="1">
      <alignment horizontal="center" vertical="top"/>
    </xf>
    <xf numFmtId="0" fontId="34" fillId="16" borderId="2" xfId="17" applyFont="1" applyFill="1" applyBorder="1" applyAlignment="1">
      <alignment horizontal="center" vertical="top" wrapText="1"/>
    </xf>
    <xf numFmtId="0" fontId="34" fillId="16" borderId="33" xfId="17" applyFont="1" applyFill="1" applyBorder="1" applyAlignment="1">
      <alignment horizontal="center" vertical="top" wrapText="1"/>
    </xf>
    <xf numFmtId="0" fontId="34" fillId="16" borderId="37" xfId="17" applyFont="1" applyFill="1" applyBorder="1" applyAlignment="1">
      <alignment horizontal="center" vertical="top" wrapText="1"/>
    </xf>
    <xf numFmtId="0" fontId="34" fillId="16" borderId="51" xfId="17" applyFont="1" applyFill="1" applyBorder="1" applyAlignment="1">
      <alignment horizontal="center" vertical="top" wrapText="1"/>
    </xf>
    <xf numFmtId="0" fontId="33" fillId="16" borderId="35" xfId="17" applyFont="1" applyFill="1" applyBorder="1"/>
    <xf numFmtId="172" fontId="33" fillId="16" borderId="36" xfId="18" applyNumberFormat="1" applyFont="1" applyFill="1" applyBorder="1" applyAlignment="1">
      <alignment horizontal="center" vertical="top"/>
    </xf>
    <xf numFmtId="172" fontId="33" fillId="16" borderId="5" xfId="18" applyNumberFormat="1" applyFont="1" applyFill="1" applyBorder="1" applyAlignment="1">
      <alignment horizontal="center" vertical="top"/>
    </xf>
    <xf numFmtId="0" fontId="34" fillId="16" borderId="25" xfId="17" applyFont="1" applyFill="1" applyBorder="1" applyAlignment="1">
      <alignment horizontal="center" vertical="top" wrapText="1"/>
    </xf>
    <xf numFmtId="0" fontId="34" fillId="16" borderId="53" xfId="17" applyFont="1" applyFill="1" applyBorder="1" applyAlignment="1">
      <alignment horizontal="center" vertical="top" wrapText="1"/>
    </xf>
    <xf numFmtId="0" fontId="34" fillId="16" borderId="55" xfId="17" applyFont="1" applyFill="1" applyBorder="1" applyAlignment="1">
      <alignment horizontal="center" vertical="top" wrapText="1"/>
    </xf>
    <xf numFmtId="0" fontId="19" fillId="16" borderId="1" xfId="17" applyFont="1" applyFill="1" applyBorder="1" applyAlignment="1">
      <alignment horizontal="left"/>
    </xf>
    <xf numFmtId="0" fontId="20" fillId="16" borderId="1" xfId="17" applyFont="1" applyFill="1" applyBorder="1"/>
    <xf numFmtId="0" fontId="20" fillId="16" borderId="38" xfId="17" applyFont="1" applyFill="1" applyBorder="1"/>
    <xf numFmtId="178" fontId="20" fillId="16" borderId="38" xfId="17" applyNumberFormat="1" applyFont="1" applyFill="1" applyBorder="1"/>
    <xf numFmtId="0" fontId="20" fillId="16" borderId="45" xfId="17" applyFont="1" applyFill="1" applyBorder="1"/>
    <xf numFmtId="0" fontId="20" fillId="16" borderId="2" xfId="17" applyFont="1" applyFill="1" applyBorder="1"/>
    <xf numFmtId="0" fontId="20" fillId="16" borderId="37" xfId="17" applyFont="1" applyFill="1" applyBorder="1"/>
    <xf numFmtId="0" fontId="20" fillId="16" borderId="51" xfId="17" applyFont="1" applyFill="1" applyBorder="1"/>
    <xf numFmtId="177" fontId="20" fillId="16" borderId="45" xfId="17" applyNumberFormat="1" applyFont="1" applyFill="1" applyBorder="1" applyAlignment="1">
      <alignment horizontal="right" vertical="top"/>
    </xf>
    <xf numFmtId="0" fontId="20" fillId="16" borderId="33" xfId="17" applyFont="1" applyFill="1" applyBorder="1"/>
    <xf numFmtId="43" fontId="20" fillId="16" borderId="1" xfId="15" applyFont="1" applyFill="1" applyBorder="1"/>
    <xf numFmtId="0" fontId="31" fillId="16" borderId="0" xfId="19" applyFont="1" applyFill="1" applyAlignment="1">
      <alignment horizontal="center"/>
    </xf>
    <xf numFmtId="14" fontId="31" fillId="16" borderId="0" xfId="19" applyNumberFormat="1" applyFont="1" applyFill="1" applyAlignment="1">
      <alignment horizontal="center"/>
    </xf>
    <xf numFmtId="0" fontId="31" fillId="16" borderId="0" xfId="19" applyFont="1" applyFill="1" applyBorder="1" applyAlignment="1">
      <alignment horizontal="center"/>
    </xf>
    <xf numFmtId="14" fontId="31" fillId="16" borderId="0" xfId="19" applyNumberFormat="1" applyFont="1" applyFill="1" applyBorder="1" applyAlignment="1">
      <alignment horizontal="center"/>
    </xf>
    <xf numFmtId="1" fontId="18" fillId="3" borderId="1" xfId="19" applyNumberFormat="1" applyFont="1" applyFill="1" applyBorder="1" applyAlignment="1">
      <alignment vertical="center"/>
    </xf>
    <xf numFmtId="165" fontId="6" fillId="3" borderId="1" xfId="0" applyFont="1" applyFill="1" applyBorder="1" applyAlignment="1">
      <alignment vertical="top" wrapText="1"/>
    </xf>
    <xf numFmtId="165" fontId="37" fillId="0" borderId="0" xfId="0" applyFont="1" applyProtection="1">
      <alignment vertical="top"/>
    </xf>
    <xf numFmtId="165" fontId="36" fillId="16" borderId="4" xfId="0" applyFont="1" applyFill="1" applyBorder="1" applyAlignment="1" applyProtection="1">
      <alignment horizontal="left" vertical="top"/>
    </xf>
    <xf numFmtId="165" fontId="36" fillId="16" borderId="61" xfId="0" applyFont="1" applyFill="1" applyBorder="1" applyAlignment="1" applyProtection="1">
      <alignment horizontal="left" vertical="top"/>
    </xf>
    <xf numFmtId="165" fontId="38" fillId="0" borderId="0" xfId="0" applyFont="1" applyAlignment="1" applyProtection="1">
      <alignment horizontal="left" vertical="top"/>
    </xf>
    <xf numFmtId="165" fontId="36" fillId="16" borderId="0" xfId="0" applyFont="1" applyFill="1" applyBorder="1" applyAlignment="1" applyProtection="1">
      <alignment horizontal="left" vertical="top"/>
    </xf>
    <xf numFmtId="165" fontId="36" fillId="16" borderId="63" xfId="0" applyFont="1" applyFill="1" applyBorder="1" applyAlignment="1" applyProtection="1">
      <alignment horizontal="left" vertical="top"/>
    </xf>
    <xf numFmtId="165" fontId="35" fillId="16" borderId="5" xfId="0" applyFont="1" applyFill="1" applyBorder="1" applyAlignment="1" applyProtection="1">
      <alignment horizontal="left" vertical="top"/>
    </xf>
    <xf numFmtId="165" fontId="36" fillId="16" borderId="5" xfId="0" applyFont="1" applyFill="1" applyBorder="1" applyAlignment="1" applyProtection="1">
      <alignment horizontal="left" vertical="top"/>
    </xf>
    <xf numFmtId="165" fontId="36" fillId="16" borderId="65" xfId="0" applyFont="1" applyFill="1" applyBorder="1" applyAlignment="1" applyProtection="1">
      <alignment horizontal="left" vertical="top"/>
    </xf>
    <xf numFmtId="165" fontId="38" fillId="0" borderId="62" xfId="0" applyFont="1" applyBorder="1" applyAlignment="1" applyProtection="1">
      <alignment horizontal="left" vertical="top"/>
    </xf>
    <xf numFmtId="165" fontId="38" fillId="0" borderId="0" xfId="0" applyFont="1" applyBorder="1" applyAlignment="1" applyProtection="1">
      <alignment horizontal="left" vertical="top"/>
    </xf>
    <xf numFmtId="165" fontId="38" fillId="0" borderId="63" xfId="0" applyFont="1" applyBorder="1" applyAlignment="1" applyProtection="1">
      <alignment horizontal="left" vertical="top"/>
    </xf>
    <xf numFmtId="165" fontId="37" fillId="0" borderId="62" xfId="0" applyFont="1" applyBorder="1" applyProtection="1">
      <alignment vertical="top"/>
    </xf>
    <xf numFmtId="165" fontId="37" fillId="0" borderId="0" xfId="0" applyFont="1" applyBorder="1" applyProtection="1">
      <alignment vertical="top"/>
    </xf>
    <xf numFmtId="165" fontId="37" fillId="0" borderId="63" xfId="0" applyFont="1" applyBorder="1" applyProtection="1">
      <alignment vertical="top"/>
    </xf>
    <xf numFmtId="165" fontId="38" fillId="0" borderId="62" xfId="0" applyFont="1" applyBorder="1" applyProtection="1">
      <alignment vertical="top"/>
    </xf>
    <xf numFmtId="0" fontId="1" fillId="0" borderId="0" xfId="19" applyFont="1" applyProtection="1"/>
    <xf numFmtId="0" fontId="31" fillId="16" borderId="60" xfId="19" applyFont="1" applyFill="1" applyBorder="1" applyProtection="1"/>
    <xf numFmtId="0" fontId="31" fillId="16" borderId="4" xfId="19" applyFont="1" applyFill="1" applyBorder="1" applyProtection="1"/>
    <xf numFmtId="0" fontId="31" fillId="16" borderId="61" xfId="19" applyFont="1" applyFill="1" applyBorder="1" applyProtection="1"/>
    <xf numFmtId="0" fontId="31" fillId="16" borderId="62" xfId="19" applyFont="1" applyFill="1" applyBorder="1" applyProtection="1"/>
    <xf numFmtId="165" fontId="41" fillId="16" borderId="0" xfId="0" applyFont="1" applyFill="1" applyBorder="1" applyProtection="1">
      <alignment vertical="top"/>
    </xf>
    <xf numFmtId="165" fontId="41" fillId="16" borderId="63" xfId="0" applyFont="1" applyFill="1" applyBorder="1" applyProtection="1">
      <alignment vertical="top"/>
    </xf>
    <xf numFmtId="0" fontId="32" fillId="16" borderId="62" xfId="19" applyFont="1" applyFill="1" applyBorder="1" applyProtection="1"/>
    <xf numFmtId="0" fontId="32" fillId="16" borderId="0" xfId="19" applyFont="1" applyFill="1" applyBorder="1" applyProtection="1"/>
    <xf numFmtId="0" fontId="31" fillId="16" borderId="0" xfId="19" applyFont="1" applyFill="1" applyBorder="1" applyAlignment="1" applyProtection="1">
      <alignment horizontal="center"/>
    </xf>
    <xf numFmtId="0" fontId="1" fillId="0" borderId="62" xfId="19" applyFont="1" applyBorder="1" applyProtection="1"/>
    <xf numFmtId="0" fontId="1" fillId="0" borderId="0" xfId="19" applyFont="1" applyBorder="1" applyProtection="1"/>
    <xf numFmtId="0" fontId="1" fillId="0" borderId="63" xfId="19" applyFont="1" applyBorder="1" applyProtection="1"/>
    <xf numFmtId="0" fontId="45" fillId="4" borderId="10" xfId="19" applyFont="1" applyFill="1" applyBorder="1" applyAlignment="1" applyProtection="1">
      <alignment horizontal="center" vertical="center"/>
    </xf>
    <xf numFmtId="0" fontId="45" fillId="4" borderId="14" xfId="19" applyFont="1" applyFill="1" applyBorder="1" applyAlignment="1" applyProtection="1">
      <alignment horizontal="center" vertical="center"/>
    </xf>
    <xf numFmtId="0" fontId="42" fillId="0" borderId="0" xfId="19" applyFont="1" applyBorder="1" applyAlignment="1" applyProtection="1">
      <alignment horizontal="right"/>
    </xf>
    <xf numFmtId="0" fontId="45" fillId="0" borderId="18" xfId="19" applyFont="1" applyBorder="1" applyAlignment="1" applyProtection="1">
      <alignment horizontal="center" vertical="center"/>
    </xf>
    <xf numFmtId="0" fontId="41" fillId="16" borderId="9" xfId="19" applyFont="1" applyFill="1" applyBorder="1" applyAlignment="1" applyProtection="1">
      <alignment horizontal="center" vertical="center" wrapText="1"/>
    </xf>
    <xf numFmtId="0" fontId="42" fillId="0" borderId="40" xfId="19" applyFont="1" applyBorder="1" applyAlignment="1" applyProtection="1">
      <alignment vertical="center"/>
    </xf>
    <xf numFmtId="0" fontId="42" fillId="0" borderId="52" xfId="19" applyFont="1" applyBorder="1" applyAlignment="1" applyProtection="1">
      <alignment vertical="center"/>
    </xf>
    <xf numFmtId="175" fontId="42" fillId="4" borderId="28" xfId="20" applyNumberFormat="1" applyFont="1" applyFill="1" applyBorder="1" applyAlignment="1" applyProtection="1">
      <alignment vertical="center"/>
    </xf>
    <xf numFmtId="175" fontId="42" fillId="4" borderId="29" xfId="20" applyNumberFormat="1" applyFont="1" applyFill="1" applyBorder="1" applyAlignment="1" applyProtection="1">
      <alignment vertical="center"/>
    </xf>
    <xf numFmtId="0" fontId="42" fillId="0" borderId="31" xfId="19" applyFont="1" applyBorder="1" applyAlignment="1" applyProtection="1">
      <alignment vertical="center"/>
    </xf>
    <xf numFmtId="0" fontId="42" fillId="0" borderId="39" xfId="19" applyFont="1" applyBorder="1" applyAlignment="1" applyProtection="1">
      <alignment vertical="center"/>
    </xf>
    <xf numFmtId="175" fontId="42" fillId="4" borderId="31" xfId="20" applyNumberFormat="1" applyFont="1" applyFill="1" applyBorder="1" applyAlignment="1" applyProtection="1">
      <alignment vertical="center"/>
    </xf>
    <xf numFmtId="175" fontId="42" fillId="4" borderId="1" xfId="20" applyNumberFormat="1" applyFont="1" applyFill="1" applyBorder="1" applyAlignment="1" applyProtection="1">
      <alignment vertical="center"/>
    </xf>
    <xf numFmtId="172" fontId="42" fillId="4" borderId="39" xfId="19" applyNumberFormat="1" applyFont="1" applyFill="1" applyBorder="1" applyAlignment="1" applyProtection="1">
      <alignment vertical="center"/>
    </xf>
    <xf numFmtId="175" fontId="42" fillId="0" borderId="72" xfId="19" applyNumberFormat="1" applyFont="1" applyBorder="1" applyAlignment="1" applyProtection="1">
      <alignment vertical="center"/>
    </xf>
    <xf numFmtId="0" fontId="42" fillId="0" borderId="44" xfId="19" applyFont="1" applyBorder="1" applyAlignment="1" applyProtection="1">
      <alignment vertical="center"/>
    </xf>
    <xf numFmtId="172" fontId="42" fillId="4" borderId="51" xfId="19" applyNumberFormat="1" applyFont="1" applyFill="1" applyBorder="1" applyAlignment="1" applyProtection="1">
      <alignment vertical="center"/>
    </xf>
    <xf numFmtId="175" fontId="42" fillId="0" borderId="74" xfId="19" applyNumberFormat="1" applyFont="1" applyBorder="1" applyAlignment="1" applyProtection="1">
      <alignment vertical="center"/>
    </xf>
    <xf numFmtId="0" fontId="42" fillId="0" borderId="47" xfId="19" applyFont="1" applyBorder="1" applyAlignment="1" applyProtection="1">
      <alignment vertical="center"/>
    </xf>
    <xf numFmtId="0" fontId="42" fillId="0" borderId="68" xfId="19" applyFont="1" applyBorder="1" applyAlignment="1" applyProtection="1">
      <alignment vertical="center"/>
    </xf>
    <xf numFmtId="175" fontId="42" fillId="0" borderId="9" xfId="20" applyNumberFormat="1" applyFont="1" applyBorder="1" applyAlignment="1" applyProtection="1">
      <alignment vertical="center"/>
    </xf>
    <xf numFmtId="172" fontId="42" fillId="0" borderId="69" xfId="19" applyNumberFormat="1" applyFont="1" applyBorder="1" applyAlignment="1" applyProtection="1">
      <alignment vertical="center"/>
    </xf>
    <xf numFmtId="165" fontId="10" fillId="0" borderId="0" xfId="0" applyFont="1" applyBorder="1" applyProtection="1">
      <alignment vertical="top"/>
    </xf>
    <xf numFmtId="165" fontId="10" fillId="0" borderId="0" xfId="0" applyFont="1" applyProtection="1">
      <alignment vertical="top"/>
    </xf>
    <xf numFmtId="175" fontId="42" fillId="4" borderId="40" xfId="20" applyNumberFormat="1" applyFont="1" applyFill="1" applyBorder="1" applyAlignment="1" applyProtection="1">
      <alignment vertical="center"/>
    </xf>
    <xf numFmtId="175" fontId="42" fillId="4" borderId="26" xfId="20" applyNumberFormat="1" applyFont="1" applyFill="1" applyBorder="1" applyAlignment="1" applyProtection="1">
      <alignment vertical="center"/>
    </xf>
    <xf numFmtId="43" fontId="44" fillId="4" borderId="26" xfId="20" applyFont="1" applyFill="1" applyBorder="1" applyAlignment="1" applyProtection="1">
      <alignment vertical="center"/>
    </xf>
    <xf numFmtId="175" fontId="42" fillId="0" borderId="41" xfId="19" applyNumberFormat="1" applyFont="1" applyBorder="1" applyAlignment="1" applyProtection="1">
      <alignment vertical="center"/>
    </xf>
    <xf numFmtId="0" fontId="42" fillId="0" borderId="34" xfId="19" applyFont="1" applyBorder="1" applyAlignment="1" applyProtection="1">
      <alignment vertical="center"/>
    </xf>
    <xf numFmtId="0" fontId="42" fillId="0" borderId="67" xfId="19" applyFont="1" applyBorder="1" applyAlignment="1" applyProtection="1">
      <alignment vertical="center"/>
    </xf>
    <xf numFmtId="175" fontId="42" fillId="4" borderId="34" xfId="20" applyNumberFormat="1" applyFont="1" applyFill="1" applyBorder="1" applyAlignment="1" applyProtection="1">
      <alignment vertical="center"/>
    </xf>
    <xf numFmtId="175" fontId="42" fillId="4" borderId="35" xfId="20" applyNumberFormat="1" applyFont="1" applyFill="1" applyBorder="1" applyAlignment="1" applyProtection="1">
      <alignment vertical="center"/>
    </xf>
    <xf numFmtId="43" fontId="44" fillId="4" borderId="35" xfId="20" applyFont="1" applyFill="1" applyBorder="1" applyAlignment="1" applyProtection="1">
      <alignment vertical="center"/>
    </xf>
    <xf numFmtId="175" fontId="42" fillId="0" borderId="36" xfId="19" applyNumberFormat="1" applyFont="1" applyBorder="1" applyAlignment="1" applyProtection="1">
      <alignment vertical="center"/>
    </xf>
    <xf numFmtId="3" fontId="1" fillId="0" borderId="0" xfId="19" applyNumberFormat="1" applyFont="1" applyProtection="1"/>
    <xf numFmtId="175" fontId="47" fillId="4" borderId="71" xfId="19" applyNumberFormat="1" applyFont="1" applyFill="1" applyBorder="1" applyAlignment="1" applyProtection="1">
      <alignment vertical="center"/>
    </xf>
    <xf numFmtId="175" fontId="43" fillId="4" borderId="72" xfId="19" applyNumberFormat="1" applyFont="1" applyFill="1" applyBorder="1" applyAlignment="1" applyProtection="1">
      <alignment vertical="center"/>
    </xf>
    <xf numFmtId="175" fontId="42" fillId="4" borderId="72" xfId="19" applyNumberFormat="1" applyFont="1" applyFill="1" applyBorder="1" applyAlignment="1" applyProtection="1">
      <alignment vertical="center"/>
    </xf>
    <xf numFmtId="175" fontId="42" fillId="4" borderId="74" xfId="19" applyNumberFormat="1" applyFont="1" applyFill="1" applyBorder="1" applyAlignment="1" applyProtection="1">
      <alignment vertical="center"/>
    </xf>
    <xf numFmtId="175" fontId="42" fillId="0" borderId="46" xfId="19" applyNumberFormat="1" applyFont="1" applyBorder="1" applyAlignment="1" applyProtection="1">
      <alignment vertical="center"/>
    </xf>
    <xf numFmtId="0" fontId="41" fillId="16" borderId="75" xfId="19" applyFont="1" applyFill="1" applyBorder="1" applyAlignment="1" applyProtection="1">
      <alignment horizontal="center" vertical="center" wrapText="1"/>
    </xf>
    <xf numFmtId="0" fontId="41" fillId="16" borderId="54" xfId="19" applyFont="1" applyFill="1" applyBorder="1" applyAlignment="1" applyProtection="1">
      <alignment horizontal="center" vertical="center" wrapText="1"/>
    </xf>
    <xf numFmtId="0" fontId="41" fillId="16" borderId="73" xfId="19" applyFont="1" applyFill="1" applyBorder="1" applyAlignment="1" applyProtection="1">
      <alignment horizontal="center" vertical="center" wrapText="1"/>
    </xf>
    <xf numFmtId="175" fontId="42" fillId="0" borderId="48" xfId="20" applyNumberFormat="1" applyFont="1" applyBorder="1" applyAlignment="1" applyProtection="1">
      <alignment vertical="center"/>
    </xf>
    <xf numFmtId="175" fontId="42" fillId="0" borderId="50" xfId="20" applyNumberFormat="1" applyFont="1" applyBorder="1" applyAlignment="1" applyProtection="1">
      <alignment vertical="center"/>
    </xf>
    <xf numFmtId="43" fontId="44" fillId="0" borderId="55" xfId="20" applyFont="1" applyBorder="1" applyAlignment="1" applyProtection="1">
      <alignment vertical="center"/>
    </xf>
    <xf numFmtId="175" fontId="42" fillId="4" borderId="48" xfId="20" applyNumberFormat="1" applyFont="1" applyFill="1" applyBorder="1" applyAlignment="1" applyProtection="1">
      <alignment vertical="center"/>
    </xf>
    <xf numFmtId="175" fontId="42" fillId="4" borderId="50" xfId="20" applyNumberFormat="1" applyFont="1" applyFill="1" applyBorder="1" applyAlignment="1" applyProtection="1">
      <alignment vertical="center"/>
    </xf>
    <xf numFmtId="183" fontId="42" fillId="3" borderId="41" xfId="20" applyNumberFormat="1" applyFont="1" applyFill="1" applyBorder="1" applyAlignment="1" applyProtection="1">
      <alignment vertical="center"/>
    </xf>
    <xf numFmtId="183" fontId="42" fillId="3" borderId="32" xfId="20" applyNumberFormat="1" applyFont="1" applyFill="1" applyBorder="1" applyAlignment="1" applyProtection="1">
      <alignment vertical="center"/>
    </xf>
    <xf numFmtId="183" fontId="42" fillId="3" borderId="49" xfId="20" applyNumberFormat="1" applyFont="1" applyFill="1" applyBorder="1" applyAlignment="1" applyProtection="1">
      <alignment vertical="center"/>
    </xf>
    <xf numFmtId="165" fontId="40" fillId="4" borderId="63" xfId="0" applyFont="1" applyFill="1" applyBorder="1" applyAlignment="1" applyProtection="1">
      <alignment horizontal="left" vertical="top"/>
    </xf>
    <xf numFmtId="165" fontId="40" fillId="3" borderId="63" xfId="0" applyFont="1" applyFill="1" applyBorder="1" applyAlignment="1" applyProtection="1">
      <alignment horizontal="left" vertical="top"/>
    </xf>
    <xf numFmtId="165" fontId="37" fillId="0" borderId="0" xfId="0" applyFont="1" applyAlignment="1" applyProtection="1">
      <alignment vertical="top"/>
    </xf>
    <xf numFmtId="165" fontId="36" fillId="2" borderId="0" xfId="0" applyFont="1" applyFill="1" applyBorder="1" applyAlignment="1">
      <alignment horizontal="center" vertical="center"/>
    </xf>
    <xf numFmtId="0" fontId="35" fillId="16" borderId="0" xfId="19" applyFont="1" applyFill="1" applyBorder="1" applyAlignment="1">
      <alignment horizontal="left" vertical="center"/>
    </xf>
    <xf numFmtId="14" fontId="35" fillId="16" borderId="0" xfId="19" applyNumberFormat="1" applyFont="1" applyFill="1" applyBorder="1" applyAlignment="1">
      <alignment horizontal="left" vertical="center"/>
    </xf>
    <xf numFmtId="165" fontId="50" fillId="2" borderId="0" xfId="0" applyFont="1" applyFill="1" applyAlignment="1">
      <alignment vertical="center"/>
    </xf>
    <xf numFmtId="165" fontId="50" fillId="2" borderId="0" xfId="0" applyFont="1" applyFill="1" applyAlignment="1">
      <alignment vertical="center" wrapText="1"/>
    </xf>
    <xf numFmtId="0" fontId="35" fillId="16" borderId="60" xfId="19" applyFont="1" applyFill="1" applyBorder="1" applyAlignment="1">
      <alignment vertical="center"/>
    </xf>
    <xf numFmtId="0" fontId="35" fillId="16" borderId="4" xfId="19" applyFont="1" applyFill="1" applyBorder="1" applyAlignment="1">
      <alignment vertical="center"/>
    </xf>
    <xf numFmtId="0" fontId="51" fillId="16" borderId="4" xfId="19" applyFont="1" applyFill="1" applyBorder="1" applyAlignment="1">
      <alignment vertical="center"/>
    </xf>
    <xf numFmtId="0" fontId="51" fillId="16" borderId="61" xfId="19" applyFont="1" applyFill="1" applyBorder="1" applyAlignment="1">
      <alignment vertical="center"/>
    </xf>
    <xf numFmtId="0" fontId="51" fillId="2" borderId="0" xfId="19" applyFont="1" applyFill="1" applyAlignment="1">
      <alignment vertical="center"/>
    </xf>
    <xf numFmtId="0" fontId="51" fillId="0" borderId="0" xfId="19" applyFont="1" applyAlignment="1">
      <alignment vertical="center"/>
    </xf>
    <xf numFmtId="0" fontId="35" fillId="16" borderId="62" xfId="19" applyFont="1" applyFill="1" applyBorder="1" applyAlignment="1">
      <alignment vertical="center"/>
    </xf>
    <xf numFmtId="165" fontId="35" fillId="16" borderId="0" xfId="0" applyFont="1" applyFill="1" applyBorder="1" applyAlignment="1">
      <alignment vertical="center"/>
    </xf>
    <xf numFmtId="0" fontId="51" fillId="16" borderId="0" xfId="19" applyFont="1" applyFill="1" applyBorder="1" applyAlignment="1">
      <alignment vertical="center"/>
    </xf>
    <xf numFmtId="0" fontId="51" fillId="16" borderId="63" xfId="19" applyFont="1" applyFill="1" applyBorder="1" applyAlignment="1">
      <alignment vertical="center"/>
    </xf>
    <xf numFmtId="0" fontId="35" fillId="16" borderId="0" xfId="19" applyFont="1" applyFill="1" applyBorder="1" applyAlignment="1">
      <alignment vertical="center"/>
    </xf>
    <xf numFmtId="165" fontId="50" fillId="2" borderId="62" xfId="0" applyFont="1" applyFill="1" applyBorder="1" applyAlignment="1">
      <alignment vertical="center"/>
    </xf>
    <xf numFmtId="165" fontId="50" fillId="2" borderId="0" xfId="0" applyFont="1" applyFill="1" applyBorder="1" applyAlignment="1">
      <alignment vertical="center" wrapText="1"/>
    </xf>
    <xf numFmtId="165" fontId="50" fillId="2" borderId="0" xfId="0" applyFont="1" applyFill="1" applyBorder="1" applyAlignment="1">
      <alignment vertical="center"/>
    </xf>
    <xf numFmtId="165" fontId="50" fillId="2" borderId="63" xfId="0" applyFont="1" applyFill="1" applyBorder="1" applyAlignment="1">
      <alignment vertical="center"/>
    </xf>
    <xf numFmtId="165" fontId="36" fillId="2" borderId="62" xfId="0" applyFont="1" applyFill="1" applyBorder="1" applyAlignment="1">
      <alignment vertical="center"/>
    </xf>
    <xf numFmtId="165" fontId="36" fillId="2" borderId="0" xfId="0" applyFont="1" applyFill="1" applyBorder="1" applyAlignment="1">
      <alignment vertical="center" wrapText="1"/>
    </xf>
    <xf numFmtId="165" fontId="36" fillId="2" borderId="0" xfId="0" applyFont="1" applyFill="1" applyBorder="1" applyAlignment="1">
      <alignment vertical="center"/>
    </xf>
    <xf numFmtId="165" fontId="36" fillId="2" borderId="31" xfId="0" applyFont="1" applyFill="1" applyBorder="1" applyAlignment="1">
      <alignment vertical="center" wrapText="1"/>
    </xf>
    <xf numFmtId="165" fontId="50" fillId="2" borderId="64" xfId="0" applyFont="1" applyFill="1" applyBorder="1" applyAlignment="1">
      <alignment vertical="center"/>
    </xf>
    <xf numFmtId="165" fontId="50" fillId="2" borderId="5" xfId="0" applyFont="1" applyFill="1" applyBorder="1" applyAlignment="1">
      <alignment vertical="center" wrapText="1"/>
    </xf>
    <xf numFmtId="165" fontId="50" fillId="2" borderId="5" xfId="0" applyFont="1" applyFill="1" applyBorder="1" applyAlignment="1">
      <alignment vertical="center"/>
    </xf>
    <xf numFmtId="165" fontId="50" fillId="2" borderId="65" xfId="0" applyFont="1" applyFill="1" applyBorder="1" applyAlignment="1">
      <alignment vertical="center"/>
    </xf>
    <xf numFmtId="165" fontId="50" fillId="2" borderId="60" xfId="0" applyFont="1" applyFill="1" applyBorder="1" applyAlignment="1">
      <alignment vertical="center"/>
    </xf>
    <xf numFmtId="165" fontId="50" fillId="2" borderId="4" xfId="0" applyFont="1" applyFill="1" applyBorder="1" applyAlignment="1">
      <alignment vertical="center" wrapText="1"/>
    </xf>
    <xf numFmtId="165" fontId="50" fillId="2" borderId="4" xfId="0" applyFont="1" applyFill="1" applyBorder="1" applyAlignment="1">
      <alignment vertical="center"/>
    </xf>
    <xf numFmtId="165" fontId="50" fillId="2" borderId="61" xfId="0" applyFont="1" applyFill="1" applyBorder="1" applyAlignment="1">
      <alignment vertical="center"/>
    </xf>
    <xf numFmtId="165" fontId="36" fillId="4" borderId="1" xfId="0" applyFont="1" applyFill="1" applyBorder="1" applyAlignment="1">
      <alignment horizontal="center" vertical="center"/>
    </xf>
    <xf numFmtId="166" fontId="36" fillId="4" borderId="1" xfId="5" applyFont="1" applyFill="1" applyBorder="1" applyAlignment="1">
      <alignment horizontal="center" vertical="center"/>
    </xf>
    <xf numFmtId="165" fontId="50" fillId="9" borderId="1" xfId="0" applyFont="1" applyFill="1" applyBorder="1" applyAlignment="1">
      <alignment vertical="center"/>
    </xf>
    <xf numFmtId="165" fontId="50" fillId="2" borderId="1" xfId="0" applyFont="1" applyFill="1" applyBorder="1" applyAlignment="1">
      <alignment vertical="center"/>
    </xf>
    <xf numFmtId="182" fontId="50" fillId="2" borderId="1" xfId="5" applyNumberFormat="1" applyFont="1" applyFill="1" applyBorder="1" applyAlignment="1">
      <alignment vertical="center"/>
    </xf>
    <xf numFmtId="165" fontId="36" fillId="2" borderId="31" xfId="0" applyFont="1" applyFill="1" applyBorder="1" applyAlignment="1">
      <alignment horizontal="center" vertical="center"/>
    </xf>
    <xf numFmtId="165" fontId="36" fillId="4" borderId="32" xfId="0" applyFont="1" applyFill="1" applyBorder="1" applyAlignment="1">
      <alignment horizontal="center" vertical="center"/>
    </xf>
    <xf numFmtId="165" fontId="36" fillId="2" borderId="34" xfId="0" applyFont="1" applyFill="1" applyBorder="1" applyAlignment="1">
      <alignment horizontal="center" vertical="center"/>
    </xf>
    <xf numFmtId="165" fontId="36" fillId="4" borderId="35" xfId="0" applyFont="1" applyFill="1" applyBorder="1" applyAlignment="1">
      <alignment horizontal="center" vertical="center"/>
    </xf>
    <xf numFmtId="165" fontId="36" fillId="4" borderId="36" xfId="0" applyFont="1" applyFill="1" applyBorder="1" applyAlignment="1">
      <alignment horizontal="center" vertical="center"/>
    </xf>
    <xf numFmtId="165" fontId="36" fillId="2" borderId="40" xfId="0" applyFont="1" applyFill="1" applyBorder="1" applyAlignment="1">
      <alignment horizontal="center" vertical="center"/>
    </xf>
    <xf numFmtId="165" fontId="36" fillId="4" borderId="26" xfId="0" applyFont="1" applyFill="1" applyBorder="1" applyAlignment="1">
      <alignment horizontal="center" vertical="center"/>
    </xf>
    <xf numFmtId="165" fontId="36" fillId="4" borderId="41" xfId="0" applyFont="1" applyFill="1" applyBorder="1" applyAlignment="1">
      <alignment horizontal="center" vertical="center"/>
    </xf>
    <xf numFmtId="165" fontId="35" fillId="16" borderId="47" xfId="0" applyFont="1" applyFill="1" applyBorder="1" applyAlignment="1">
      <alignment horizontal="center" vertical="center" wrapText="1"/>
    </xf>
    <xf numFmtId="165" fontId="35" fillId="16" borderId="76" xfId="0" applyFont="1" applyFill="1" applyBorder="1" applyAlignment="1">
      <alignment horizontal="center" vertical="center" wrapText="1"/>
    </xf>
    <xf numFmtId="165" fontId="35" fillId="16" borderId="77" xfId="0" applyFont="1" applyFill="1" applyBorder="1" applyAlignment="1">
      <alignment horizontal="center" vertical="center" wrapText="1"/>
    </xf>
    <xf numFmtId="165" fontId="35" fillId="16" borderId="78" xfId="0" applyFont="1" applyFill="1" applyBorder="1" applyAlignment="1">
      <alignment horizontal="center" vertical="center" wrapText="1"/>
    </xf>
    <xf numFmtId="165" fontId="36" fillId="4" borderId="42" xfId="0" applyFont="1" applyFill="1" applyBorder="1" applyAlignment="1">
      <alignment horizontal="center" vertical="center"/>
    </xf>
    <xf numFmtId="165" fontId="36" fillId="4" borderId="33" xfId="0" applyFont="1" applyFill="1" applyBorder="1" applyAlignment="1">
      <alignment horizontal="center" vertical="center"/>
    </xf>
    <xf numFmtId="165" fontId="36" fillId="4" borderId="25" xfId="0" applyFont="1" applyFill="1" applyBorder="1" applyAlignment="1">
      <alignment horizontal="center" vertical="center"/>
    </xf>
    <xf numFmtId="166" fontId="36" fillId="4" borderId="32" xfId="5" applyFont="1" applyFill="1" applyBorder="1" applyAlignment="1">
      <alignment horizontal="center" vertical="center"/>
    </xf>
    <xf numFmtId="176" fontId="36" fillId="4" borderId="35" xfId="5" applyNumberFormat="1" applyFont="1" applyFill="1" applyBorder="1" applyAlignment="1">
      <alignment horizontal="center" vertical="center"/>
    </xf>
    <xf numFmtId="176" fontId="36" fillId="4" borderId="36" xfId="5" applyNumberFormat="1" applyFont="1" applyFill="1" applyBorder="1" applyAlignment="1">
      <alignment horizontal="center" vertical="center"/>
    </xf>
    <xf numFmtId="166" fontId="36" fillId="4" borderId="33" xfId="5" applyFont="1" applyFill="1" applyBorder="1" applyAlignment="1">
      <alignment horizontal="center" vertical="center"/>
    </xf>
    <xf numFmtId="176" fontId="36" fillId="4" borderId="25" xfId="5" applyNumberFormat="1" applyFont="1" applyFill="1" applyBorder="1" applyAlignment="1">
      <alignment horizontal="center" vertical="center"/>
    </xf>
    <xf numFmtId="165" fontId="36" fillId="9" borderId="28" xfId="0" applyFont="1" applyFill="1" applyBorder="1" applyAlignment="1">
      <alignment vertical="center" wrapText="1"/>
    </xf>
    <xf numFmtId="165" fontId="50" fillId="9" borderId="29" xfId="0" applyFont="1" applyFill="1" applyBorder="1" applyAlignment="1">
      <alignment vertical="center"/>
    </xf>
    <xf numFmtId="165" fontId="50" fillId="9" borderId="30" xfId="0" applyFont="1" applyFill="1" applyBorder="1" applyAlignment="1">
      <alignment vertical="center"/>
    </xf>
    <xf numFmtId="165" fontId="50" fillId="2" borderId="32" xfId="0" applyFont="1" applyFill="1" applyBorder="1" applyAlignment="1">
      <alignment vertical="center"/>
    </xf>
    <xf numFmtId="165" fontId="36" fillId="9" borderId="31" xfId="0" applyFont="1" applyFill="1" applyBorder="1" applyAlignment="1">
      <alignment vertical="center" wrapText="1"/>
    </xf>
    <xf numFmtId="165" fontId="50" fillId="9" borderId="32" xfId="0" applyFont="1" applyFill="1" applyBorder="1" applyAlignment="1">
      <alignment vertical="center"/>
    </xf>
    <xf numFmtId="182" fontId="50" fillId="2" borderId="32" xfId="5" applyNumberFormat="1" applyFont="1" applyFill="1" applyBorder="1" applyAlignment="1">
      <alignment vertical="center"/>
    </xf>
    <xf numFmtId="165" fontId="36" fillId="9" borderId="34" xfId="0" applyFont="1" applyFill="1" applyBorder="1" applyAlignment="1">
      <alignment vertical="center" wrapText="1"/>
    </xf>
    <xf numFmtId="165" fontId="50" fillId="9" borderId="35" xfId="0" applyFont="1" applyFill="1" applyBorder="1" applyAlignment="1">
      <alignment vertical="center"/>
    </xf>
    <xf numFmtId="165" fontId="50" fillId="9" borderId="36" xfId="0" applyFont="1" applyFill="1" applyBorder="1" applyAlignment="1">
      <alignment vertical="center"/>
    </xf>
    <xf numFmtId="165" fontId="36" fillId="2" borderId="40" xfId="0" applyFont="1" applyFill="1" applyBorder="1" applyAlignment="1">
      <alignment vertical="center" wrapText="1"/>
    </xf>
    <xf numFmtId="165" fontId="50" fillId="2" borderId="26" xfId="0" applyFont="1" applyFill="1" applyBorder="1" applyAlignment="1">
      <alignment vertical="center"/>
    </xf>
    <xf numFmtId="165" fontId="50" fillId="2" borderId="41" xfId="0" applyFont="1" applyFill="1" applyBorder="1" applyAlignment="1">
      <alignment vertical="center"/>
    </xf>
    <xf numFmtId="165" fontId="35" fillId="12" borderId="47" xfId="0" applyFont="1" applyFill="1" applyBorder="1" applyAlignment="1">
      <alignment vertical="center" wrapText="1"/>
    </xf>
    <xf numFmtId="165" fontId="35" fillId="12" borderId="76" xfId="0" applyFont="1" applyFill="1" applyBorder="1" applyAlignment="1">
      <alignment horizontal="center" vertical="center" wrapText="1"/>
    </xf>
    <xf numFmtId="165" fontId="35" fillId="12" borderId="77" xfId="0" applyFont="1" applyFill="1" applyBorder="1" applyAlignment="1">
      <alignment horizontal="center" vertical="center" wrapText="1"/>
    </xf>
    <xf numFmtId="3" fontId="20" fillId="0" borderId="12" xfId="17" applyNumberFormat="1" applyFont="1" applyBorder="1" applyAlignment="1">
      <alignment horizontal="center" vertical="top"/>
    </xf>
    <xf numFmtId="3" fontId="20" fillId="4" borderId="39" xfId="17" applyNumberFormat="1" applyFont="1" applyFill="1" applyBorder="1" applyAlignment="1">
      <alignment horizontal="center" vertical="top" wrapText="1"/>
    </xf>
    <xf numFmtId="4" fontId="20" fillId="0" borderId="67" xfId="17" applyNumberFormat="1" applyFont="1" applyBorder="1" applyAlignment="1">
      <alignment horizontal="center" vertical="top" wrapText="1"/>
    </xf>
    <xf numFmtId="1" fontId="20" fillId="0" borderId="39" xfId="17" applyNumberFormat="1" applyFont="1" applyBorder="1" applyAlignment="1">
      <alignment horizontal="center"/>
    </xf>
    <xf numFmtId="1" fontId="20" fillId="0" borderId="66" xfId="17" applyNumberFormat="1" applyFont="1" applyBorder="1" applyAlignment="1">
      <alignment horizontal="center" vertical="top" wrapText="1"/>
    </xf>
    <xf numFmtId="4" fontId="20" fillId="0" borderId="67" xfId="17" applyNumberFormat="1" applyFont="1" applyBorder="1" applyAlignment="1">
      <alignment horizontal="right" vertical="top" wrapText="1"/>
    </xf>
    <xf numFmtId="0" fontId="20" fillId="16" borderId="51" xfId="17" applyFont="1" applyFill="1" applyBorder="1" applyAlignment="1">
      <alignment wrapText="1"/>
    </xf>
    <xf numFmtId="4" fontId="20" fillId="0" borderId="25" xfId="17" applyNumberFormat="1" applyFont="1" applyBorder="1" applyAlignment="1">
      <alignment horizontal="right" vertical="top"/>
    </xf>
    <xf numFmtId="0" fontId="20" fillId="16" borderId="8" xfId="17" applyFont="1" applyFill="1" applyBorder="1" applyAlignment="1">
      <alignment wrapText="1"/>
    </xf>
    <xf numFmtId="3" fontId="20" fillId="0" borderId="10" xfId="17" applyNumberFormat="1" applyFont="1" applyBorder="1" applyAlignment="1">
      <alignment horizontal="center" vertical="top"/>
    </xf>
    <xf numFmtId="4" fontId="20" fillId="0" borderId="18" xfId="17" applyNumberFormat="1" applyFont="1" applyBorder="1" applyAlignment="1">
      <alignment horizontal="center" vertical="top" wrapText="1"/>
    </xf>
    <xf numFmtId="1" fontId="20" fillId="0" borderId="14" xfId="17" applyNumberFormat="1" applyFont="1" applyBorder="1" applyAlignment="1">
      <alignment horizontal="center"/>
    </xf>
    <xf numFmtId="4" fontId="20" fillId="0" borderId="18" xfId="17" applyNumberFormat="1" applyFont="1" applyBorder="1" applyAlignment="1">
      <alignment horizontal="right" vertical="top" wrapText="1"/>
    </xf>
    <xf numFmtId="178" fontId="20" fillId="16" borderId="37" xfId="17" applyNumberFormat="1" applyFont="1" applyFill="1" applyBorder="1"/>
    <xf numFmtId="0" fontId="20" fillId="16" borderId="8" xfId="17" applyFont="1" applyFill="1" applyBorder="1"/>
    <xf numFmtId="4" fontId="20" fillId="0" borderId="18" xfId="17" applyNumberFormat="1" applyFont="1" applyBorder="1" applyAlignment="1">
      <alignment horizontal="center" vertical="top"/>
    </xf>
    <xf numFmtId="4" fontId="20" fillId="0" borderId="18" xfId="17" applyNumberFormat="1" applyFont="1" applyBorder="1" applyAlignment="1">
      <alignment horizontal="right" vertical="top"/>
    </xf>
    <xf numFmtId="177" fontId="20" fillId="0" borderId="10" xfId="17" applyNumberFormat="1" applyFont="1" applyBorder="1" applyAlignment="1">
      <alignment horizontal="center" vertical="top"/>
    </xf>
    <xf numFmtId="177" fontId="20" fillId="0" borderId="18" xfId="17" applyNumberFormat="1" applyFont="1" applyBorder="1" applyAlignment="1">
      <alignment horizontal="center" vertical="top"/>
    </xf>
    <xf numFmtId="177" fontId="20" fillId="0" borderId="14" xfId="17" applyNumberFormat="1" applyFont="1" applyBorder="1" applyAlignment="1">
      <alignment horizontal="center"/>
    </xf>
    <xf numFmtId="178" fontId="20" fillId="0" borderId="18" xfId="17" applyNumberFormat="1" applyFont="1" applyBorder="1" applyAlignment="1">
      <alignment horizontal="right" vertical="top"/>
    </xf>
    <xf numFmtId="2" fontId="20" fillId="0" borderId="24" xfId="17" applyNumberFormat="1" applyFont="1" applyBorder="1" applyAlignment="1">
      <alignment horizontal="right" vertical="top"/>
    </xf>
    <xf numFmtId="4" fontId="20" fillId="0" borderId="33" xfId="17" applyNumberFormat="1" applyFont="1" applyBorder="1" applyAlignment="1">
      <alignment horizontal="right" vertical="top"/>
    </xf>
    <xf numFmtId="177" fontId="25" fillId="0" borderId="14" xfId="17" applyNumberFormat="1" applyFont="1" applyBorder="1" applyAlignment="1">
      <alignment horizontal="center" vertical="top"/>
    </xf>
    <xf numFmtId="177" fontId="25" fillId="0" borderId="18" xfId="17" applyNumberFormat="1" applyFont="1" applyBorder="1" applyAlignment="1">
      <alignment horizontal="center" vertical="top"/>
    </xf>
    <xf numFmtId="177" fontId="25" fillId="0" borderId="10" xfId="17" applyNumberFormat="1" applyFont="1" applyBorder="1" applyAlignment="1">
      <alignment horizontal="center" vertical="top"/>
    </xf>
    <xf numFmtId="177" fontId="20" fillId="0" borderId="14" xfId="17" applyNumberFormat="1" applyFont="1" applyBorder="1" applyAlignment="1">
      <alignment horizontal="center" vertical="top"/>
    </xf>
    <xf numFmtId="166" fontId="20" fillId="0" borderId="66" xfId="5" applyFont="1" applyBorder="1">
      <alignment vertical="top"/>
    </xf>
    <xf numFmtId="4" fontId="20" fillId="0" borderId="39" xfId="17" applyNumberFormat="1" applyFont="1" applyBorder="1" applyAlignment="1">
      <alignment horizontal="right" vertical="top"/>
    </xf>
    <xf numFmtId="4" fontId="20" fillId="0" borderId="67" xfId="17" applyNumberFormat="1" applyFont="1" applyBorder="1" applyAlignment="1">
      <alignment horizontal="right" vertical="top"/>
    </xf>
    <xf numFmtId="1" fontId="20" fillId="0" borderId="10" xfId="17" applyNumberFormat="1" applyFont="1" applyBorder="1" applyAlignment="1">
      <alignment horizontal="center" vertical="top"/>
    </xf>
    <xf numFmtId="1" fontId="20" fillId="0" borderId="14" xfId="17" applyNumberFormat="1" applyFont="1" applyBorder="1" applyAlignment="1">
      <alignment horizontal="center" vertical="top"/>
    </xf>
    <xf numFmtId="1" fontId="20" fillId="0" borderId="18" xfId="17" applyNumberFormat="1" applyFont="1" applyBorder="1" applyAlignment="1">
      <alignment horizontal="center" vertical="top"/>
    </xf>
    <xf numFmtId="173" fontId="20" fillId="0" borderId="18" xfId="17" applyNumberFormat="1" applyFont="1" applyBorder="1" applyAlignment="1">
      <alignment horizontal="center" vertical="top"/>
    </xf>
    <xf numFmtId="172" fontId="20" fillId="4" borderId="10" xfId="18" applyNumberFormat="1" applyFont="1" applyFill="1" applyBorder="1" applyAlignment="1">
      <alignment horizontal="right" vertical="top"/>
    </xf>
    <xf numFmtId="172" fontId="20" fillId="4" borderId="14" xfId="18" applyNumberFormat="1" applyFont="1" applyFill="1" applyBorder="1" applyAlignment="1">
      <alignment horizontal="right" vertical="top"/>
    </xf>
    <xf numFmtId="172" fontId="33" fillId="0" borderId="18" xfId="18" applyNumberFormat="1" applyFont="1" applyFill="1" applyBorder="1" applyAlignment="1">
      <alignment horizontal="right" vertical="top"/>
    </xf>
    <xf numFmtId="9" fontId="20" fillId="0" borderId="11" xfId="18" applyFont="1" applyBorder="1" applyAlignment="1">
      <alignment horizontal="right" vertical="top"/>
    </xf>
    <xf numFmtId="9" fontId="20" fillId="0" borderId="6" xfId="18" applyFont="1" applyBorder="1" applyAlignment="1">
      <alignment horizontal="right" vertical="top"/>
    </xf>
    <xf numFmtId="9" fontId="20" fillId="0" borderId="19" xfId="18" applyFont="1" applyBorder="1" applyAlignment="1">
      <alignment horizontal="right" vertical="top"/>
    </xf>
    <xf numFmtId="177" fontId="20" fillId="0" borderId="10" xfId="17" applyNumberFormat="1" applyFont="1" applyBorder="1" applyAlignment="1">
      <alignment horizontal="right" vertical="top"/>
    </xf>
    <xf numFmtId="177" fontId="20" fillId="0" borderId="18" xfId="17" applyNumberFormat="1" applyFont="1" applyBorder="1" applyAlignment="1">
      <alignment horizontal="right" vertical="top"/>
    </xf>
    <xf numFmtId="177" fontId="20" fillId="0" borderId="9" xfId="17" applyNumberFormat="1" applyFont="1" applyBorder="1" applyAlignment="1">
      <alignment horizontal="right" vertical="top"/>
    </xf>
    <xf numFmtId="14" fontId="49" fillId="4" borderId="8" xfId="19" applyNumberFormat="1" applyFont="1" applyFill="1" applyBorder="1" applyAlignment="1" applyProtection="1">
      <alignment horizontal="center"/>
    </xf>
    <xf numFmtId="0" fontId="49" fillId="4" borderId="21" xfId="19" applyFont="1" applyFill="1" applyBorder="1" applyAlignment="1" applyProtection="1">
      <alignment horizontal="center"/>
    </xf>
    <xf numFmtId="165" fontId="37" fillId="0" borderId="0" xfId="0" applyFont="1" applyAlignment="1" applyProtection="1">
      <alignment horizontal="left" vertical="top"/>
    </xf>
    <xf numFmtId="165" fontId="52" fillId="0" borderId="62" xfId="0" applyFont="1" applyBorder="1" applyAlignment="1" applyProtection="1">
      <alignment horizontal="center" vertical="top"/>
    </xf>
    <xf numFmtId="165" fontId="37" fillId="0" borderId="0" xfId="0" applyFont="1" applyAlignment="1">
      <alignment vertical="center"/>
    </xf>
    <xf numFmtId="0" fontId="20" fillId="4" borderId="10" xfId="18" applyNumberFormat="1" applyFont="1" applyFill="1" applyBorder="1" applyAlignment="1" applyProtection="1">
      <alignment horizontal="right" vertical="top"/>
    </xf>
    <xf numFmtId="0" fontId="20" fillId="4" borderId="14" xfId="18" applyNumberFormat="1" applyFont="1" applyFill="1" applyBorder="1" applyAlignment="1" applyProtection="1">
      <alignment horizontal="right" vertical="top"/>
    </xf>
    <xf numFmtId="0" fontId="33" fillId="0" borderId="18" xfId="18" applyNumberFormat="1" applyFont="1" applyFill="1" applyBorder="1" applyAlignment="1" applyProtection="1">
      <alignment horizontal="right" vertical="top"/>
    </xf>
    <xf numFmtId="0" fontId="22" fillId="13" borderId="1" xfId="19" applyFont="1" applyFill="1" applyBorder="1" applyAlignment="1">
      <alignment horizontal="center" vertical="center" wrapText="1"/>
    </xf>
    <xf numFmtId="178" fontId="22" fillId="13" borderId="1" xfId="19" applyNumberFormat="1" applyFont="1" applyFill="1" applyBorder="1" applyAlignment="1">
      <alignment horizontal="center" vertical="center" wrapText="1"/>
    </xf>
    <xf numFmtId="0" fontId="22" fillId="13" borderId="37" xfId="19" applyFont="1" applyFill="1" applyBorder="1" applyAlignment="1">
      <alignment horizontal="center" vertical="center" wrapText="1"/>
    </xf>
    <xf numFmtId="0" fontId="22" fillId="13" borderId="42" xfId="19" applyFont="1" applyFill="1" applyBorder="1" applyAlignment="1">
      <alignment horizontal="center" vertical="center" wrapText="1"/>
    </xf>
    <xf numFmtId="0" fontId="22" fillId="13" borderId="38" xfId="19" applyFont="1" applyFill="1" applyBorder="1" applyAlignment="1">
      <alignment horizontal="center" vertical="center" wrapText="1"/>
    </xf>
    <xf numFmtId="0" fontId="22" fillId="13" borderId="26" xfId="19" applyFont="1" applyFill="1" applyBorder="1" applyAlignment="1">
      <alignment horizontal="center" vertical="center" wrapText="1"/>
    </xf>
    <xf numFmtId="2" fontId="22" fillId="13" borderId="38" xfId="19" applyNumberFormat="1" applyFont="1" applyFill="1" applyBorder="1" applyAlignment="1">
      <alignment horizontal="center" vertical="center" wrapText="1"/>
    </xf>
    <xf numFmtId="2" fontId="22" fillId="13" borderId="26" xfId="19" applyNumberFormat="1" applyFont="1" applyFill="1" applyBorder="1" applyAlignment="1">
      <alignment horizontal="center" vertical="center" wrapText="1"/>
    </xf>
    <xf numFmtId="165" fontId="6" fillId="3" borderId="1" xfId="0" applyFont="1" applyFill="1" applyBorder="1" applyAlignment="1" applyProtection="1">
      <alignment vertical="top" wrapText="1"/>
    </xf>
    <xf numFmtId="178" fontId="18" fillId="4" borderId="1" xfId="19" applyNumberFormat="1" applyFont="1" applyFill="1" applyBorder="1" applyAlignment="1" applyProtection="1">
      <alignment vertical="center"/>
    </xf>
    <xf numFmtId="1" fontId="18" fillId="4" borderId="1" xfId="19" applyNumberFormat="1" applyFont="1" applyFill="1" applyBorder="1" applyAlignment="1" applyProtection="1">
      <alignment vertical="center"/>
    </xf>
    <xf numFmtId="182" fontId="4" fillId="2" borderId="29" xfId="5" applyNumberFormat="1" applyFont="1" applyFill="1" applyBorder="1">
      <alignment vertical="top"/>
    </xf>
    <xf numFmtId="3" fontId="20" fillId="17" borderId="14" xfId="17" applyNumberFormat="1" applyFont="1" applyFill="1" applyBorder="1" applyAlignment="1">
      <alignment horizontal="center" vertical="top" wrapText="1"/>
    </xf>
    <xf numFmtId="4" fontId="20" fillId="17" borderId="14" xfId="17" applyNumberFormat="1" applyFont="1" applyFill="1" applyBorder="1" applyAlignment="1">
      <alignment horizontal="center" vertical="top"/>
    </xf>
    <xf numFmtId="177" fontId="20" fillId="17" borderId="14" xfId="17" applyNumberFormat="1" applyFont="1" applyFill="1" applyBorder="1" applyAlignment="1">
      <alignment horizontal="center" vertical="top"/>
    </xf>
    <xf numFmtId="172" fontId="20" fillId="17" borderId="14" xfId="18" applyNumberFormat="1" applyFont="1" applyFill="1" applyBorder="1" applyAlignment="1">
      <alignment horizontal="right" vertical="top"/>
    </xf>
    <xf numFmtId="0" fontId="20" fillId="17" borderId="10" xfId="18" applyNumberFormat="1" applyFont="1" applyFill="1" applyBorder="1" applyAlignment="1" applyProtection="1">
      <alignment horizontal="right" vertical="top"/>
    </xf>
    <xf numFmtId="0" fontId="20" fillId="17" borderId="14" xfId="18" applyNumberFormat="1" applyFont="1" applyFill="1" applyBorder="1" applyAlignment="1" applyProtection="1">
      <alignment horizontal="right" vertical="top"/>
    </xf>
    <xf numFmtId="172" fontId="20" fillId="17" borderId="10" xfId="18" applyNumberFormat="1" applyFont="1" applyFill="1" applyBorder="1" applyAlignment="1">
      <alignment horizontal="right" vertical="top"/>
    </xf>
    <xf numFmtId="1" fontId="20" fillId="17" borderId="10" xfId="17" applyNumberFormat="1" applyFont="1" applyFill="1" applyBorder="1" applyAlignment="1">
      <alignment horizontal="center" vertical="top"/>
    </xf>
    <xf numFmtId="0" fontId="30" fillId="0" borderId="0" xfId="1" applyFont="1"/>
    <xf numFmtId="0" fontId="54" fillId="0" borderId="0" xfId="1" applyFont="1"/>
    <xf numFmtId="0" fontId="34" fillId="0" borderId="1" xfId="1" applyFont="1" applyBorder="1"/>
    <xf numFmtId="0" fontId="34" fillId="0" borderId="39" xfId="1" applyFont="1" applyBorder="1" applyAlignment="1">
      <alignment horizontal="left" vertical="top"/>
    </xf>
    <xf numFmtId="0" fontId="34" fillId="0" borderId="39" xfId="1" applyFont="1" applyBorder="1" applyAlignment="1">
      <alignment horizontal="left" vertical="center"/>
    </xf>
    <xf numFmtId="0" fontId="34" fillId="0" borderId="1" xfId="1" applyFont="1" applyBorder="1" applyAlignment="1">
      <alignment horizontal="left"/>
    </xf>
    <xf numFmtId="0" fontId="34" fillId="0" borderId="57" xfId="1" applyFont="1" applyBorder="1" applyAlignment="1">
      <alignment horizontal="left" vertical="top"/>
    </xf>
    <xf numFmtId="0" fontId="34" fillId="0" borderId="56" xfId="1" applyFont="1" applyBorder="1" applyAlignment="1">
      <alignment horizontal="left"/>
    </xf>
    <xf numFmtId="0" fontId="54" fillId="0" borderId="0" xfId="24" applyFont="1"/>
    <xf numFmtId="0" fontId="33" fillId="0" borderId="1" xfId="24" applyFont="1" applyBorder="1"/>
    <xf numFmtId="0" fontId="34" fillId="0" borderId="39" xfId="24" applyFont="1" applyBorder="1" applyAlignment="1">
      <alignment horizontal="left" vertical="top"/>
    </xf>
    <xf numFmtId="0" fontId="34" fillId="0" borderId="39" xfId="24" applyFont="1" applyBorder="1" applyAlignment="1">
      <alignment horizontal="left" vertical="center"/>
    </xf>
    <xf numFmtId="0" fontId="34" fillId="0" borderId="1" xfId="24" applyFont="1" applyBorder="1" applyAlignment="1">
      <alignment horizontal="left"/>
    </xf>
    <xf numFmtId="165" fontId="54" fillId="0" borderId="0" xfId="0" applyFont="1">
      <alignment vertical="top"/>
    </xf>
    <xf numFmtId="0" fontId="32" fillId="0" borderId="0" xfId="19" applyFont="1"/>
    <xf numFmtId="0" fontId="32" fillId="0" borderId="0" xfId="19" applyFont="1" applyAlignment="1">
      <alignment wrapText="1"/>
    </xf>
    <xf numFmtId="0" fontId="55" fillId="0" borderId="1" xfId="19" applyFont="1" applyBorder="1" applyAlignment="1">
      <alignment horizontal="center" vertical="center"/>
    </xf>
    <xf numFmtId="0" fontId="55" fillId="4" borderId="1" xfId="19" applyFont="1" applyFill="1" applyBorder="1" applyAlignment="1">
      <alignment horizontal="center" vertical="center"/>
    </xf>
    <xf numFmtId="0" fontId="22" fillId="2" borderId="1" xfId="17" applyFont="1" applyFill="1" applyBorder="1" applyAlignment="1">
      <alignment horizontal="left"/>
    </xf>
    <xf numFmtId="166" fontId="55" fillId="2" borderId="1" xfId="5" applyFont="1" applyFill="1" applyBorder="1">
      <alignment vertical="top"/>
    </xf>
    <xf numFmtId="1" fontId="55" fillId="0" borderId="1" xfId="19" applyNumberFormat="1" applyFont="1" applyBorder="1" applyAlignment="1">
      <alignment vertical="center"/>
    </xf>
    <xf numFmtId="1" fontId="55" fillId="2" borderId="1" xfId="19" applyNumberFormat="1" applyFont="1" applyFill="1" applyBorder="1" applyAlignment="1">
      <alignment vertical="center"/>
    </xf>
    <xf numFmtId="175" fontId="55" fillId="2" borderId="1" xfId="20" applyNumberFormat="1" applyFont="1" applyFill="1" applyBorder="1" applyAlignment="1">
      <alignment vertical="center"/>
    </xf>
    <xf numFmtId="172" fontId="55" fillId="0" borderId="1" xfId="19" applyNumberFormat="1" applyFont="1" applyBorder="1" applyAlignment="1">
      <alignment vertical="center"/>
    </xf>
    <xf numFmtId="178" fontId="55" fillId="0" borderId="1" xfId="19" applyNumberFormat="1" applyFont="1" applyBorder="1" applyAlignment="1">
      <alignment vertical="center"/>
    </xf>
    <xf numFmtId="175" fontId="55" fillId="0" borderId="1" xfId="15" applyNumberFormat="1" applyFont="1" applyBorder="1" applyAlignment="1">
      <alignment vertical="center"/>
    </xf>
    <xf numFmtId="176" fontId="55" fillId="0" borderId="1" xfId="19" applyNumberFormat="1" applyFont="1" applyBorder="1" applyAlignment="1">
      <alignment vertical="center"/>
    </xf>
    <xf numFmtId="2" fontId="55" fillId="0" borderId="1" xfId="19" applyNumberFormat="1" applyFont="1" applyBorder="1" applyAlignment="1">
      <alignment vertical="center"/>
    </xf>
    <xf numFmtId="44" fontId="55" fillId="0" borderId="1" xfId="19" applyNumberFormat="1" applyFont="1" applyBorder="1" applyAlignment="1">
      <alignment vertical="center"/>
    </xf>
    <xf numFmtId="0" fontId="22" fillId="0" borderId="0" xfId="19" applyFont="1" applyAlignment="1">
      <alignment vertical="center"/>
    </xf>
    <xf numFmtId="0" fontId="22" fillId="0" borderId="0" xfId="19" applyFont="1" applyAlignment="1">
      <alignment vertical="center" wrapText="1"/>
    </xf>
    <xf numFmtId="178" fontId="22" fillId="0" borderId="0" xfId="19" applyNumberFormat="1" applyFont="1" applyAlignment="1">
      <alignment vertical="center"/>
    </xf>
    <xf numFmtId="175" fontId="22" fillId="0" borderId="0" xfId="15" applyNumberFormat="1" applyFont="1" applyBorder="1" applyAlignment="1">
      <alignment vertical="center"/>
    </xf>
    <xf numFmtId="175" fontId="22" fillId="0" borderId="0" xfId="20" applyNumberFormat="1" applyFont="1" applyFill="1" applyBorder="1" applyAlignment="1">
      <alignment vertical="center"/>
    </xf>
    <xf numFmtId="172" fontId="22" fillId="0" borderId="0" xfId="19" applyNumberFormat="1" applyFont="1" applyAlignment="1">
      <alignment vertical="center"/>
    </xf>
    <xf numFmtId="179" fontId="22" fillId="0" borderId="0" xfId="15" applyNumberFormat="1" applyFont="1" applyBorder="1" applyAlignment="1">
      <alignment vertical="center"/>
    </xf>
    <xf numFmtId="165" fontId="56" fillId="0" borderId="0" xfId="0" applyFont="1">
      <alignment vertical="top"/>
    </xf>
    <xf numFmtId="165" fontId="56" fillId="0" borderId="0" xfId="0" applyFont="1" applyAlignment="1">
      <alignment vertical="top" wrapText="1"/>
    </xf>
    <xf numFmtId="0" fontId="33" fillId="0" borderId="0" xfId="17" applyFont="1"/>
    <xf numFmtId="0" fontId="34" fillId="0" borderId="0" xfId="17" applyFont="1" applyAlignment="1">
      <alignment horizontal="left" vertical="top"/>
    </xf>
    <xf numFmtId="0" fontId="33" fillId="0" borderId="0" xfId="17" applyFont="1" applyAlignment="1">
      <alignment vertical="top"/>
    </xf>
    <xf numFmtId="0" fontId="33" fillId="0" borderId="0" xfId="17" applyFont="1" applyAlignment="1">
      <alignment vertical="top" wrapText="1"/>
    </xf>
    <xf numFmtId="178" fontId="33" fillId="0" borderId="0" xfId="17" applyNumberFormat="1" applyFont="1" applyAlignment="1">
      <alignment vertical="top"/>
    </xf>
    <xf numFmtId="177" fontId="33" fillId="0" borderId="0" xfId="17" applyNumberFormat="1" applyFont="1"/>
    <xf numFmtId="0" fontId="34" fillId="0" borderId="0" xfId="17" applyFont="1" applyAlignment="1">
      <alignment horizontal="left" vertical="top" wrapText="1"/>
    </xf>
    <xf numFmtId="178" fontId="34" fillId="0" borderId="0" xfId="17" applyNumberFormat="1" applyFont="1" applyAlignment="1">
      <alignment horizontal="left" vertical="top"/>
    </xf>
    <xf numFmtId="43" fontId="33" fillId="0" borderId="0" xfId="17" applyNumberFormat="1" applyFont="1" applyAlignment="1">
      <alignment vertical="top"/>
    </xf>
    <xf numFmtId="0" fontId="33" fillId="0" borderId="11" xfId="17" applyFont="1" applyBorder="1" applyAlignment="1">
      <alignment vertical="top"/>
    </xf>
    <xf numFmtId="178" fontId="33" fillId="0" borderId="12" xfId="17" applyNumberFormat="1" applyFont="1" applyBorder="1" applyAlignment="1">
      <alignment vertical="top"/>
    </xf>
    <xf numFmtId="178" fontId="33" fillId="0" borderId="11" xfId="17" applyNumberFormat="1" applyFont="1" applyBorder="1" applyAlignment="1">
      <alignment vertical="top"/>
    </xf>
    <xf numFmtId="0" fontId="33" fillId="0" borderId="24" xfId="17" applyFont="1" applyBorder="1" applyAlignment="1">
      <alignment vertical="top"/>
    </xf>
    <xf numFmtId="0" fontId="33" fillId="0" borderId="30" xfId="17" applyFont="1" applyBorder="1" applyAlignment="1">
      <alignment horizontal="center" vertical="top"/>
    </xf>
    <xf numFmtId="0" fontId="33" fillId="0" borderId="11" xfId="17" applyFont="1" applyBorder="1" applyAlignment="1">
      <alignment horizontal="center" vertical="top"/>
    </xf>
    <xf numFmtId="0" fontId="33" fillId="0" borderId="0" xfId="17" applyFont="1" applyAlignment="1">
      <alignment horizontal="right"/>
    </xf>
    <xf numFmtId="0" fontId="34" fillId="0" borderId="1" xfId="17" applyFont="1" applyBorder="1" applyAlignment="1">
      <alignment horizontal="center" vertical="top" wrapText="1"/>
    </xf>
    <xf numFmtId="0" fontId="34" fillId="0" borderId="1" xfId="17" applyFont="1" applyBorder="1" applyAlignment="1">
      <alignment horizontal="center" vertical="top"/>
    </xf>
    <xf numFmtId="178" fontId="34" fillId="0" borderId="31" xfId="17" applyNumberFormat="1" applyFont="1" applyBorder="1" applyAlignment="1">
      <alignment horizontal="center" vertical="top"/>
    </xf>
    <xf numFmtId="178" fontId="34" fillId="0" borderId="1" xfId="17" applyNumberFormat="1" applyFont="1" applyBorder="1" applyAlignment="1">
      <alignment horizontal="center" vertical="top"/>
    </xf>
    <xf numFmtId="0" fontId="34" fillId="0" borderId="32" xfId="17" applyFont="1" applyBorder="1" applyAlignment="1">
      <alignment horizontal="center" vertical="top"/>
    </xf>
    <xf numFmtId="0" fontId="34" fillId="0" borderId="2" xfId="17" applyFont="1" applyBorder="1" applyAlignment="1">
      <alignment horizontal="center" vertical="top" wrapText="1"/>
    </xf>
    <xf numFmtId="0" fontId="34" fillId="0" borderId="33" xfId="17" applyFont="1" applyBorder="1" applyAlignment="1">
      <alignment horizontal="center" vertical="top" wrapText="1"/>
    </xf>
    <xf numFmtId="0" fontId="34" fillId="0" borderId="37" xfId="17" applyFont="1" applyBorder="1" applyAlignment="1">
      <alignment horizontal="center" vertical="top" wrapText="1"/>
    </xf>
    <xf numFmtId="0" fontId="34" fillId="0" borderId="51" xfId="17" applyFont="1" applyBorder="1" applyAlignment="1">
      <alignment horizontal="center" vertical="top" wrapText="1"/>
    </xf>
    <xf numFmtId="0" fontId="34" fillId="0" borderId="33" xfId="17" applyFont="1" applyBorder="1" applyAlignment="1">
      <alignment horizontal="center" vertical="top"/>
    </xf>
    <xf numFmtId="0" fontId="33" fillId="0" borderId="35" xfId="17" applyFont="1" applyBorder="1" applyAlignment="1">
      <alignment wrapText="1"/>
    </xf>
    <xf numFmtId="0" fontId="33" fillId="0" borderId="35" xfId="17" applyFont="1" applyBorder="1"/>
    <xf numFmtId="178" fontId="34" fillId="0" borderId="34" xfId="17" applyNumberFormat="1" applyFont="1" applyBorder="1" applyAlignment="1">
      <alignment horizontal="center" vertical="top"/>
    </xf>
    <xf numFmtId="178" fontId="33" fillId="0" borderId="35" xfId="17" applyNumberFormat="1" applyFont="1" applyBorder="1"/>
    <xf numFmtId="172" fontId="33" fillId="7" borderId="36" xfId="18" applyNumberFormat="1" applyFont="1" applyFill="1" applyBorder="1" applyAlignment="1">
      <alignment horizontal="center" vertical="top"/>
    </xf>
    <xf numFmtId="172" fontId="33" fillId="7" borderId="5" xfId="18" applyNumberFormat="1" applyFont="1" applyFill="1" applyBorder="1" applyAlignment="1">
      <alignment horizontal="center" vertical="top"/>
    </xf>
    <xf numFmtId="0" fontId="34" fillId="0" borderId="25" xfId="17" applyFont="1" applyBorder="1" applyAlignment="1">
      <alignment horizontal="center" vertical="top" wrapText="1"/>
    </xf>
    <xf numFmtId="0" fontId="34" fillId="0" borderId="53" xfId="17" applyFont="1" applyBorder="1" applyAlignment="1">
      <alignment horizontal="center" vertical="top" wrapText="1"/>
    </xf>
    <xf numFmtId="0" fontId="34" fillId="0" borderId="55" xfId="17" applyFont="1" applyBorder="1" applyAlignment="1">
      <alignment horizontal="center" vertical="top" wrapText="1"/>
    </xf>
    <xf numFmtId="0" fontId="33" fillId="0" borderId="37" xfId="17" applyFont="1" applyBorder="1"/>
    <xf numFmtId="0" fontId="33" fillId="0" borderId="38" xfId="17" applyFont="1" applyBorder="1"/>
    <xf numFmtId="0" fontId="33" fillId="0" borderId="1" xfId="17" applyFont="1" applyBorder="1"/>
    <xf numFmtId="0" fontId="34" fillId="8" borderId="1" xfId="17" applyFont="1" applyFill="1" applyBorder="1" applyAlignment="1">
      <alignment horizontal="left"/>
    </xf>
    <xf numFmtId="0" fontId="33" fillId="8" borderId="1" xfId="17" applyFont="1" applyFill="1" applyBorder="1"/>
    <xf numFmtId="0" fontId="33" fillId="8" borderId="38" xfId="17" applyFont="1" applyFill="1" applyBorder="1" applyAlignment="1">
      <alignment wrapText="1"/>
    </xf>
    <xf numFmtId="0" fontId="33" fillId="8" borderId="38" xfId="17" applyFont="1" applyFill="1" applyBorder="1"/>
    <xf numFmtId="178" fontId="33" fillId="8" borderId="44" xfId="17" applyNumberFormat="1" applyFont="1" applyFill="1" applyBorder="1"/>
    <xf numFmtId="178" fontId="33" fillId="8" borderId="38" xfId="17" applyNumberFormat="1" applyFont="1" applyFill="1" applyBorder="1"/>
    <xf numFmtId="0" fontId="33" fillId="8" borderId="45" xfId="17" applyFont="1" applyFill="1" applyBorder="1"/>
    <xf numFmtId="0" fontId="33" fillId="8" borderId="2" xfId="17" applyFont="1" applyFill="1" applyBorder="1"/>
    <xf numFmtId="0" fontId="33" fillId="8" borderId="37" xfId="17" applyFont="1" applyFill="1" applyBorder="1"/>
    <xf numFmtId="0" fontId="33" fillId="8" borderId="51" xfId="17" applyFont="1" applyFill="1" applyBorder="1"/>
    <xf numFmtId="177" fontId="33" fillId="8" borderId="45" xfId="17" applyNumberFormat="1" applyFont="1" applyFill="1" applyBorder="1" applyAlignment="1">
      <alignment horizontal="right" vertical="top"/>
    </xf>
    <xf numFmtId="0" fontId="33" fillId="8" borderId="33" xfId="17" applyFont="1" applyFill="1" applyBorder="1"/>
    <xf numFmtId="43" fontId="33" fillId="8" borderId="1" xfId="15" applyFont="1" applyFill="1" applyBorder="1"/>
    <xf numFmtId="0" fontId="33" fillId="0" borderId="1" xfId="17" applyFont="1" applyBorder="1" applyAlignment="1">
      <alignment vertical="center"/>
    </xf>
    <xf numFmtId="0" fontId="33" fillId="0" borderId="1" xfId="17" applyFont="1" applyBorder="1" applyAlignment="1">
      <alignment horizontal="left"/>
    </xf>
    <xf numFmtId="165" fontId="33" fillId="0" borderId="39" xfId="0" applyFont="1" applyFill="1" applyBorder="1">
      <alignment vertical="top"/>
    </xf>
    <xf numFmtId="3" fontId="33" fillId="0" borderId="28" xfId="17" applyNumberFormat="1" applyFont="1" applyBorder="1" applyAlignment="1">
      <alignment horizontal="center" vertical="top"/>
    </xf>
    <xf numFmtId="178" fontId="33" fillId="0" borderId="28" xfId="17" applyNumberFormat="1" applyFont="1" applyBorder="1" applyAlignment="1">
      <alignment horizontal="center" vertical="top"/>
    </xf>
    <xf numFmtId="2" fontId="33" fillId="0" borderId="29" xfId="17" applyNumberFormat="1" applyFont="1" applyBorder="1" applyAlignment="1">
      <alignment horizontal="right" vertical="top"/>
    </xf>
    <xf numFmtId="2" fontId="33" fillId="0" borderId="30" xfId="17" applyNumberFormat="1" applyFont="1" applyBorder="1" applyAlignment="1">
      <alignment horizontal="right" vertical="top"/>
    </xf>
    <xf numFmtId="2" fontId="33" fillId="0" borderId="28" xfId="17" applyNumberFormat="1" applyFont="1" applyBorder="1" applyAlignment="1">
      <alignment horizontal="right" vertical="top"/>
    </xf>
    <xf numFmtId="173" fontId="33" fillId="4" borderId="29" xfId="17" applyNumberFormat="1" applyFont="1" applyFill="1" applyBorder="1" applyAlignment="1">
      <alignment horizontal="center" vertical="top"/>
    </xf>
    <xf numFmtId="173" fontId="33" fillId="0" borderId="29" xfId="17" applyNumberFormat="1" applyFont="1" applyBorder="1" applyAlignment="1">
      <alignment horizontal="center" vertical="top"/>
    </xf>
    <xf numFmtId="166" fontId="33" fillId="0" borderId="29" xfId="5" applyFont="1" applyBorder="1">
      <alignment vertical="top"/>
    </xf>
    <xf numFmtId="172" fontId="33" fillId="0" borderId="29" xfId="18" applyNumberFormat="1" applyFont="1" applyBorder="1" applyAlignment="1">
      <alignment horizontal="right" vertical="top"/>
    </xf>
    <xf numFmtId="9" fontId="33" fillId="0" borderId="29" xfId="18" applyFont="1" applyBorder="1" applyAlignment="1">
      <alignment horizontal="right" vertical="top"/>
    </xf>
    <xf numFmtId="177" fontId="33" fillId="0" borderId="30" xfId="17" applyNumberFormat="1" applyFont="1" applyBorder="1" applyAlignment="1">
      <alignment horizontal="right" vertical="top"/>
    </xf>
    <xf numFmtId="43" fontId="33" fillId="0" borderId="33" xfId="15" applyFont="1" applyBorder="1"/>
    <xf numFmtId="43" fontId="33" fillId="0" borderId="1" xfId="15" applyFont="1" applyBorder="1"/>
    <xf numFmtId="3" fontId="33" fillId="4" borderId="1" xfId="17" applyNumberFormat="1" applyFont="1" applyFill="1" applyBorder="1" applyAlignment="1">
      <alignment horizontal="center" vertical="top" wrapText="1"/>
    </xf>
    <xf numFmtId="4" fontId="33" fillId="4" borderId="1" xfId="17" applyNumberFormat="1" applyFont="1" applyFill="1" applyBorder="1" applyAlignment="1">
      <alignment horizontal="center" vertical="top"/>
    </xf>
    <xf numFmtId="178" fontId="33" fillId="4" borderId="31" xfId="17" applyNumberFormat="1" applyFont="1" applyFill="1" applyBorder="1" applyAlignment="1">
      <alignment horizontal="center" vertical="top"/>
    </xf>
    <xf numFmtId="178" fontId="33" fillId="0" borderId="1" xfId="17" applyNumberFormat="1" applyFont="1" applyBorder="1" applyAlignment="1">
      <alignment horizontal="center" vertical="top"/>
    </xf>
    <xf numFmtId="4" fontId="33" fillId="0" borderId="1" xfId="17" applyNumberFormat="1" applyFont="1" applyBorder="1" applyAlignment="1">
      <alignment horizontal="right" vertical="top"/>
    </xf>
    <xf numFmtId="4" fontId="33" fillId="0" borderId="32" xfId="17" applyNumberFormat="1" applyFont="1" applyBorder="1" applyAlignment="1">
      <alignment horizontal="right" vertical="top"/>
    </xf>
    <xf numFmtId="4" fontId="33" fillId="0" borderId="31" xfId="17" applyNumberFormat="1" applyFont="1" applyBorder="1" applyAlignment="1">
      <alignment horizontal="right" vertical="top"/>
    </xf>
    <xf numFmtId="173" fontId="33" fillId="0" borderId="1" xfId="17" applyNumberFormat="1" applyFont="1" applyBorder="1" applyAlignment="1">
      <alignment horizontal="center" vertical="top"/>
    </xf>
    <xf numFmtId="172" fontId="33" fillId="0" borderId="1" xfId="18" applyNumberFormat="1" applyFont="1" applyBorder="1" applyAlignment="1">
      <alignment horizontal="right" vertical="top"/>
    </xf>
    <xf numFmtId="9" fontId="33" fillId="0" borderId="1" xfId="18" applyFont="1" applyBorder="1" applyAlignment="1">
      <alignment horizontal="right" vertical="top"/>
    </xf>
    <xf numFmtId="0" fontId="34" fillId="0" borderId="1" xfId="17" applyFont="1" applyBorder="1" applyAlignment="1">
      <alignment horizontal="left"/>
    </xf>
    <xf numFmtId="0" fontId="34" fillId="0" borderId="39" xfId="17" applyFont="1" applyBorder="1" applyAlignment="1">
      <alignment horizontal="left"/>
    </xf>
    <xf numFmtId="4" fontId="33" fillId="0" borderId="35" xfId="17" applyNumberFormat="1" applyFont="1" applyBorder="1" applyAlignment="1">
      <alignment horizontal="center" vertical="top" wrapText="1"/>
    </xf>
    <xf numFmtId="4" fontId="33" fillId="0" borderId="35" xfId="17" applyNumberFormat="1" applyFont="1" applyBorder="1" applyAlignment="1">
      <alignment horizontal="center" vertical="top"/>
    </xf>
    <xf numFmtId="178" fontId="33" fillId="0" borderId="34" xfId="17" applyNumberFormat="1" applyFont="1" applyBorder="1" applyAlignment="1">
      <alignment horizontal="center" vertical="top"/>
    </xf>
    <xf numFmtId="178" fontId="33" fillId="0" borderId="35" xfId="17" applyNumberFormat="1" applyFont="1" applyBorder="1" applyAlignment="1">
      <alignment horizontal="center" vertical="top"/>
    </xf>
    <xf numFmtId="4" fontId="33" fillId="0" borderId="35" xfId="17" applyNumberFormat="1" applyFont="1" applyBorder="1" applyAlignment="1">
      <alignment horizontal="right" vertical="top"/>
    </xf>
    <xf numFmtId="4" fontId="33" fillId="0" borderId="36" xfId="17" applyNumberFormat="1" applyFont="1" applyBorder="1" applyAlignment="1">
      <alignment horizontal="right" vertical="top"/>
    </xf>
    <xf numFmtId="4" fontId="33" fillId="0" borderId="34" xfId="17" applyNumberFormat="1" applyFont="1" applyBorder="1" applyAlignment="1">
      <alignment horizontal="right" vertical="top"/>
    </xf>
    <xf numFmtId="173" fontId="33" fillId="0" borderId="35" xfId="17" applyNumberFormat="1" applyFont="1" applyBorder="1" applyAlignment="1">
      <alignment horizontal="center" vertical="top"/>
    </xf>
    <xf numFmtId="172" fontId="33" fillId="0" borderId="35" xfId="18" applyNumberFormat="1" applyFont="1" applyBorder="1" applyAlignment="1">
      <alignment horizontal="right" vertical="top"/>
    </xf>
    <xf numFmtId="9" fontId="33" fillId="0" borderId="35" xfId="18" applyFont="1" applyBorder="1" applyAlignment="1">
      <alignment horizontal="right" vertical="top"/>
    </xf>
    <xf numFmtId="177" fontId="33" fillId="0" borderId="36" xfId="17" applyNumberFormat="1" applyFont="1" applyBorder="1" applyAlignment="1">
      <alignment horizontal="right" vertical="top"/>
    </xf>
    <xf numFmtId="1" fontId="33" fillId="0" borderId="1" xfId="17" applyNumberFormat="1" applyFont="1" applyBorder="1" applyAlignment="1">
      <alignment horizontal="center"/>
    </xf>
    <xf numFmtId="178" fontId="33" fillId="0" borderId="1" xfId="17" applyNumberFormat="1" applyFont="1" applyBorder="1" applyAlignment="1">
      <alignment horizontal="center"/>
    </xf>
    <xf numFmtId="1" fontId="33" fillId="0" borderId="29" xfId="17" applyNumberFormat="1" applyFont="1" applyBorder="1" applyAlignment="1">
      <alignment horizontal="center" vertical="top" wrapText="1"/>
    </xf>
    <xf numFmtId="4" fontId="33" fillId="0" borderId="35" xfId="17" applyNumberFormat="1" applyFont="1" applyBorder="1" applyAlignment="1">
      <alignment horizontal="right" vertical="top" wrapText="1"/>
    </xf>
    <xf numFmtId="178" fontId="33" fillId="0" borderId="34" xfId="17" applyNumberFormat="1" applyFont="1" applyBorder="1" applyAlignment="1">
      <alignment horizontal="right" vertical="top"/>
    </xf>
    <xf numFmtId="178" fontId="33" fillId="0" borderId="35" xfId="17" applyNumberFormat="1" applyFont="1" applyBorder="1" applyAlignment="1">
      <alignment horizontal="right" vertical="top"/>
    </xf>
    <xf numFmtId="3" fontId="33" fillId="0" borderId="1" xfId="17" applyNumberFormat="1" applyFont="1" applyBorder="1" applyAlignment="1">
      <alignment horizontal="right" vertical="top" wrapText="1"/>
    </xf>
    <xf numFmtId="0" fontId="33" fillId="0" borderId="1" xfId="17" applyFont="1" applyBorder="1" applyAlignment="1">
      <alignment horizontal="right" vertical="top"/>
    </xf>
    <xf numFmtId="178" fontId="33" fillId="0" borderId="31" xfId="17" applyNumberFormat="1" applyFont="1" applyBorder="1" applyAlignment="1">
      <alignment horizontal="right" vertical="top"/>
    </xf>
    <xf numFmtId="178" fontId="33" fillId="0" borderId="1" xfId="17" applyNumberFormat="1" applyFont="1" applyBorder="1" applyAlignment="1">
      <alignment horizontal="right" vertical="top"/>
    </xf>
    <xf numFmtId="2" fontId="33" fillId="0" borderId="1" xfId="17" applyNumberFormat="1" applyFont="1" applyBorder="1" applyAlignment="1">
      <alignment horizontal="right" vertical="top"/>
    </xf>
    <xf numFmtId="2" fontId="33" fillId="0" borderId="32" xfId="17" applyNumberFormat="1" applyFont="1" applyBorder="1" applyAlignment="1">
      <alignment horizontal="right" vertical="top"/>
    </xf>
    <xf numFmtId="2" fontId="33" fillId="0" borderId="6" xfId="17" applyNumberFormat="1" applyFont="1" applyBorder="1" applyAlignment="1">
      <alignment horizontal="right" vertical="top"/>
    </xf>
    <xf numFmtId="173" fontId="33" fillId="0" borderId="33" xfId="17" applyNumberFormat="1" applyFont="1" applyBorder="1" applyAlignment="1">
      <alignment horizontal="center" vertical="top"/>
    </xf>
    <xf numFmtId="174" fontId="33" fillId="0" borderId="1" xfId="17" applyNumberFormat="1" applyFont="1" applyBorder="1" applyAlignment="1">
      <alignment horizontal="center" vertical="top"/>
    </xf>
    <xf numFmtId="9" fontId="33" fillId="0" borderId="39" xfId="18" applyFont="1" applyBorder="1" applyAlignment="1">
      <alignment horizontal="right" vertical="top"/>
    </xf>
    <xf numFmtId="177" fontId="33" fillId="0" borderId="32" xfId="17" applyNumberFormat="1" applyFont="1" applyBorder="1" applyAlignment="1">
      <alignment horizontal="right" vertical="top"/>
    </xf>
    <xf numFmtId="0" fontId="33" fillId="0" borderId="0" xfId="17" applyFont="1" applyAlignment="1">
      <alignment wrapText="1"/>
    </xf>
    <xf numFmtId="178" fontId="33" fillId="0" borderId="0" xfId="17" applyNumberFormat="1" applyFont="1"/>
    <xf numFmtId="177" fontId="33" fillId="0" borderId="43" xfId="17" applyNumberFormat="1" applyFont="1" applyBorder="1"/>
    <xf numFmtId="43" fontId="33" fillId="0" borderId="7" xfId="17" applyNumberFormat="1" applyFont="1" applyBorder="1"/>
    <xf numFmtId="0" fontId="32" fillId="4" borderId="0" xfId="19" applyFont="1" applyFill="1" applyAlignment="1">
      <alignment wrapText="1"/>
    </xf>
    <xf numFmtId="0" fontId="22" fillId="4" borderId="1" xfId="17" applyFont="1" applyFill="1" applyBorder="1" applyAlignment="1">
      <alignment horizontal="left"/>
    </xf>
    <xf numFmtId="166" fontId="55" fillId="4" borderId="1" xfId="5" applyFont="1" applyFill="1" applyBorder="1">
      <alignment vertical="top"/>
    </xf>
    <xf numFmtId="175" fontId="55" fillId="4" borderId="1" xfId="20" applyNumberFormat="1" applyFont="1" applyFill="1" applyBorder="1" applyAlignment="1">
      <alignment vertical="center"/>
    </xf>
    <xf numFmtId="0" fontId="57" fillId="5" borderId="0" xfId="0" applyNumberFormat="1" applyFont="1" applyFill="1" applyBorder="1" applyAlignment="1" applyProtection="1">
      <alignment horizontal="center" vertical="center" wrapText="1"/>
    </xf>
    <xf numFmtId="165" fontId="54" fillId="0" borderId="0" xfId="0" applyFont="1" applyFill="1">
      <alignment vertical="top"/>
    </xf>
    <xf numFmtId="165" fontId="57" fillId="0" borderId="0" xfId="0" applyFont="1" applyFill="1" applyAlignment="1" applyProtection="1">
      <alignment vertical="center"/>
    </xf>
    <xf numFmtId="165" fontId="58" fillId="0" borderId="0" xfId="0" applyFont="1" applyFill="1">
      <alignment vertical="top"/>
    </xf>
    <xf numFmtId="0" fontId="31" fillId="0" borderId="0" xfId="6" applyFont="1" applyAlignment="1">
      <alignment vertical="center"/>
    </xf>
    <xf numFmtId="0" fontId="57" fillId="0" borderId="0" xfId="6" applyFont="1" applyAlignment="1">
      <alignment vertical="center"/>
    </xf>
    <xf numFmtId="1" fontId="56" fillId="0" borderId="0" xfId="0" applyNumberFormat="1" applyFont="1" applyFill="1">
      <alignment vertical="top"/>
    </xf>
    <xf numFmtId="0" fontId="59" fillId="0" borderId="0" xfId="9" applyFont="1" applyAlignment="1">
      <alignment horizontal="left" vertical="center"/>
    </xf>
    <xf numFmtId="0" fontId="56" fillId="4" borderId="1" xfId="9" applyFont="1" applyFill="1" applyBorder="1" applyAlignment="1">
      <alignment horizontal="left" vertical="center"/>
    </xf>
    <xf numFmtId="171" fontId="56" fillId="4" borderId="1" xfId="0" applyNumberFormat="1" applyFont="1" applyFill="1" applyBorder="1">
      <alignment vertical="top"/>
    </xf>
    <xf numFmtId="171" fontId="56" fillId="4" borderId="26" xfId="0" applyNumberFormat="1" applyFont="1" applyFill="1" applyBorder="1">
      <alignment vertical="top"/>
    </xf>
    <xf numFmtId="0" fontId="56" fillId="4" borderId="1" xfId="6" applyFont="1" applyFill="1" applyBorder="1" applyAlignment="1">
      <alignment horizontal="left" vertical="center"/>
    </xf>
    <xf numFmtId="0" fontId="56" fillId="4" borderId="1" xfId="6" applyFont="1" applyFill="1" applyBorder="1" applyAlignment="1">
      <alignment vertical="center"/>
    </xf>
    <xf numFmtId="171" fontId="56" fillId="4" borderId="38" xfId="0" applyNumberFormat="1" applyFont="1" applyFill="1" applyBorder="1">
      <alignment vertical="top"/>
    </xf>
    <xf numFmtId="171" fontId="56" fillId="0" borderId="0" xfId="0" applyNumberFormat="1" applyFont="1" applyFill="1">
      <alignment vertical="top"/>
    </xf>
    <xf numFmtId="165" fontId="56" fillId="0" borderId="0" xfId="0" applyFont="1" applyFill="1">
      <alignment vertical="top"/>
    </xf>
    <xf numFmtId="166" fontId="56" fillId="4" borderId="1" xfId="5" applyFont="1" applyFill="1" applyBorder="1">
      <alignment vertical="top"/>
    </xf>
    <xf numFmtId="178" fontId="56" fillId="4" borderId="1" xfId="0" applyNumberFormat="1" applyFont="1" applyFill="1" applyBorder="1">
      <alignment vertical="top"/>
    </xf>
    <xf numFmtId="165" fontId="54" fillId="0" borderId="0" xfId="0" applyFont="1" applyAlignment="1"/>
    <xf numFmtId="0" fontId="57" fillId="3" borderId="8" xfId="6" applyFont="1" applyFill="1" applyBorder="1" applyAlignment="1">
      <alignment vertical="center"/>
    </xf>
    <xf numFmtId="0" fontId="57" fillId="3" borderId="4" xfId="6" applyFont="1" applyFill="1" applyBorder="1" applyAlignment="1">
      <alignment vertical="center"/>
    </xf>
    <xf numFmtId="10" fontId="57" fillId="3" borderId="8" xfId="7" applyNumberFormat="1" applyFont="1" applyFill="1" applyBorder="1" applyAlignment="1">
      <alignment horizontal="center" vertical="center" wrapText="1"/>
    </xf>
    <xf numFmtId="0" fontId="57" fillId="3" borderId="9" xfId="6" applyFont="1" applyFill="1" applyBorder="1" applyAlignment="1">
      <alignment vertical="center"/>
    </xf>
    <xf numFmtId="0" fontId="57" fillId="3" borderId="9" xfId="6" applyFont="1" applyFill="1" applyBorder="1" applyAlignment="1">
      <alignment vertical="center" wrapText="1"/>
    </xf>
    <xf numFmtId="0" fontId="56" fillId="4" borderId="10" xfId="6" applyFont="1" applyFill="1" applyBorder="1" applyAlignment="1">
      <alignment vertical="center"/>
    </xf>
    <xf numFmtId="0" fontId="56" fillId="4" borderId="11" xfId="6" applyFont="1" applyFill="1" applyBorder="1" applyAlignment="1">
      <alignment vertical="center"/>
    </xf>
    <xf numFmtId="164" fontId="56" fillId="4" borderId="10" xfId="8" applyNumberFormat="1" applyFont="1" applyFill="1" applyBorder="1" applyAlignment="1">
      <alignment horizontal="center" vertical="center"/>
    </xf>
    <xf numFmtId="0" fontId="56" fillId="4" borderId="26" xfId="9" applyFont="1" applyFill="1" applyBorder="1" applyAlignment="1">
      <alignment horizontal="left" vertical="center"/>
    </xf>
    <xf numFmtId="0" fontId="56" fillId="4" borderId="14" xfId="6" applyFont="1" applyFill="1" applyBorder="1" applyAlignment="1">
      <alignment vertical="center"/>
    </xf>
    <xf numFmtId="0" fontId="56" fillId="4" borderId="6" xfId="6" applyFont="1" applyFill="1" applyBorder="1" applyAlignment="1">
      <alignment vertical="center"/>
    </xf>
    <xf numFmtId="164" fontId="56" fillId="4" borderId="14" xfId="8" applyNumberFormat="1" applyFont="1" applyFill="1" applyBorder="1" applyAlignment="1">
      <alignment horizontal="center" vertical="center"/>
    </xf>
    <xf numFmtId="0" fontId="56" fillId="4" borderId="17" xfId="6" applyFont="1" applyFill="1" applyBorder="1" applyAlignment="1">
      <alignment vertical="center"/>
    </xf>
    <xf numFmtId="0" fontId="56" fillId="4" borderId="2" xfId="6" applyFont="1" applyFill="1" applyBorder="1" applyAlignment="1">
      <alignment vertical="center"/>
    </xf>
    <xf numFmtId="164" fontId="56" fillId="4" borderId="17" xfId="8" applyNumberFormat="1" applyFont="1" applyFill="1" applyBorder="1" applyAlignment="1">
      <alignment horizontal="center" vertical="center"/>
    </xf>
    <xf numFmtId="0" fontId="56" fillId="4" borderId="18" xfId="6" applyFont="1" applyFill="1" applyBorder="1" applyAlignment="1">
      <alignment vertical="center"/>
    </xf>
    <xf numFmtId="0" fontId="56" fillId="4" borderId="19" xfId="6" applyFont="1" applyFill="1" applyBorder="1" applyAlignment="1">
      <alignment vertical="center"/>
    </xf>
    <xf numFmtId="164" fontId="56" fillId="4" borderId="18" xfId="8" applyNumberFormat="1" applyFont="1" applyFill="1" applyBorder="1" applyAlignment="1">
      <alignment horizontal="center" vertical="center"/>
    </xf>
    <xf numFmtId="0" fontId="56" fillId="4" borderId="6" xfId="6" applyFont="1" applyFill="1" applyBorder="1" applyAlignment="1">
      <alignment vertical="center" wrapText="1"/>
    </xf>
    <xf numFmtId="164" fontId="56" fillId="4" borderId="14" xfId="8" applyNumberFormat="1" applyFont="1" applyFill="1" applyBorder="1" applyAlignment="1">
      <alignment horizontal="center" vertical="center" wrapText="1"/>
    </xf>
    <xf numFmtId="0" fontId="56" fillId="4" borderId="14" xfId="6" applyFont="1" applyFill="1" applyBorder="1" applyAlignment="1">
      <alignment vertical="center" wrapText="1"/>
    </xf>
    <xf numFmtId="0" fontId="56" fillId="4" borderId="13" xfId="6" applyFont="1" applyFill="1" applyBorder="1" applyAlignment="1">
      <alignment vertical="center"/>
    </xf>
    <xf numFmtId="0" fontId="56" fillId="4" borderId="3" xfId="6" applyFont="1" applyFill="1" applyBorder="1" applyAlignment="1">
      <alignment vertical="center" wrapText="1"/>
    </xf>
    <xf numFmtId="164" fontId="56" fillId="4" borderId="13" xfId="8" applyNumberFormat="1" applyFont="1" applyFill="1" applyBorder="1" applyAlignment="1">
      <alignment horizontal="center" vertical="center" wrapText="1"/>
    </xf>
    <xf numFmtId="0" fontId="56" fillId="4" borderId="9" xfId="6" applyFont="1" applyFill="1" applyBorder="1" applyAlignment="1">
      <alignment vertical="center"/>
    </xf>
    <xf numFmtId="0" fontId="56" fillId="4" borderId="7" xfId="6" applyFont="1" applyFill="1" applyBorder="1" applyAlignment="1">
      <alignment vertical="center"/>
    </xf>
    <xf numFmtId="164" fontId="56" fillId="4" borderId="9" xfId="8" applyNumberFormat="1" applyFont="1" applyFill="1" applyBorder="1" applyAlignment="1">
      <alignment horizontal="center" vertical="center"/>
    </xf>
    <xf numFmtId="0" fontId="56" fillId="4" borderId="8" xfId="6" applyFont="1" applyFill="1" applyBorder="1" applyAlignment="1">
      <alignment vertical="center"/>
    </xf>
    <xf numFmtId="164" fontId="56" fillId="4" borderId="8" xfId="8" applyNumberFormat="1" applyFont="1" applyFill="1" applyBorder="1" applyAlignment="1">
      <alignment horizontal="center" vertical="center"/>
    </xf>
    <xf numFmtId="0" fontId="56" fillId="4" borderId="20" xfId="6" applyFont="1" applyFill="1" applyBorder="1" applyAlignment="1">
      <alignment vertical="center"/>
    </xf>
    <xf numFmtId="0" fontId="56" fillId="4" borderId="0" xfId="6" applyFont="1" applyFill="1" applyAlignment="1">
      <alignment vertical="center"/>
    </xf>
    <xf numFmtId="164" fontId="56" fillId="4" borderId="20" xfId="8" applyNumberFormat="1" applyFont="1" applyFill="1" applyBorder="1" applyAlignment="1">
      <alignment horizontal="center" vertical="center"/>
    </xf>
    <xf numFmtId="0" fontId="56" fillId="4" borderId="12" xfId="6" applyFont="1" applyFill="1" applyBorder="1" applyAlignment="1">
      <alignment vertical="center"/>
    </xf>
    <xf numFmtId="0" fontId="56" fillId="4" borderId="16" xfId="6" applyFont="1" applyFill="1" applyBorder="1" applyAlignment="1">
      <alignment vertical="center"/>
    </xf>
    <xf numFmtId="0" fontId="56" fillId="4" borderId="22" xfId="6" applyFont="1" applyFill="1" applyBorder="1" applyAlignment="1">
      <alignment vertical="center"/>
    </xf>
    <xf numFmtId="0" fontId="56" fillId="4" borderId="21" xfId="6" applyFont="1" applyFill="1" applyBorder="1" applyAlignment="1">
      <alignment vertical="center" wrapText="1"/>
    </xf>
    <xf numFmtId="0" fontId="56" fillId="4" borderId="5" xfId="6" applyFont="1" applyFill="1" applyBorder="1" applyAlignment="1">
      <alignment vertical="center" wrapText="1"/>
    </xf>
    <xf numFmtId="164" fontId="56" fillId="4" borderId="21" xfId="8" applyNumberFormat="1" applyFont="1" applyFill="1" applyBorder="1" applyAlignment="1">
      <alignment horizontal="center" vertical="center"/>
    </xf>
    <xf numFmtId="0" fontId="56" fillId="4" borderId="15" xfId="6" applyFont="1" applyFill="1" applyBorder="1" applyAlignment="1">
      <alignment vertical="center"/>
    </xf>
    <xf numFmtId="164" fontId="56" fillId="4" borderId="13" xfId="8" applyNumberFormat="1" applyFont="1" applyFill="1" applyBorder="1" applyAlignment="1">
      <alignment horizontal="center" vertical="center"/>
    </xf>
    <xf numFmtId="0" fontId="56" fillId="4" borderId="23" xfId="6" applyFont="1" applyFill="1" applyBorder="1" applyAlignment="1">
      <alignment vertical="center"/>
    </xf>
    <xf numFmtId="0" fontId="56" fillId="4" borderId="3" xfId="6" applyFont="1" applyFill="1" applyBorder="1" applyAlignment="1">
      <alignment vertical="center"/>
    </xf>
    <xf numFmtId="0" fontId="56" fillId="4" borderId="4" xfId="6" applyFont="1" applyFill="1" applyBorder="1" applyAlignment="1">
      <alignment vertical="center"/>
    </xf>
    <xf numFmtId="0" fontId="56" fillId="4" borderId="11" xfId="6" applyFont="1" applyFill="1" applyBorder="1" applyAlignment="1">
      <alignment vertical="center" wrapText="1"/>
    </xf>
    <xf numFmtId="0" fontId="58" fillId="4" borderId="13" xfId="6" applyFont="1" applyFill="1" applyBorder="1" applyAlignment="1">
      <alignment vertical="center"/>
    </xf>
    <xf numFmtId="0" fontId="56" fillId="4" borderId="2" xfId="6" applyFont="1" applyFill="1" applyBorder="1" applyAlignment="1">
      <alignment vertical="center" wrapText="1"/>
    </xf>
    <xf numFmtId="0" fontId="56" fillId="4" borderId="8" xfId="6" applyFont="1" applyFill="1" applyBorder="1" applyAlignment="1">
      <alignment vertical="center" wrapText="1"/>
    </xf>
    <xf numFmtId="1" fontId="58" fillId="0" borderId="58" xfId="0" applyNumberFormat="1" applyFont="1" applyBorder="1">
      <alignment vertical="top"/>
    </xf>
    <xf numFmtId="0" fontId="56" fillId="4" borderId="5" xfId="6" applyFont="1" applyFill="1" applyBorder="1" applyAlignment="1">
      <alignment vertical="center"/>
    </xf>
    <xf numFmtId="0" fontId="56" fillId="4" borderId="10" xfId="6" applyFont="1" applyFill="1" applyBorder="1" applyAlignment="1">
      <alignment horizontal="left" vertical="center"/>
    </xf>
    <xf numFmtId="0" fontId="56" fillId="4" borderId="24" xfId="6" applyFont="1" applyFill="1" applyBorder="1" applyAlignment="1">
      <alignment horizontal="left" vertical="center"/>
    </xf>
    <xf numFmtId="0" fontId="56" fillId="4" borderId="18" xfId="6" applyFont="1" applyFill="1" applyBorder="1" applyAlignment="1">
      <alignment horizontal="left" vertical="center"/>
    </xf>
    <xf numFmtId="0" fontId="56" fillId="4" borderId="25" xfId="6" applyFont="1" applyFill="1" applyBorder="1" applyAlignment="1">
      <alignment horizontal="left" vertical="center"/>
    </xf>
    <xf numFmtId="165" fontId="54" fillId="2" borderId="0" xfId="0" applyFont="1" applyFill="1">
      <alignment vertical="top"/>
    </xf>
    <xf numFmtId="165" fontId="60" fillId="0" borderId="0" xfId="0" applyFont="1" applyFill="1">
      <alignment vertical="top"/>
    </xf>
    <xf numFmtId="165" fontId="30" fillId="0" borderId="0" xfId="0" applyFont="1" applyFill="1" applyAlignment="1">
      <alignment horizontal="center" vertical="top" wrapText="1"/>
    </xf>
    <xf numFmtId="165" fontId="30" fillId="0" borderId="0" xfId="0" applyFont="1" applyFill="1">
      <alignment vertical="top"/>
    </xf>
    <xf numFmtId="1" fontId="54" fillId="0" borderId="0" xfId="0" applyNumberFormat="1" applyFont="1">
      <alignment vertical="top"/>
    </xf>
    <xf numFmtId="165" fontId="37" fillId="0" borderId="62" xfId="0" applyFont="1" applyBorder="1" applyAlignment="1" applyProtection="1">
      <alignment horizontal="left" vertical="top" wrapText="1"/>
    </xf>
    <xf numFmtId="165" fontId="0" fillId="0" borderId="0" xfId="0" applyAlignment="1">
      <alignment horizontal="left" vertical="top" wrapText="1"/>
    </xf>
    <xf numFmtId="165" fontId="0" fillId="0" borderId="63" xfId="0" applyBorder="1" applyAlignment="1">
      <alignment horizontal="left" vertical="top" wrapText="1"/>
    </xf>
    <xf numFmtId="165" fontId="40" fillId="0" borderId="0" xfId="0" applyFont="1" applyBorder="1" applyAlignment="1" applyProtection="1">
      <alignment horizontal="left" vertical="top" wrapText="1"/>
    </xf>
    <xf numFmtId="165" fontId="0" fillId="0" borderId="0" xfId="0" applyBorder="1" applyAlignment="1">
      <alignment horizontal="left" vertical="top" wrapText="1"/>
    </xf>
    <xf numFmtId="165" fontId="40" fillId="0" borderId="64" xfId="0" applyFont="1" applyBorder="1" applyAlignment="1" applyProtection="1">
      <alignment vertical="top" wrapText="1"/>
    </xf>
    <xf numFmtId="165" fontId="0" fillId="0" borderId="5" xfId="0" applyBorder="1" applyAlignment="1">
      <alignment vertical="top" wrapText="1"/>
    </xf>
    <xf numFmtId="165" fontId="0" fillId="0" borderId="65" xfId="0" applyBorder="1" applyAlignment="1">
      <alignment vertical="top" wrapText="1"/>
    </xf>
    <xf numFmtId="0" fontId="35" fillId="16" borderId="60" xfId="19" applyFont="1" applyFill="1" applyBorder="1" applyAlignment="1" applyProtection="1">
      <alignment horizontal="left" vertical="center" wrapText="1"/>
    </xf>
    <xf numFmtId="165" fontId="53" fillId="0" borderId="4" xfId="0" applyFont="1" applyBorder="1" applyAlignment="1">
      <alignment horizontal="left" vertical="center" wrapText="1"/>
    </xf>
    <xf numFmtId="0" fontId="35" fillId="16" borderId="62" xfId="19" applyFont="1" applyFill="1" applyBorder="1" applyAlignment="1" applyProtection="1">
      <alignment horizontal="left" wrapText="1"/>
    </xf>
    <xf numFmtId="0" fontId="35" fillId="16" borderId="64" xfId="19" applyFont="1" applyFill="1" applyBorder="1" applyAlignment="1" applyProtection="1">
      <alignment horizontal="left" wrapText="1"/>
    </xf>
    <xf numFmtId="165" fontId="0" fillId="0" borderId="5" xfId="0" applyBorder="1" applyAlignment="1">
      <alignment horizontal="left" vertical="top" wrapText="1"/>
    </xf>
    <xf numFmtId="165" fontId="40" fillId="0" borderId="63" xfId="0" applyFont="1" applyBorder="1" applyAlignment="1" applyProtection="1">
      <alignment horizontal="left" vertical="top" wrapText="1"/>
    </xf>
    <xf numFmtId="165" fontId="0" fillId="0" borderId="0" xfId="0" applyBorder="1" applyAlignment="1" applyProtection="1">
      <alignment horizontal="left" vertical="top" wrapText="1"/>
    </xf>
    <xf numFmtId="165" fontId="39" fillId="0" borderId="60" xfId="0" applyFont="1" applyBorder="1" applyAlignment="1" applyProtection="1">
      <alignment horizontal="center" vertical="top" wrapText="1"/>
    </xf>
    <xf numFmtId="165" fontId="0" fillId="0" borderId="4" xfId="0" applyBorder="1" applyAlignment="1">
      <alignment horizontal="center" vertical="top" wrapText="1"/>
    </xf>
    <xf numFmtId="165" fontId="0" fillId="0" borderId="61" xfId="0" applyBorder="1" applyAlignment="1">
      <alignment horizontal="center" vertical="top" wrapText="1"/>
    </xf>
    <xf numFmtId="165" fontId="37" fillId="0" borderId="0" xfId="0" applyFont="1" applyBorder="1" applyAlignment="1" applyProtection="1">
      <alignment horizontal="left" vertical="top" wrapText="1"/>
    </xf>
    <xf numFmtId="0" fontId="41" fillId="16" borderId="62" xfId="19" applyFont="1" applyFill="1" applyBorder="1" applyAlignment="1" applyProtection="1">
      <alignment horizontal="center" vertical="center" wrapText="1"/>
    </xf>
    <xf numFmtId="0" fontId="41" fillId="16" borderId="63" xfId="19" applyFont="1" applyFill="1" applyBorder="1" applyAlignment="1" applyProtection="1">
      <alignment horizontal="center" vertical="center" wrapText="1"/>
    </xf>
    <xf numFmtId="165" fontId="7" fillId="0" borderId="64" xfId="0" applyFont="1" applyBorder="1" applyAlignment="1" applyProtection="1">
      <alignment horizontal="center" vertical="center" wrapText="1"/>
    </xf>
    <xf numFmtId="165" fontId="7" fillId="0" borderId="65" xfId="0" applyFont="1" applyBorder="1" applyAlignment="1" applyProtection="1">
      <alignment horizontal="center" vertical="center" wrapText="1"/>
    </xf>
    <xf numFmtId="175" fontId="42" fillId="0" borderId="63" xfId="19" applyNumberFormat="1" applyFont="1" applyBorder="1" applyAlignment="1" applyProtection="1">
      <alignment horizontal="center" vertical="center" wrapText="1"/>
    </xf>
    <xf numFmtId="175" fontId="42" fillId="0" borderId="65" xfId="19" applyNumberFormat="1" applyFont="1" applyBorder="1" applyAlignment="1" applyProtection="1">
      <alignment horizontal="center" vertical="center" wrapText="1"/>
    </xf>
    <xf numFmtId="0" fontId="41" fillId="16" borderId="5" xfId="19" applyFont="1" applyFill="1" applyBorder="1" applyAlignment="1" applyProtection="1">
      <alignment horizontal="center" vertical="center" wrapText="1"/>
    </xf>
    <xf numFmtId="0" fontId="41" fillId="16" borderId="7" xfId="19" applyFont="1" applyFill="1" applyBorder="1" applyAlignment="1" applyProtection="1">
      <alignment horizontal="center" vertical="center" wrapText="1"/>
    </xf>
    <xf numFmtId="0" fontId="41" fillId="16" borderId="69" xfId="19" applyFont="1" applyFill="1" applyBorder="1" applyAlignment="1" applyProtection="1">
      <alignment horizontal="center" vertical="center" wrapText="1"/>
    </xf>
    <xf numFmtId="0" fontId="41" fillId="16" borderId="46" xfId="19" applyFont="1" applyFill="1" applyBorder="1" applyAlignment="1" applyProtection="1">
      <alignment horizontal="center" vertical="center" wrapText="1"/>
    </xf>
    <xf numFmtId="0" fontId="41" fillId="16" borderId="70" xfId="19" applyFont="1" applyFill="1" applyBorder="1" applyAlignment="1" applyProtection="1">
      <alignment horizontal="center" vertical="center" wrapText="1"/>
    </xf>
    <xf numFmtId="0" fontId="31" fillId="16" borderId="62" xfId="19" applyFont="1" applyFill="1" applyBorder="1" applyAlignment="1" applyProtection="1">
      <alignment horizontal="left"/>
    </xf>
    <xf numFmtId="0" fontId="31" fillId="16" borderId="0" xfId="19" applyFont="1" applyFill="1" applyBorder="1" applyAlignment="1" applyProtection="1">
      <alignment horizontal="left"/>
    </xf>
    <xf numFmtId="0" fontId="31" fillId="16" borderId="63" xfId="19" applyFont="1" applyFill="1" applyBorder="1" applyAlignment="1" applyProtection="1">
      <alignment horizontal="left"/>
    </xf>
    <xf numFmtId="0" fontId="46" fillId="0" borderId="28" xfId="19" applyFont="1" applyBorder="1" applyAlignment="1" applyProtection="1">
      <alignment horizontal="right" vertical="center"/>
    </xf>
    <xf numFmtId="165" fontId="7" fillId="0" borderId="30" xfId="0" applyFont="1" applyBorder="1" applyAlignment="1" applyProtection="1">
      <alignment horizontal="right" vertical="center"/>
    </xf>
    <xf numFmtId="0" fontId="46" fillId="0" borderId="31" xfId="19" applyFont="1" applyBorder="1" applyAlignment="1" applyProtection="1">
      <alignment horizontal="right" vertical="center"/>
    </xf>
    <xf numFmtId="165" fontId="7" fillId="0" borderId="32" xfId="0" applyFont="1" applyBorder="1" applyAlignment="1" applyProtection="1">
      <alignment horizontal="right" vertical="center"/>
    </xf>
    <xf numFmtId="0" fontId="46" fillId="0" borderId="34" xfId="19" applyFont="1" applyBorder="1" applyAlignment="1" applyProtection="1">
      <alignment horizontal="right" vertical="center"/>
    </xf>
    <xf numFmtId="165" fontId="7" fillId="0" borderId="36" xfId="0" applyFont="1" applyBorder="1" applyAlignment="1" applyProtection="1">
      <alignment horizontal="right" vertical="center"/>
    </xf>
    <xf numFmtId="0" fontId="31" fillId="16" borderId="0" xfId="19" applyFont="1" applyFill="1" applyAlignment="1">
      <alignment horizontal="left"/>
    </xf>
    <xf numFmtId="0" fontId="22" fillId="16" borderId="38" xfId="19" applyFont="1" applyFill="1" applyBorder="1" applyAlignment="1">
      <alignment horizontal="center" vertical="center" wrapText="1"/>
    </xf>
    <xf numFmtId="0" fontId="22" fillId="16" borderId="26" xfId="19" applyFont="1" applyFill="1" applyBorder="1" applyAlignment="1">
      <alignment horizontal="center" vertical="center" wrapText="1"/>
    </xf>
    <xf numFmtId="0" fontId="22" fillId="16" borderId="6" xfId="19" applyFont="1" applyFill="1" applyBorder="1" applyAlignment="1">
      <alignment horizontal="center" vertical="center" wrapText="1"/>
    </xf>
    <xf numFmtId="0" fontId="22" fillId="16" borderId="33" xfId="19" applyFont="1" applyFill="1" applyBorder="1" applyAlignment="1">
      <alignment horizontal="center" vertical="center" wrapText="1"/>
    </xf>
    <xf numFmtId="0" fontId="22" fillId="14" borderId="51" xfId="19" applyFont="1" applyFill="1" applyBorder="1" applyAlignment="1">
      <alignment horizontal="center" vertical="center" wrapText="1"/>
    </xf>
    <xf numFmtId="0" fontId="22" fillId="14" borderId="2" xfId="19" applyFont="1" applyFill="1" applyBorder="1" applyAlignment="1">
      <alignment horizontal="center" vertical="center" wrapText="1"/>
    </xf>
    <xf numFmtId="0" fontId="22" fillId="14" borderId="37" xfId="19" applyFont="1" applyFill="1" applyBorder="1" applyAlignment="1">
      <alignment horizontal="center" vertical="center" wrapText="1"/>
    </xf>
    <xf numFmtId="0" fontId="22" fillId="14" borderId="52" xfId="19" applyFont="1" applyFill="1" applyBorder="1" applyAlignment="1">
      <alignment horizontal="center" vertical="center" wrapText="1"/>
    </xf>
    <xf numFmtId="0" fontId="22" fillId="14" borderId="3" xfId="19" applyFont="1" applyFill="1" applyBorder="1" applyAlignment="1">
      <alignment horizontal="center" vertical="center" wrapText="1"/>
    </xf>
    <xf numFmtId="0" fontId="22" fillId="14" borderId="42" xfId="19" applyFont="1" applyFill="1" applyBorder="1" applyAlignment="1">
      <alignment horizontal="center" vertical="center" wrapText="1"/>
    </xf>
    <xf numFmtId="178" fontId="22" fillId="15" borderId="57" xfId="19" applyNumberFormat="1" applyFont="1" applyFill="1" applyBorder="1" applyAlignment="1">
      <alignment horizontal="center" vertical="center" wrapText="1"/>
    </xf>
    <xf numFmtId="178" fontId="22" fillId="15" borderId="0" xfId="19" applyNumberFormat="1" applyFont="1" applyFill="1" applyAlignment="1">
      <alignment horizontal="center" vertical="center" wrapText="1"/>
    </xf>
    <xf numFmtId="178" fontId="22" fillId="15" borderId="59" xfId="19" applyNumberFormat="1" applyFont="1" applyFill="1" applyBorder="1" applyAlignment="1">
      <alignment horizontal="center" vertical="center" wrapText="1"/>
    </xf>
    <xf numFmtId="178" fontId="22" fillId="15" borderId="52" xfId="19" applyNumberFormat="1" applyFont="1" applyFill="1" applyBorder="1" applyAlignment="1">
      <alignment horizontal="center" vertical="center" wrapText="1"/>
    </xf>
    <xf numFmtId="178" fontId="22" fillId="15" borderId="3" xfId="19" applyNumberFormat="1" applyFont="1" applyFill="1" applyBorder="1" applyAlignment="1">
      <alignment horizontal="center" vertical="center" wrapText="1"/>
    </xf>
    <xf numFmtId="178" fontId="22" fillId="15" borderId="42" xfId="19" applyNumberFormat="1" applyFont="1" applyFill="1" applyBorder="1" applyAlignment="1">
      <alignment horizontal="center" vertical="center" wrapText="1"/>
    </xf>
    <xf numFmtId="0" fontId="22" fillId="16" borderId="51" xfId="19" applyFont="1" applyFill="1" applyBorder="1" applyAlignment="1">
      <alignment horizontal="center" vertical="center" wrapText="1"/>
    </xf>
    <xf numFmtId="0" fontId="22" fillId="16" borderId="2" xfId="19" applyFont="1" applyFill="1" applyBorder="1" applyAlignment="1">
      <alignment horizontal="center" vertical="center" wrapText="1"/>
    </xf>
    <xf numFmtId="0" fontId="22" fillId="16" borderId="37" xfId="19" applyFont="1" applyFill="1" applyBorder="1" applyAlignment="1">
      <alignment horizontal="center" vertical="center" wrapText="1"/>
    </xf>
    <xf numFmtId="0" fontId="22" fillId="16" borderId="52" xfId="19" applyFont="1" applyFill="1" applyBorder="1" applyAlignment="1">
      <alignment horizontal="center" vertical="center" wrapText="1"/>
    </xf>
    <xf numFmtId="0" fontId="22" fillId="16" borderId="3" xfId="19" applyFont="1" applyFill="1" applyBorder="1" applyAlignment="1">
      <alignment horizontal="center" vertical="center" wrapText="1"/>
    </xf>
    <xf numFmtId="0" fontId="22" fillId="16" borderId="42" xfId="19" applyFont="1" applyFill="1" applyBorder="1" applyAlignment="1">
      <alignment horizontal="center" vertical="center" wrapText="1"/>
    </xf>
    <xf numFmtId="0" fontId="22" fillId="16" borderId="1" xfId="19" applyFont="1" applyFill="1" applyBorder="1" applyAlignment="1">
      <alignment horizontal="center" vertical="center" wrapText="1"/>
    </xf>
    <xf numFmtId="0" fontId="22" fillId="16" borderId="38" xfId="19" applyFont="1" applyFill="1" applyBorder="1" applyAlignment="1">
      <alignment horizontal="center" vertical="center"/>
    </xf>
    <xf numFmtId="0" fontId="22" fillId="16" borderId="26" xfId="19" applyFont="1" applyFill="1" applyBorder="1" applyAlignment="1">
      <alignment horizontal="center" vertical="center"/>
    </xf>
    <xf numFmtId="0" fontId="22" fillId="16" borderId="39" xfId="19" applyFont="1" applyFill="1" applyBorder="1" applyAlignment="1">
      <alignment horizontal="center" vertical="center" wrapText="1"/>
    </xf>
    <xf numFmtId="0" fontId="22" fillId="16" borderId="39" xfId="19" applyFont="1" applyFill="1" applyBorder="1" applyAlignment="1">
      <alignment horizontal="center" vertical="center"/>
    </xf>
    <xf numFmtId="0" fontId="22" fillId="16" borderId="6" xfId="19" applyFont="1" applyFill="1" applyBorder="1" applyAlignment="1">
      <alignment horizontal="center" vertical="center"/>
    </xf>
    <xf numFmtId="0" fontId="22" fillId="16" borderId="33" xfId="19" applyFont="1" applyFill="1" applyBorder="1" applyAlignment="1">
      <alignment horizontal="center" vertical="center"/>
    </xf>
    <xf numFmtId="2" fontId="22" fillId="16" borderId="38" xfId="19" applyNumberFormat="1" applyFont="1" applyFill="1" applyBorder="1" applyAlignment="1">
      <alignment horizontal="center" vertical="center" wrapText="1"/>
    </xf>
    <xf numFmtId="2" fontId="22" fillId="16" borderId="26" xfId="19" applyNumberFormat="1" applyFont="1" applyFill="1" applyBorder="1" applyAlignment="1">
      <alignment horizontal="center" vertical="center" wrapText="1"/>
    </xf>
    <xf numFmtId="178" fontId="34" fillId="16" borderId="38" xfId="17" applyNumberFormat="1" applyFont="1" applyFill="1" applyBorder="1" applyAlignment="1">
      <alignment horizontal="center" vertical="center"/>
    </xf>
    <xf numFmtId="178" fontId="34" fillId="16" borderId="50" xfId="17" applyNumberFormat="1" applyFont="1" applyFill="1" applyBorder="1" applyAlignment="1">
      <alignment horizontal="center" vertical="center"/>
    </xf>
    <xf numFmtId="178" fontId="34" fillId="16" borderId="44" xfId="17" applyNumberFormat="1" applyFont="1" applyFill="1" applyBorder="1" applyAlignment="1">
      <alignment horizontal="center" vertical="center"/>
    </xf>
    <xf numFmtId="178" fontId="34" fillId="16" borderId="48" xfId="17" applyNumberFormat="1" applyFont="1" applyFill="1" applyBorder="1" applyAlignment="1">
      <alignment horizontal="center" vertical="center"/>
    </xf>
    <xf numFmtId="0" fontId="34" fillId="16" borderId="45" xfId="17" applyFont="1" applyFill="1" applyBorder="1" applyAlignment="1">
      <alignment horizontal="center" vertical="center"/>
    </xf>
    <xf numFmtId="0" fontId="34" fillId="16" borderId="49" xfId="17" applyFont="1" applyFill="1" applyBorder="1" applyAlignment="1">
      <alignment horizontal="center" vertical="center"/>
    </xf>
    <xf numFmtId="0" fontId="34" fillId="16" borderId="38" xfId="17" applyFont="1" applyFill="1" applyBorder="1" applyAlignment="1">
      <alignment horizontal="center" vertical="center" wrapText="1"/>
    </xf>
    <xf numFmtId="0" fontId="34" fillId="16" borderId="50" xfId="17" applyFont="1" applyFill="1" applyBorder="1" applyAlignment="1">
      <alignment horizontal="center" vertical="center" wrapText="1"/>
    </xf>
    <xf numFmtId="0" fontId="20" fillId="0" borderId="1" xfId="17" applyFont="1" applyBorder="1" applyAlignment="1">
      <alignment horizontal="center" vertical="center"/>
    </xf>
    <xf numFmtId="0" fontId="34" fillId="16" borderId="12" xfId="17" applyFont="1" applyFill="1" applyBorder="1" applyAlignment="1">
      <alignment horizontal="center" vertical="center"/>
    </xf>
    <xf numFmtId="0" fontId="34" fillId="16" borderId="11" xfId="17" applyFont="1" applyFill="1" applyBorder="1" applyAlignment="1">
      <alignment horizontal="center" vertical="center"/>
    </xf>
    <xf numFmtId="0" fontId="34" fillId="16" borderId="46" xfId="17" applyFont="1" applyFill="1" applyBorder="1" applyAlignment="1">
      <alignment horizontal="center" vertical="center"/>
    </xf>
    <xf numFmtId="0" fontId="34" fillId="16" borderId="44" xfId="17" applyFont="1" applyFill="1" applyBorder="1" applyAlignment="1">
      <alignment horizontal="center" vertical="top" wrapText="1"/>
    </xf>
    <xf numFmtId="0" fontId="34" fillId="16" borderId="48" xfId="17" applyFont="1" applyFill="1" applyBorder="1" applyAlignment="1">
      <alignment horizontal="center" vertical="top" wrapText="1"/>
    </xf>
    <xf numFmtId="0" fontId="34" fillId="16" borderId="38" xfId="17" applyFont="1" applyFill="1" applyBorder="1" applyAlignment="1">
      <alignment horizontal="center" vertical="top" wrapText="1"/>
    </xf>
    <xf numFmtId="0" fontId="34" fillId="16" borderId="50" xfId="17" applyFont="1" applyFill="1" applyBorder="1" applyAlignment="1">
      <alignment horizontal="center" vertical="top" wrapText="1"/>
    </xf>
    <xf numFmtId="177" fontId="34" fillId="16" borderId="45" xfId="17" applyNumberFormat="1" applyFont="1" applyFill="1" applyBorder="1" applyAlignment="1">
      <alignment horizontal="center" vertical="top" wrapText="1"/>
    </xf>
    <xf numFmtId="177" fontId="34" fillId="16" borderId="49" xfId="17" applyNumberFormat="1" applyFont="1" applyFill="1" applyBorder="1" applyAlignment="1">
      <alignment horizontal="center" vertical="top" wrapText="1"/>
    </xf>
    <xf numFmtId="165" fontId="35" fillId="16" borderId="43" xfId="0" applyFont="1" applyFill="1" applyBorder="1" applyAlignment="1">
      <alignment horizontal="left" vertical="center" wrapText="1"/>
    </xf>
    <xf numFmtId="165" fontId="35" fillId="16" borderId="69" xfId="0" applyFont="1" applyFill="1" applyBorder="1" applyAlignment="1">
      <alignment horizontal="left" vertical="center" wrapText="1"/>
    </xf>
    <xf numFmtId="165" fontId="35" fillId="16" borderId="43" xfId="0" applyFont="1" applyFill="1" applyBorder="1" applyAlignment="1">
      <alignment horizontal="center" vertical="center"/>
    </xf>
    <xf numFmtId="165" fontId="35" fillId="16" borderId="7" xfId="0" applyFont="1" applyFill="1" applyBorder="1" applyAlignment="1">
      <alignment horizontal="center" vertical="center"/>
    </xf>
    <xf numFmtId="165" fontId="35" fillId="16" borderId="69" xfId="0" applyFont="1" applyFill="1" applyBorder="1" applyAlignment="1">
      <alignment horizontal="center" vertical="center"/>
    </xf>
    <xf numFmtId="165" fontId="36" fillId="2" borderId="16" xfId="0" applyFont="1" applyFill="1" applyBorder="1" applyAlignment="1">
      <alignment horizontal="left" vertical="center" wrapText="1"/>
    </xf>
    <xf numFmtId="165" fontId="36" fillId="2" borderId="72" xfId="0" applyFont="1" applyFill="1" applyBorder="1" applyAlignment="1">
      <alignment horizontal="left" vertical="center" wrapText="1"/>
    </xf>
    <xf numFmtId="165" fontId="35" fillId="16" borderId="43" xfId="0" applyFont="1" applyFill="1" applyBorder="1" applyAlignment="1">
      <alignment horizontal="center" vertical="center" wrapText="1"/>
    </xf>
    <xf numFmtId="165" fontId="35" fillId="16" borderId="7" xfId="0" applyFont="1" applyFill="1" applyBorder="1" applyAlignment="1">
      <alignment horizontal="center" vertical="center" wrapText="1"/>
    </xf>
    <xf numFmtId="165" fontId="35" fillId="16" borderId="69" xfId="0" applyFont="1" applyFill="1" applyBorder="1" applyAlignment="1">
      <alignment horizontal="center" vertical="center" wrapText="1"/>
    </xf>
    <xf numFmtId="165" fontId="36" fillId="2" borderId="67" xfId="0" applyFont="1" applyFill="1" applyBorder="1" applyAlignment="1" applyProtection="1">
      <alignment horizontal="left" vertical="center"/>
    </xf>
    <xf numFmtId="165" fontId="36" fillId="2" borderId="70" xfId="0" applyFont="1" applyFill="1" applyBorder="1" applyAlignment="1" applyProtection="1">
      <alignment horizontal="left" vertical="center"/>
    </xf>
    <xf numFmtId="165" fontId="36" fillId="2" borderId="39" xfId="0" applyFont="1" applyFill="1" applyBorder="1" applyAlignment="1" applyProtection="1">
      <alignment horizontal="left" vertical="center"/>
    </xf>
    <xf numFmtId="165" fontId="36" fillId="2" borderId="72" xfId="0" applyFont="1" applyFill="1" applyBorder="1" applyAlignment="1" applyProtection="1">
      <alignment horizontal="left" vertical="center"/>
    </xf>
    <xf numFmtId="165" fontId="36" fillId="2" borderId="39" xfId="0" applyFont="1" applyFill="1" applyBorder="1" applyAlignment="1">
      <alignment horizontal="left" vertical="center" wrapText="1"/>
    </xf>
    <xf numFmtId="165" fontId="36" fillId="2" borderId="66" xfId="0" applyFont="1" applyFill="1" applyBorder="1" applyAlignment="1">
      <alignment horizontal="left" vertical="center"/>
    </xf>
    <xf numFmtId="165" fontId="36" fillId="2" borderId="46" xfId="0" applyFont="1" applyFill="1" applyBorder="1" applyAlignment="1">
      <alignment horizontal="left" vertical="center"/>
    </xf>
    <xf numFmtId="165" fontId="36" fillId="2" borderId="22" xfId="0" applyFont="1" applyFill="1" applyBorder="1" applyAlignment="1">
      <alignment horizontal="left" vertical="center" wrapText="1"/>
    </xf>
    <xf numFmtId="165" fontId="36" fillId="2" borderId="70" xfId="0" applyFont="1" applyFill="1" applyBorder="1" applyAlignment="1">
      <alignment horizontal="left" vertical="center" wrapText="1"/>
    </xf>
    <xf numFmtId="165" fontId="36" fillId="2" borderId="15" xfId="0" applyFont="1" applyFill="1" applyBorder="1" applyAlignment="1">
      <alignment horizontal="left" vertical="center" wrapText="1"/>
    </xf>
    <xf numFmtId="165" fontId="36" fillId="2" borderId="71" xfId="0" applyFont="1" applyFill="1" applyBorder="1" applyAlignment="1">
      <alignment horizontal="left" vertical="center" wrapText="1"/>
    </xf>
    <xf numFmtId="0" fontId="22" fillId="13" borderId="1" xfId="19" applyFont="1" applyFill="1" applyBorder="1" applyAlignment="1">
      <alignment horizontal="center" vertical="center" wrapText="1"/>
    </xf>
    <xf numFmtId="178" fontId="22" fillId="13" borderId="1" xfId="19" applyNumberFormat="1" applyFont="1" applyFill="1" applyBorder="1" applyAlignment="1">
      <alignment horizontal="center" vertical="center" wrapText="1"/>
    </xf>
    <xf numFmtId="0" fontId="22" fillId="13" borderId="39" xfId="19" applyFont="1" applyFill="1" applyBorder="1" applyAlignment="1">
      <alignment horizontal="center" vertical="center" wrapText="1"/>
    </xf>
    <xf numFmtId="0" fontId="22" fillId="13" borderId="6" xfId="19" applyFont="1" applyFill="1" applyBorder="1" applyAlignment="1">
      <alignment horizontal="center" vertical="center" wrapText="1"/>
    </xf>
    <xf numFmtId="0" fontId="22" fillId="13" borderId="33" xfId="19" applyFont="1" applyFill="1" applyBorder="1" applyAlignment="1">
      <alignment horizontal="center" vertical="center" wrapText="1"/>
    </xf>
    <xf numFmtId="0" fontId="22" fillId="13" borderId="51" xfId="19" applyFont="1" applyFill="1" applyBorder="1" applyAlignment="1">
      <alignment horizontal="center" vertical="center" wrapText="1"/>
    </xf>
    <xf numFmtId="0" fontId="22" fillId="13" borderId="2" xfId="19" applyFont="1" applyFill="1" applyBorder="1" applyAlignment="1">
      <alignment horizontal="center" vertical="center" wrapText="1"/>
    </xf>
    <xf numFmtId="0" fontId="22" fillId="13" borderId="37" xfId="19" applyFont="1" applyFill="1" applyBorder="1" applyAlignment="1">
      <alignment horizontal="center" vertical="center" wrapText="1"/>
    </xf>
    <xf numFmtId="0" fontId="22" fillId="13" borderId="52" xfId="19" applyFont="1" applyFill="1" applyBorder="1" applyAlignment="1">
      <alignment horizontal="center" vertical="center" wrapText="1"/>
    </xf>
    <xf numFmtId="0" fontId="22" fillId="13" borderId="3" xfId="19" applyFont="1" applyFill="1" applyBorder="1" applyAlignment="1">
      <alignment horizontal="center" vertical="center" wrapText="1"/>
    </xf>
    <xf numFmtId="0" fontId="22" fillId="13" borderId="42" xfId="19" applyFont="1" applyFill="1" applyBorder="1" applyAlignment="1">
      <alignment horizontal="center" vertical="center" wrapText="1"/>
    </xf>
    <xf numFmtId="0" fontId="22" fillId="13" borderId="38" xfId="19" applyFont="1" applyFill="1" applyBorder="1" applyAlignment="1">
      <alignment horizontal="center" vertical="center" wrapText="1"/>
    </xf>
    <xf numFmtId="0" fontId="22" fillId="13" borderId="26" xfId="19" applyFont="1" applyFill="1" applyBorder="1" applyAlignment="1">
      <alignment horizontal="center" vertical="center" wrapText="1"/>
    </xf>
    <xf numFmtId="178" fontId="22" fillId="13" borderId="38" xfId="19" applyNumberFormat="1" applyFont="1" applyFill="1" applyBorder="1" applyAlignment="1">
      <alignment horizontal="center" vertical="center" wrapText="1"/>
    </xf>
    <xf numFmtId="178" fontId="22" fillId="13" borderId="56" xfId="19" applyNumberFormat="1" applyFont="1" applyFill="1" applyBorder="1" applyAlignment="1">
      <alignment horizontal="center" vertical="center" wrapText="1"/>
    </xf>
    <xf numFmtId="178" fontId="22" fillId="13" borderId="26" xfId="19" applyNumberFormat="1" applyFont="1" applyFill="1" applyBorder="1" applyAlignment="1">
      <alignment horizontal="center" vertical="center" wrapText="1"/>
    </xf>
    <xf numFmtId="0" fontId="22" fillId="13" borderId="39" xfId="19" applyFont="1" applyFill="1" applyBorder="1" applyAlignment="1">
      <alignment horizontal="center" vertical="center"/>
    </xf>
    <xf numFmtId="0" fontId="22" fillId="13" borderId="6" xfId="19" applyFont="1" applyFill="1" applyBorder="1" applyAlignment="1">
      <alignment horizontal="center" vertical="center"/>
    </xf>
    <xf numFmtId="0" fontId="22" fillId="13" borderId="33" xfId="19" applyFont="1" applyFill="1" applyBorder="1" applyAlignment="1">
      <alignment horizontal="center" vertical="center"/>
    </xf>
    <xf numFmtId="2" fontId="22" fillId="13" borderId="38" xfId="19" applyNumberFormat="1" applyFont="1" applyFill="1" applyBorder="1" applyAlignment="1">
      <alignment horizontal="center" vertical="center" wrapText="1"/>
    </xf>
    <xf numFmtId="2" fontId="22" fillId="13" borderId="26" xfId="19" applyNumberFormat="1" applyFont="1" applyFill="1" applyBorder="1" applyAlignment="1">
      <alignment horizontal="center" vertical="center" wrapText="1"/>
    </xf>
    <xf numFmtId="0" fontId="33" fillId="0" borderId="1" xfId="17" applyFont="1" applyBorder="1" applyAlignment="1">
      <alignment horizontal="center" vertical="center"/>
    </xf>
    <xf numFmtId="0" fontId="33" fillId="0" borderId="12" xfId="17" applyFont="1" applyBorder="1" applyAlignment="1">
      <alignment horizontal="center"/>
    </xf>
    <xf numFmtId="0" fontId="33" fillId="0" borderId="11" xfId="17" applyFont="1" applyBorder="1" applyAlignment="1">
      <alignment horizontal="center"/>
    </xf>
    <xf numFmtId="0" fontId="33" fillId="0" borderId="46" xfId="17" applyFont="1" applyBorder="1" applyAlignment="1">
      <alignment horizontal="center"/>
    </xf>
    <xf numFmtId="0" fontId="34" fillId="0" borderId="44" xfId="17" applyFont="1" applyBorder="1" applyAlignment="1">
      <alignment horizontal="center" vertical="top" wrapText="1"/>
    </xf>
    <xf numFmtId="0" fontId="34" fillId="0" borderId="48" xfId="17" applyFont="1" applyBorder="1" applyAlignment="1">
      <alignment horizontal="center" vertical="top" wrapText="1"/>
    </xf>
    <xf numFmtId="0" fontId="34" fillId="0" borderId="38" xfId="17" applyFont="1" applyBorder="1" applyAlignment="1">
      <alignment horizontal="center" vertical="top" wrapText="1"/>
    </xf>
    <xf numFmtId="0" fontId="34" fillId="0" borderId="50" xfId="17" applyFont="1" applyBorder="1" applyAlignment="1">
      <alignment horizontal="center" vertical="top" wrapText="1"/>
    </xf>
    <xf numFmtId="177" fontId="34" fillId="0" borderId="45" xfId="17" applyNumberFormat="1" applyFont="1" applyBorder="1" applyAlignment="1">
      <alignment horizontal="center" vertical="top" wrapText="1"/>
    </xf>
    <xf numFmtId="177" fontId="34" fillId="0" borderId="49" xfId="17" applyNumberFormat="1" applyFont="1" applyBorder="1" applyAlignment="1">
      <alignment horizontal="center" vertical="top" wrapText="1"/>
    </xf>
  </cellXfs>
  <cellStyles count="27">
    <cellStyle name="Calculation" xfId="16" builtinId="22"/>
    <cellStyle name="Comma" xfId="15" builtinId="3"/>
    <cellStyle name="Comma 2" xfId="2" xr:uid="{00000000-0005-0000-0000-000000000000}"/>
    <cellStyle name="Comma 3" xfId="8" xr:uid="{A10B4DB2-FB49-483E-B629-BA42710C2DDA}"/>
    <cellStyle name="Comma 4" xfId="20" xr:uid="{8E80FB7E-AC45-47AA-A3F9-1D674CC52BF5}"/>
    <cellStyle name="Currency 2" xfId="22" xr:uid="{933D436A-4A71-4C69-9D81-9FDB74E08125}"/>
    <cellStyle name="DateLong" xfId="12" xr:uid="{C2A3C42F-0254-48C0-BD4D-AEC57CC1A426}"/>
    <cellStyle name="DateShort" xfId="13" xr:uid="{A77D8F98-7A2B-49DA-8DEC-609C06CA3BC4}"/>
    <cellStyle name="Factor" xfId="11" xr:uid="{A735CD5E-FD82-43D5-B872-1044AF2F8BDC}"/>
    <cellStyle name="Normal" xfId="0" builtinId="0" customBuiltin="1"/>
    <cellStyle name="Normal 2" xfId="1" xr:uid="{00000000-0005-0000-0000-000002000000}"/>
    <cellStyle name="Normal 226" xfId="26" xr:uid="{55ADC17A-B9C2-49F7-BA48-D4961368DF93}"/>
    <cellStyle name="Normal 3" xfId="4" xr:uid="{00000000-0005-0000-0000-000003000000}"/>
    <cellStyle name="Normal 3 2" xfId="10" xr:uid="{12590433-2934-4E42-A529-B96FF726DCA4}"/>
    <cellStyle name="Normal 3 3" xfId="21" xr:uid="{D2988B79-DED5-47AF-8A3B-D2441569082A}"/>
    <cellStyle name="Normal 4" xfId="6" xr:uid="{B935D2EA-D4DC-4E8E-BB5A-2C7F7A45D698}"/>
    <cellStyle name="Normal 5" xfId="17" xr:uid="{99C8CC8C-7CF3-4A9B-94E3-C6BD6771A7B3}"/>
    <cellStyle name="Normal 6" xfId="19" xr:uid="{37F8E92F-D780-4C09-8324-14393AC4C291}"/>
    <cellStyle name="Normal 7" xfId="24" xr:uid="{2A52EF64-C50B-446D-B6A4-2E74DF38EC94}"/>
    <cellStyle name="Normal 8" xfId="25" xr:uid="{F795F0D6-934F-4193-92DB-56EE08EB5CE6}"/>
    <cellStyle name="Normal_New Persistence Mapping - 22nd Mar10" xfId="7" xr:uid="{73877067-1ECD-4C03-B780-1292D69C1CD9}"/>
    <cellStyle name="Normal_Oct 2004 Local Fund Projects r03" xfId="9" xr:uid="{74F1C7AC-A538-4A11-9BF1-6F2F66828649}"/>
    <cellStyle name="Percent" xfId="5" builtinId="5" customBuiltin="1"/>
    <cellStyle name="Percent 2" xfId="3" xr:uid="{00000000-0005-0000-0000-000004000000}"/>
    <cellStyle name="Percent 3" xfId="18" xr:uid="{177DDE4D-BBE1-479C-86C8-D9D69D477476}"/>
    <cellStyle name="Percent 4" xfId="23" xr:uid="{EA486245-A96F-407E-BD69-79AD4AE04B50}"/>
    <cellStyle name="Year" xfId="14" xr:uid="{3A7A4344-9BD1-47A1-A133-CE38AC67D798}"/>
  </cellStyles>
  <dxfs count="33">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numFmt numFmtId="171" formatCode="#,##0.00_);\(#,##0.00\);&quot;-  &quot;;&quot; &quot;@&quot; &quo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name val="Calibri Light"/>
        <family val="2"/>
        <scheme val="none"/>
      </font>
    </dxf>
    <dxf>
      <font>
        <strike val="0"/>
        <outline val="0"/>
        <shadow val="0"/>
        <u val="none"/>
        <vertAlign val="baseline"/>
        <color theme="0"/>
      </font>
    </dxf>
    <dxf>
      <font>
        <b val="0"/>
        <i val="0"/>
        <strike val="0"/>
        <condense val="0"/>
        <extend val="0"/>
        <outline val="0"/>
        <shadow val="0"/>
        <u val="none"/>
        <vertAlign val="baseline"/>
        <sz val="10"/>
        <color theme="0"/>
        <name val="Calibri Light"/>
        <family val="2"/>
        <scheme val="none"/>
      </font>
      <numFmt numFmtId="1" formatCode="0"/>
      <fill>
        <patternFill patternType="solid">
          <fgColor indexed="64"/>
          <bgColor rgb="FFFFFF99"/>
        </patternFill>
      </fill>
    </dxf>
    <dxf>
      <font>
        <b val="0"/>
        <i val="0"/>
        <strike val="0"/>
        <condense val="0"/>
        <extend val="0"/>
        <outline val="0"/>
        <shadow val="0"/>
        <u val="none"/>
        <vertAlign val="baseline"/>
        <sz val="10"/>
        <color theme="0"/>
        <name val="Calibri Light"/>
        <family val="2"/>
        <scheme val="none"/>
      </font>
      <numFmt numFmtId="1" formatCode="0"/>
      <fill>
        <patternFill patternType="none">
          <fgColor indexed="64"/>
          <bgColor indexed="65"/>
        </patternFill>
      </fill>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D3FFD3"/>
      <color rgb="FFFFFF99"/>
      <color rgb="FF0000CC"/>
      <color rgb="FF33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a:t>Annual Emissions Forecasting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 Analysis'!$A$2</c:f>
              <c:strCache>
                <c:ptCount val="1"/>
                <c:pt idx="0">
                  <c:v> BAU Emissions </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Analysis'!$B$2:$V$2</c15:sqref>
                  </c15:fullRef>
                </c:ext>
              </c:extLst>
              <c:f>'Cumulative Analysis'!$B$2:$R$2</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0-AFA9-439C-8C0A-4CC7D7D22947}"/>
            </c:ext>
          </c:extLst>
        </c:ser>
        <c:ser>
          <c:idx val="1"/>
          <c:order val="1"/>
          <c:tx>
            <c:strRef>
              <c:f>'Cumulative Analysis'!$A$3</c:f>
              <c:strCache>
                <c:ptCount val="1"/>
                <c:pt idx="0">
                  <c:v> Option A Emissions </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Analysis'!$B$3:$V$3</c15:sqref>
                  </c15:fullRef>
                </c:ext>
              </c:extLst>
              <c:f>'Cumulative Analysis'!$B$3:$R$3</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1-AFA9-439C-8C0A-4CC7D7D22947}"/>
            </c:ext>
          </c:extLst>
        </c:ser>
        <c:ser>
          <c:idx val="2"/>
          <c:order val="2"/>
          <c:tx>
            <c:strRef>
              <c:f>'Cumulative Analysis'!$A$4</c:f>
              <c:strCache>
                <c:ptCount val="1"/>
                <c:pt idx="0">
                  <c:v> Option B Emissions </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Analysis'!$B$4:$V$4</c15:sqref>
                  </c15:fullRef>
                </c:ext>
              </c:extLst>
              <c:f>'Cumulative Analysis'!$B$4:$R$4</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2-AFA9-439C-8C0A-4CC7D7D22947}"/>
            </c:ext>
          </c:extLst>
        </c:ser>
        <c:ser>
          <c:idx val="3"/>
          <c:order val="3"/>
          <c:tx>
            <c:strRef>
              <c:f>'Cumulative Analysis'!$A$5</c:f>
              <c:strCache>
                <c:ptCount val="1"/>
                <c:pt idx="0">
                  <c:v> Option C Emissions </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Analysis'!$B$5:$V$5</c15:sqref>
                  </c15:fullRef>
                </c:ext>
              </c:extLst>
              <c:f>'Cumulative Analysis'!$B$5:$R$5</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3-AFA9-439C-8C0A-4CC7D7D22947}"/>
            </c:ext>
          </c:extLst>
        </c:ser>
        <c:dLbls>
          <c:showLegendKey val="0"/>
          <c:showVal val="0"/>
          <c:showCatName val="0"/>
          <c:showSerName val="0"/>
          <c:showPercent val="0"/>
          <c:showBubbleSize val="0"/>
        </c:dLbls>
        <c:smooth val="0"/>
        <c:axId val="801362120"/>
        <c:axId val="801362448"/>
      </c:lineChart>
      <c:catAx>
        <c:axId val="801362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801362448"/>
        <c:crosses val="autoZero"/>
        <c:auto val="1"/>
        <c:lblAlgn val="ctr"/>
        <c:lblOffset val="100"/>
        <c:noMultiLvlLbl val="0"/>
      </c:catAx>
      <c:valAx>
        <c:axId val="80136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Annual Emissions</a:t>
                </a:r>
                <a:r>
                  <a:rPr lang="en-GB" baseline="0"/>
                  <a:t> (t.CO2)</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quot;-  &quot;;&quot; &quot;@&quot; &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362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With Finance</a:t>
            </a:r>
          </a:p>
        </c:rich>
      </c:tx>
      <c:overlay val="0"/>
      <c:spPr>
        <a:noFill/>
        <a:ln>
          <a:noFill/>
        </a:ln>
        <a:effectLst/>
      </c:spPr>
    </c:title>
    <c:autoTitleDeleted val="0"/>
    <c:plotArea>
      <c:layout>
        <c:manualLayout>
          <c:layoutTarget val="inner"/>
          <c:xMode val="edge"/>
          <c:yMode val="edge"/>
          <c:x val="6.9348147869995949E-2"/>
          <c:y val="0.25353353371297904"/>
          <c:w val="0.91059661223021326"/>
          <c:h val="0.69587359350817757"/>
        </c:manualLayout>
      </c:layout>
      <c:areaChart>
        <c:grouping val="standard"/>
        <c:varyColors val="0"/>
        <c:ser>
          <c:idx val="0"/>
          <c:order val="0"/>
          <c:spPr>
            <a:solidFill>
              <a:schemeClr val="accent1"/>
            </a:solidFill>
            <a:ln w="25400">
              <a:noFill/>
            </a:ln>
            <a:effectLst/>
          </c:spPr>
          <c:cat>
            <c:numRef>
              <c:f>'Option B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B Outcome'!$D$61:$X$61</c:f>
              <c:numCache>
                <c:formatCode>_-"£"* #,##0_-;\-"£"* #,##0_-;_-"£"* "-"??_-;_-@_-</c:formatCode>
                <c:ptCount val="21"/>
                <c:pt idx="0">
                  <c:v>0</c:v>
                </c:pt>
                <c:pt idx="1">
                  <c:v>0</c:v>
                </c:pt>
                <c:pt idx="2" formatCode="&quot;£&quot;#,##0_);\(&quot;£&quot;#,##0\)">
                  <c:v>0</c:v>
                </c:pt>
                <c:pt idx="3" formatCode="&quot;£&quot;#,##0_);\(&quot;£&quot;#,##0\)">
                  <c:v>0</c:v>
                </c:pt>
                <c:pt idx="4" formatCode="&quot;£&quot;#,##0_);\(&quot;£&quot;#,##0\)">
                  <c:v>0</c:v>
                </c:pt>
                <c:pt idx="5" formatCode="&quot;£&quot;#,##0_);\(&quot;£&quot;#,##0\)">
                  <c:v>0</c:v>
                </c:pt>
                <c:pt idx="6" formatCode="&quot;£&quot;#,##0_);\(&quot;£&quot;#,##0\)">
                  <c:v>0</c:v>
                </c:pt>
                <c:pt idx="7" formatCode="&quot;£&quot;#,##0_);\(&quot;£&quot;#,##0\)">
                  <c:v>0</c:v>
                </c:pt>
                <c:pt idx="8" formatCode="&quot;£&quot;#,##0_);\(&quot;£&quot;#,##0\)">
                  <c:v>0</c:v>
                </c:pt>
                <c:pt idx="9" formatCode="&quot;£&quot;#,##0_);\(&quot;£&quot;#,##0\)">
                  <c:v>0</c:v>
                </c:pt>
                <c:pt idx="10" formatCode="&quot;£&quot;#,##0_);\(&quot;£&quot;#,##0\)">
                  <c:v>0</c:v>
                </c:pt>
                <c:pt idx="11" formatCode="&quot;£&quot;#,##0_);\(&quot;£&quot;#,##0\)">
                  <c:v>0</c:v>
                </c:pt>
                <c:pt idx="12" formatCode="&quot;£&quot;#,##0_);\(&quot;£&quot;#,##0\)">
                  <c:v>0</c:v>
                </c:pt>
                <c:pt idx="13" formatCode="&quot;£&quot;#,##0_);\(&quot;£&quot;#,##0\)">
                  <c:v>0</c:v>
                </c:pt>
                <c:pt idx="14" formatCode="&quot;£&quot;#,##0_);\(&quot;£&quot;#,##0\)">
                  <c:v>0</c:v>
                </c:pt>
                <c:pt idx="15" formatCode="&quot;£&quot;#,##0_);\(&quot;£&quot;#,##0\)">
                  <c:v>0</c:v>
                </c:pt>
                <c:pt idx="16" formatCode="&quot;£&quot;#,##0_);\(&quot;£&quot;#,##0\)">
                  <c:v>0</c:v>
                </c:pt>
                <c:pt idx="17" formatCode="&quot;£&quot;#,##0_);\(&quot;£&quot;#,##0\)">
                  <c:v>0</c:v>
                </c:pt>
                <c:pt idx="18" formatCode="&quot;£&quot;#,##0_);\(&quot;£&quot;#,##0\)">
                  <c:v>0</c:v>
                </c:pt>
                <c:pt idx="19" formatCode="&quot;£&quot;#,##0_);\(&quot;£&quot;#,##0\)">
                  <c:v>0</c:v>
                </c:pt>
                <c:pt idx="20" formatCode="&quot;£&quot;#,##0_);\(&quot;£&quot;#,##0\)">
                  <c:v>0</c:v>
                </c:pt>
              </c:numCache>
            </c:numRef>
          </c:val>
          <c:extLst>
            <c:ext xmlns:c16="http://schemas.microsoft.com/office/drawing/2014/chart" uri="{C3380CC4-5D6E-409C-BE32-E72D297353CC}">
              <c16:uniqueId val="{00000000-30C0-4FC1-8415-5D64850EE3C0}"/>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Capital Funding</a:t>
            </a:r>
          </a:p>
        </c:rich>
      </c:tx>
      <c:overlay val="0"/>
      <c:spPr>
        <a:noFill/>
        <a:ln>
          <a:noFill/>
        </a:ln>
        <a:effectLst/>
      </c:spPr>
    </c:title>
    <c:autoTitleDeleted val="0"/>
    <c:plotArea>
      <c:layout>
        <c:manualLayout>
          <c:layoutTarget val="inner"/>
          <c:xMode val="edge"/>
          <c:yMode val="edge"/>
          <c:x val="6.9348147869995949E-2"/>
          <c:y val="0.25353353371297904"/>
          <c:w val="0.91059661223021326"/>
          <c:h val="0.69587359350817757"/>
        </c:manualLayout>
      </c:layout>
      <c:areaChart>
        <c:grouping val="standard"/>
        <c:varyColors val="0"/>
        <c:ser>
          <c:idx val="1"/>
          <c:order val="0"/>
          <c:spPr>
            <a:ln w="25400"/>
          </c:spPr>
          <c:cat>
            <c:numRef>
              <c:f>'Option C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C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A078-45AE-BAE7-87692C81535E}"/>
            </c:ext>
          </c:extLst>
        </c:ser>
        <c:ser>
          <c:idx val="0"/>
          <c:order val="1"/>
          <c:spPr>
            <a:solidFill>
              <a:schemeClr val="accent1"/>
            </a:solidFill>
            <a:ln w="25400">
              <a:noFill/>
            </a:ln>
            <a:effectLst/>
          </c:spPr>
          <c:cat>
            <c:numRef>
              <c:f>'Option C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C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078-45AE-BAE7-87692C81535E}"/>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With Finance</a:t>
            </a:r>
          </a:p>
        </c:rich>
      </c:tx>
      <c:overlay val="0"/>
      <c:spPr>
        <a:noFill/>
        <a:ln>
          <a:noFill/>
        </a:ln>
        <a:effectLst/>
      </c:spPr>
    </c:title>
    <c:autoTitleDeleted val="0"/>
    <c:plotArea>
      <c:layout>
        <c:manualLayout>
          <c:layoutTarget val="inner"/>
          <c:xMode val="edge"/>
          <c:yMode val="edge"/>
          <c:x val="6.9348147869995949E-2"/>
          <c:y val="0.25353353371297904"/>
          <c:w val="0.91059661223021326"/>
          <c:h val="0.69587359350817757"/>
        </c:manualLayout>
      </c:layout>
      <c:areaChart>
        <c:grouping val="standard"/>
        <c:varyColors val="0"/>
        <c:ser>
          <c:idx val="0"/>
          <c:order val="0"/>
          <c:spPr>
            <a:solidFill>
              <a:schemeClr val="accent1"/>
            </a:solidFill>
            <a:ln w="25400">
              <a:noFill/>
            </a:ln>
            <a:effectLst/>
          </c:spPr>
          <c:cat>
            <c:numRef>
              <c:f>'Option C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C Outcome'!$D$61:$X$61</c:f>
              <c:numCache>
                <c:formatCode>_-"£"* #,##0_-;\-"£"* #,##0_-;_-"£"* "-"??_-;_-@_-</c:formatCode>
                <c:ptCount val="21"/>
                <c:pt idx="0">
                  <c:v>0</c:v>
                </c:pt>
                <c:pt idx="1">
                  <c:v>0</c:v>
                </c:pt>
                <c:pt idx="2" formatCode="&quot;£&quot;#,##0_);\(&quot;£&quot;#,##0\)">
                  <c:v>0</c:v>
                </c:pt>
                <c:pt idx="3" formatCode="&quot;£&quot;#,##0_);\(&quot;£&quot;#,##0\)">
                  <c:v>0</c:v>
                </c:pt>
                <c:pt idx="4" formatCode="&quot;£&quot;#,##0_);\(&quot;£&quot;#,##0\)">
                  <c:v>0</c:v>
                </c:pt>
                <c:pt idx="5" formatCode="&quot;£&quot;#,##0_);\(&quot;£&quot;#,##0\)">
                  <c:v>0</c:v>
                </c:pt>
                <c:pt idx="6" formatCode="&quot;£&quot;#,##0_);\(&quot;£&quot;#,##0\)">
                  <c:v>0</c:v>
                </c:pt>
                <c:pt idx="7" formatCode="&quot;£&quot;#,##0_);\(&quot;£&quot;#,##0\)">
                  <c:v>0</c:v>
                </c:pt>
                <c:pt idx="8" formatCode="&quot;£&quot;#,##0_);\(&quot;£&quot;#,##0\)">
                  <c:v>0</c:v>
                </c:pt>
                <c:pt idx="9" formatCode="&quot;£&quot;#,##0_);\(&quot;£&quot;#,##0\)">
                  <c:v>0</c:v>
                </c:pt>
                <c:pt idx="10" formatCode="&quot;£&quot;#,##0_);\(&quot;£&quot;#,##0\)">
                  <c:v>0</c:v>
                </c:pt>
                <c:pt idx="11" formatCode="&quot;£&quot;#,##0_);\(&quot;£&quot;#,##0\)">
                  <c:v>0</c:v>
                </c:pt>
                <c:pt idx="12" formatCode="&quot;£&quot;#,##0_);\(&quot;£&quot;#,##0\)">
                  <c:v>0</c:v>
                </c:pt>
                <c:pt idx="13" formatCode="&quot;£&quot;#,##0_);\(&quot;£&quot;#,##0\)">
                  <c:v>0</c:v>
                </c:pt>
                <c:pt idx="14" formatCode="&quot;£&quot;#,##0_);\(&quot;£&quot;#,##0\)">
                  <c:v>0</c:v>
                </c:pt>
                <c:pt idx="15" formatCode="&quot;£&quot;#,##0_);\(&quot;£&quot;#,##0\)">
                  <c:v>0</c:v>
                </c:pt>
                <c:pt idx="16" formatCode="&quot;£&quot;#,##0_);\(&quot;£&quot;#,##0\)">
                  <c:v>0</c:v>
                </c:pt>
                <c:pt idx="17" formatCode="&quot;£&quot;#,##0_);\(&quot;£&quot;#,##0\)">
                  <c:v>0</c:v>
                </c:pt>
                <c:pt idx="18" formatCode="&quot;£&quot;#,##0_);\(&quot;£&quot;#,##0\)">
                  <c:v>0</c:v>
                </c:pt>
                <c:pt idx="19" formatCode="&quot;£&quot;#,##0_);\(&quot;£&quot;#,##0\)">
                  <c:v>0</c:v>
                </c:pt>
                <c:pt idx="20" formatCode="&quot;£&quot;#,##0_);\(&quot;£&quot;#,##0\)">
                  <c:v>0</c:v>
                </c:pt>
              </c:numCache>
            </c:numRef>
          </c:val>
          <c:extLst>
            <c:ext xmlns:c16="http://schemas.microsoft.com/office/drawing/2014/chart" uri="{C3380CC4-5D6E-409C-BE32-E72D297353CC}">
              <c16:uniqueId val="{00000000-3280-4792-B234-BBC82B237060}"/>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Remaining Concession Period Commercials</a:t>
            </a:r>
          </a:p>
        </c:rich>
      </c:tx>
      <c:layout>
        <c:manualLayout>
          <c:xMode val="edge"/>
          <c:yMode val="edge"/>
          <c:x val="0.2562265503051176"/>
          <c:y val="5.590160750747497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182935049478526"/>
          <c:y val="8.7524484203217581E-2"/>
          <c:w val="0.62729557357500232"/>
          <c:h val="0.81618355793149744"/>
        </c:manualLayout>
      </c:layout>
      <c:doughnutChart>
        <c:varyColors val="1"/>
        <c:ser>
          <c:idx val="7"/>
          <c:order val="0"/>
          <c:spPr>
            <a:solidFill>
              <a:schemeClr val="bg1"/>
            </a:solidFill>
          </c:spPr>
          <c:dPt>
            <c:idx val="0"/>
            <c:bubble3D val="0"/>
            <c:spPr>
              <a:solidFill>
                <a:schemeClr val="accent6"/>
              </a:solidFill>
              <a:ln w="19050">
                <a:noFill/>
              </a:ln>
              <a:effectLst/>
            </c:spPr>
            <c:extLst>
              <c:ext xmlns:c16="http://schemas.microsoft.com/office/drawing/2014/chart" uri="{C3380CC4-5D6E-409C-BE32-E72D297353CC}">
                <c16:uniqueId val="{00000001-D416-4FCA-83E0-3132ACE2E0A1}"/>
              </c:ext>
            </c:extLst>
          </c:dPt>
          <c:dPt>
            <c:idx val="1"/>
            <c:bubble3D val="0"/>
            <c:spPr>
              <a:solidFill>
                <a:schemeClr val="accent5"/>
              </a:solidFill>
              <a:ln w="19050">
                <a:noFill/>
              </a:ln>
              <a:effectLst/>
            </c:spPr>
            <c:extLst>
              <c:ext xmlns:c16="http://schemas.microsoft.com/office/drawing/2014/chart" uri="{C3380CC4-5D6E-409C-BE32-E72D297353CC}">
                <c16:uniqueId val="{00000003-D416-4FCA-83E0-3132ACE2E0A1}"/>
              </c:ext>
            </c:extLst>
          </c:dPt>
          <c:dPt>
            <c:idx val="2"/>
            <c:bubble3D val="0"/>
            <c:spPr>
              <a:solidFill>
                <a:schemeClr val="accent4"/>
              </a:solidFill>
              <a:ln w="19050">
                <a:noFill/>
              </a:ln>
              <a:effectLst/>
            </c:spPr>
            <c:extLst>
              <c:ext xmlns:c16="http://schemas.microsoft.com/office/drawing/2014/chart" uri="{C3380CC4-5D6E-409C-BE32-E72D297353CC}">
                <c16:uniqueId val="{00000005-D416-4FCA-83E0-3132ACE2E0A1}"/>
              </c:ext>
            </c:extLst>
          </c:dPt>
          <c:dPt>
            <c:idx val="3"/>
            <c:bubble3D val="0"/>
            <c:spPr>
              <a:solidFill>
                <a:schemeClr val="accent2"/>
              </a:solidFill>
              <a:ln w="19050">
                <a:noFill/>
              </a:ln>
              <a:effectLst/>
            </c:spPr>
            <c:extLst>
              <c:ext xmlns:c16="http://schemas.microsoft.com/office/drawing/2014/chart" uri="{C3380CC4-5D6E-409C-BE32-E72D297353CC}">
                <c16:uniqueId val="{00000007-D416-4FCA-83E0-3132ACE2E0A1}"/>
              </c:ext>
            </c:extLst>
          </c:dPt>
          <c:dPt>
            <c:idx val="4"/>
            <c:bubble3D val="0"/>
            <c:spPr>
              <a:solidFill>
                <a:schemeClr val="tx2"/>
              </a:solidFill>
              <a:ln w="19050">
                <a:noFill/>
              </a:ln>
              <a:effectLst/>
            </c:spPr>
            <c:extLst>
              <c:ext xmlns:c16="http://schemas.microsoft.com/office/drawing/2014/chart" uri="{C3380CC4-5D6E-409C-BE32-E72D297353CC}">
                <c16:uniqueId val="{00000009-D416-4FCA-83E0-3132ACE2E0A1}"/>
              </c:ext>
            </c:extLst>
          </c:dPt>
          <c:dPt>
            <c:idx val="5"/>
            <c:bubble3D val="0"/>
            <c:spPr>
              <a:solidFill>
                <a:srgbClr val="92D050"/>
              </a:solidFill>
              <a:ln w="19050">
                <a:noFill/>
              </a:ln>
              <a:effectLst/>
            </c:spPr>
            <c:extLst>
              <c:ext xmlns:c16="http://schemas.microsoft.com/office/drawing/2014/chart" uri="{C3380CC4-5D6E-409C-BE32-E72D297353CC}">
                <c16:uniqueId val="{0000000B-D416-4FCA-83E0-3132ACE2E0A1}"/>
              </c:ext>
            </c:extLst>
          </c:dPt>
          <c:dPt>
            <c:idx val="6"/>
            <c:bubble3D val="0"/>
            <c:spPr>
              <a:solidFill>
                <a:schemeClr val="bg1"/>
              </a:solidFill>
              <a:ln w="19050">
                <a:solidFill>
                  <a:schemeClr val="lt1"/>
                </a:solidFill>
              </a:ln>
              <a:effectLst/>
            </c:spPr>
            <c:extLst>
              <c:ext xmlns:c16="http://schemas.microsoft.com/office/drawing/2014/chart" uri="{C3380CC4-5D6E-409C-BE32-E72D297353CC}">
                <c16:uniqueId val="{0000000D-D416-4FCA-83E0-3132ACE2E0A1}"/>
              </c:ext>
            </c:extLst>
          </c:dPt>
          <c:dPt>
            <c:idx val="7"/>
            <c:bubble3D val="0"/>
            <c:spPr>
              <a:solidFill>
                <a:schemeClr val="bg1"/>
              </a:solidFill>
              <a:ln w="19050">
                <a:solidFill>
                  <a:schemeClr val="lt1"/>
                </a:solidFill>
              </a:ln>
              <a:effectLst/>
            </c:spPr>
            <c:extLst>
              <c:ext xmlns:c16="http://schemas.microsoft.com/office/drawing/2014/chart" uri="{C3380CC4-5D6E-409C-BE32-E72D297353CC}">
                <c16:uniqueId val="{0000000F-D416-4FCA-83E0-3132ACE2E0A1}"/>
              </c:ext>
            </c:extLst>
          </c:dPt>
          <c:dPt>
            <c:idx val="8"/>
            <c:bubble3D val="0"/>
            <c:spPr>
              <a:solidFill>
                <a:schemeClr val="bg1"/>
              </a:solidFill>
              <a:ln w="19050">
                <a:solidFill>
                  <a:schemeClr val="lt1"/>
                </a:solidFill>
              </a:ln>
              <a:effectLst/>
            </c:spPr>
            <c:extLst>
              <c:ext xmlns:c16="http://schemas.microsoft.com/office/drawing/2014/chart" uri="{C3380CC4-5D6E-409C-BE32-E72D297353CC}">
                <c16:uniqueId val="{00000011-D416-4FCA-83E0-3132ACE2E0A1}"/>
              </c:ext>
            </c:extLst>
          </c:dPt>
          <c:dPt>
            <c:idx val="9"/>
            <c:bubble3D val="0"/>
            <c:spPr>
              <a:solidFill>
                <a:schemeClr val="bg1"/>
              </a:solidFill>
              <a:ln w="19050">
                <a:solidFill>
                  <a:schemeClr val="lt1"/>
                </a:solidFill>
              </a:ln>
              <a:effectLst/>
            </c:spPr>
            <c:extLst>
              <c:ext xmlns:c16="http://schemas.microsoft.com/office/drawing/2014/chart" uri="{C3380CC4-5D6E-409C-BE32-E72D297353CC}">
                <c16:uniqueId val="{00000013-2743-4C2B-82EA-5ACEB72AFE75}"/>
              </c:ext>
            </c:extLst>
          </c:dPt>
          <c:dLbls>
            <c:dLbl>
              <c:idx val="8"/>
              <c:tx>
                <c:rich>
                  <a:bodyPr/>
                  <a:lstStyle/>
                  <a:p>
                    <a:r>
                      <a:rPr lang="en-US" b="1"/>
                      <a:t>BAU</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D416-4FCA-83E0-3132ACE2E0A1}"/>
                </c:ext>
              </c:extLst>
            </c:dLbl>
            <c:dLbl>
              <c:idx val="9"/>
              <c:tx>
                <c:rich>
                  <a:bodyPr/>
                  <a:lstStyle/>
                  <a:p>
                    <a:r>
                      <a:rPr lang="en-US"/>
                      <a:t>BAU</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2743-4C2B-82EA-5ACEB72AFE75}"/>
                </c:ext>
              </c:extLst>
            </c:dLbl>
            <c:numFmt formatCode="@"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Data'!$J$4:$J$13</c:f>
              <c:numCache>
                <c:formatCode>#,##0_);\(#,##0\);"-  ";" "@" "</c:formatCode>
                <c:ptCount val="10"/>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12-D416-4FCA-83E0-3132ACE2E0A1}"/>
            </c:ext>
          </c:extLst>
        </c:ser>
        <c:ser>
          <c:idx val="0"/>
          <c:order val="1"/>
          <c:dPt>
            <c:idx val="0"/>
            <c:bubble3D val="0"/>
            <c:spPr>
              <a:solidFill>
                <a:schemeClr val="accent6"/>
              </a:solidFill>
              <a:ln w="19050">
                <a:solidFill>
                  <a:schemeClr val="lt1"/>
                </a:solidFill>
              </a:ln>
              <a:effectLst/>
            </c:spPr>
            <c:extLst>
              <c:ext xmlns:c16="http://schemas.microsoft.com/office/drawing/2014/chart" uri="{C3380CC4-5D6E-409C-BE32-E72D297353CC}">
                <c16:uniqueId val="{00000014-D416-4FCA-83E0-3132ACE2E0A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16-D416-4FCA-83E0-3132ACE2E0A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18-D416-4FCA-83E0-3132ACE2E0A1}"/>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A-D416-4FCA-83E0-3132ACE2E0A1}"/>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C-D416-4FCA-83E0-3132ACE2E0A1}"/>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E-D416-4FCA-83E0-3132ACE2E0A1}"/>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0-D416-4FCA-83E0-3132ACE2E0A1}"/>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2-D416-4FCA-83E0-3132ACE2E0A1}"/>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4-D416-4FCA-83E0-3132ACE2E0A1}"/>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7-2743-4C2B-82EA-5ACEB72AFE75}"/>
              </c:ext>
            </c:extLst>
          </c:dPt>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Data'!$C$4:$C$13</c:f>
              <c:numCache>
                <c:formatCode>#,##0_);\(#,##0\);"-  ";" "@" "</c:formatCode>
                <c:ptCount val="10"/>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25-D416-4FCA-83E0-3132ACE2E0A1}"/>
            </c:ext>
          </c:extLst>
        </c:ser>
        <c:ser>
          <c:idx val="2"/>
          <c:order val="2"/>
          <c:spPr>
            <a:solidFill>
              <a:schemeClr val="bg1"/>
            </a:solidFill>
          </c:spPr>
          <c:dPt>
            <c:idx val="0"/>
            <c:bubble3D val="0"/>
            <c:spPr>
              <a:solidFill>
                <a:schemeClr val="bg1"/>
              </a:solidFill>
              <a:ln w="19050">
                <a:solidFill>
                  <a:schemeClr val="lt1"/>
                </a:solidFill>
              </a:ln>
              <a:effectLst/>
            </c:spPr>
            <c:extLst>
              <c:ext xmlns:c16="http://schemas.microsoft.com/office/drawing/2014/chart" uri="{C3380CC4-5D6E-409C-BE32-E72D297353CC}">
                <c16:uniqueId val="{00000027-D416-4FCA-83E0-3132ACE2E0A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29-D416-4FCA-83E0-3132ACE2E0A1}"/>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2B-D416-4FCA-83E0-3132ACE2E0A1}"/>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2D-D416-4FCA-83E0-3132ACE2E0A1}"/>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2F-D416-4FCA-83E0-3132ACE2E0A1}"/>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31-D416-4FCA-83E0-3132ACE2E0A1}"/>
              </c:ext>
            </c:extLst>
          </c:dPt>
          <c:dPt>
            <c:idx val="6"/>
            <c:bubble3D val="0"/>
            <c:spPr>
              <a:solidFill>
                <a:schemeClr val="bg1"/>
              </a:solidFill>
              <a:ln w="19050">
                <a:solidFill>
                  <a:schemeClr val="lt1"/>
                </a:solidFill>
              </a:ln>
              <a:effectLst/>
            </c:spPr>
            <c:extLst>
              <c:ext xmlns:c16="http://schemas.microsoft.com/office/drawing/2014/chart" uri="{C3380CC4-5D6E-409C-BE32-E72D297353CC}">
                <c16:uniqueId val="{00000033-D416-4FCA-83E0-3132ACE2E0A1}"/>
              </c:ext>
            </c:extLst>
          </c:dPt>
          <c:dPt>
            <c:idx val="7"/>
            <c:bubble3D val="0"/>
            <c:spPr>
              <a:solidFill>
                <a:schemeClr val="bg1"/>
              </a:solidFill>
              <a:ln w="19050">
                <a:solidFill>
                  <a:schemeClr val="lt1"/>
                </a:solidFill>
              </a:ln>
              <a:effectLst/>
            </c:spPr>
            <c:extLst>
              <c:ext xmlns:c16="http://schemas.microsoft.com/office/drawing/2014/chart" uri="{C3380CC4-5D6E-409C-BE32-E72D297353CC}">
                <c16:uniqueId val="{00000035-D416-4FCA-83E0-3132ACE2E0A1}"/>
              </c:ext>
            </c:extLst>
          </c:dPt>
          <c:dPt>
            <c:idx val="8"/>
            <c:bubble3D val="0"/>
            <c:spPr>
              <a:solidFill>
                <a:schemeClr val="bg1"/>
              </a:solidFill>
              <a:ln w="19050">
                <a:solidFill>
                  <a:schemeClr val="lt1"/>
                </a:solidFill>
              </a:ln>
              <a:effectLst/>
            </c:spPr>
            <c:extLst>
              <c:ext xmlns:c16="http://schemas.microsoft.com/office/drawing/2014/chart" uri="{C3380CC4-5D6E-409C-BE32-E72D297353CC}">
                <c16:uniqueId val="{00000037-D416-4FCA-83E0-3132ACE2E0A1}"/>
              </c:ext>
            </c:extLst>
          </c:dPt>
          <c:dPt>
            <c:idx val="9"/>
            <c:bubble3D val="0"/>
            <c:spPr>
              <a:solidFill>
                <a:schemeClr val="bg1"/>
              </a:solidFill>
              <a:ln w="19050">
                <a:solidFill>
                  <a:schemeClr val="lt1"/>
                </a:solidFill>
              </a:ln>
              <a:effectLst/>
            </c:spPr>
            <c:extLst>
              <c:ext xmlns:c16="http://schemas.microsoft.com/office/drawing/2014/chart" uri="{C3380CC4-5D6E-409C-BE32-E72D297353CC}">
                <c16:uniqueId val="{0000003B-2743-4C2B-82EA-5ACEB72AFE75}"/>
              </c:ext>
            </c:extLst>
          </c:dPt>
          <c:dLbls>
            <c:dLbl>
              <c:idx val="5"/>
              <c:tx>
                <c:rich>
                  <a:bodyPr/>
                  <a:lstStyle/>
                  <a:p>
                    <a:r>
                      <a:rPr lang="en-US" b="1"/>
                      <a:t>Option 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D416-4FCA-83E0-3132ACE2E0A1}"/>
                </c:ext>
              </c:extLst>
            </c:dLbl>
            <c:dLbl>
              <c:idx val="6"/>
              <c:tx>
                <c:rich>
                  <a:bodyPr/>
                  <a:lstStyle/>
                  <a:p>
                    <a:r>
                      <a:rPr lang="en-US"/>
                      <a:t>Option</a:t>
                    </a:r>
                    <a:r>
                      <a:rPr lang="en-US" baseline="0"/>
                      <a:t> A</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D416-4FCA-83E0-3132ACE2E0A1}"/>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Data'!$G$4:$G$13</c:f>
              <c:numCache>
                <c:formatCode>#,##0_);\(#,##0\);"-  ";" "@" "</c:formatCode>
                <c:ptCount val="10"/>
                <c:pt idx="6">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38-D416-4FCA-83E0-3132ACE2E0A1}"/>
            </c:ext>
          </c:extLst>
        </c:ser>
        <c:ser>
          <c:idx val="4"/>
          <c:order val="3"/>
          <c:dPt>
            <c:idx val="0"/>
            <c:bubble3D val="0"/>
            <c:spPr>
              <a:solidFill>
                <a:schemeClr val="accent6"/>
              </a:solidFill>
              <a:ln w="19050">
                <a:solidFill>
                  <a:schemeClr val="lt1"/>
                </a:solidFill>
              </a:ln>
              <a:effectLst/>
            </c:spPr>
            <c:extLst>
              <c:ext xmlns:c16="http://schemas.microsoft.com/office/drawing/2014/chart" uri="{C3380CC4-5D6E-409C-BE32-E72D297353CC}">
                <c16:uniqueId val="{0000003A-D416-4FCA-83E0-3132ACE2E0A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3C-D416-4FCA-83E0-3132ACE2E0A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3E-D416-4FCA-83E0-3132ACE2E0A1}"/>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40-D416-4FCA-83E0-3132ACE2E0A1}"/>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42-D416-4FCA-83E0-3132ACE2E0A1}"/>
              </c:ext>
            </c:extLst>
          </c:dPt>
          <c:dPt>
            <c:idx val="5"/>
            <c:bubble3D val="0"/>
            <c:spPr>
              <a:solidFill>
                <a:srgbClr val="92D050"/>
              </a:solidFill>
              <a:ln w="19050">
                <a:solidFill>
                  <a:schemeClr val="lt1"/>
                </a:solidFill>
              </a:ln>
              <a:effectLst/>
            </c:spPr>
            <c:extLst>
              <c:ext xmlns:c16="http://schemas.microsoft.com/office/drawing/2014/chart" uri="{C3380CC4-5D6E-409C-BE32-E72D297353CC}">
                <c16:uniqueId val="{00000044-D416-4FCA-83E0-3132ACE2E0A1}"/>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46-D416-4FCA-83E0-3132ACE2E0A1}"/>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48-D416-4FCA-83E0-3132ACE2E0A1}"/>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4A-D416-4FCA-83E0-3132ACE2E0A1}"/>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4F-2743-4C2B-82EA-5ACEB72AFE75}"/>
              </c:ext>
            </c:extLst>
          </c:dPt>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Data'!$D$4:$D$13</c:f>
              <c:numCache>
                <c:formatCode>#,##0_);\(#,##0\);"-  ";" "@" "</c:formatCode>
                <c:ptCount val="10"/>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4B-D416-4FCA-83E0-3132ACE2E0A1}"/>
            </c:ext>
          </c:extLst>
        </c:ser>
        <c:ser>
          <c:idx val="6"/>
          <c:order val="4"/>
          <c:spPr>
            <a:solidFill>
              <a:schemeClr val="bg1"/>
            </a:solidFill>
          </c:spPr>
          <c:dPt>
            <c:idx val="0"/>
            <c:bubble3D val="0"/>
            <c:spPr>
              <a:solidFill>
                <a:schemeClr val="bg1"/>
              </a:solidFill>
              <a:ln w="19050">
                <a:solidFill>
                  <a:schemeClr val="lt1"/>
                </a:solidFill>
              </a:ln>
              <a:effectLst/>
            </c:spPr>
            <c:extLst>
              <c:ext xmlns:c16="http://schemas.microsoft.com/office/drawing/2014/chart" uri="{C3380CC4-5D6E-409C-BE32-E72D297353CC}">
                <c16:uniqueId val="{0000004D-D416-4FCA-83E0-3132ACE2E0A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4F-D416-4FCA-83E0-3132ACE2E0A1}"/>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51-D416-4FCA-83E0-3132ACE2E0A1}"/>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53-D416-4FCA-83E0-3132ACE2E0A1}"/>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55-D416-4FCA-83E0-3132ACE2E0A1}"/>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57-D416-4FCA-83E0-3132ACE2E0A1}"/>
              </c:ext>
            </c:extLst>
          </c:dPt>
          <c:dPt>
            <c:idx val="6"/>
            <c:bubble3D val="0"/>
            <c:spPr>
              <a:solidFill>
                <a:schemeClr val="bg1"/>
              </a:solidFill>
              <a:ln w="19050">
                <a:solidFill>
                  <a:schemeClr val="lt1"/>
                </a:solidFill>
              </a:ln>
              <a:effectLst/>
            </c:spPr>
            <c:extLst>
              <c:ext xmlns:c16="http://schemas.microsoft.com/office/drawing/2014/chart" uri="{C3380CC4-5D6E-409C-BE32-E72D297353CC}">
                <c16:uniqueId val="{00000059-D416-4FCA-83E0-3132ACE2E0A1}"/>
              </c:ext>
            </c:extLst>
          </c:dPt>
          <c:dPt>
            <c:idx val="7"/>
            <c:bubble3D val="0"/>
            <c:spPr>
              <a:solidFill>
                <a:schemeClr val="bg1"/>
              </a:solidFill>
              <a:ln w="19050">
                <a:solidFill>
                  <a:schemeClr val="lt1"/>
                </a:solidFill>
              </a:ln>
              <a:effectLst/>
            </c:spPr>
            <c:extLst>
              <c:ext xmlns:c16="http://schemas.microsoft.com/office/drawing/2014/chart" uri="{C3380CC4-5D6E-409C-BE32-E72D297353CC}">
                <c16:uniqueId val="{0000005B-D416-4FCA-83E0-3132ACE2E0A1}"/>
              </c:ext>
            </c:extLst>
          </c:dPt>
          <c:dPt>
            <c:idx val="8"/>
            <c:bubble3D val="0"/>
            <c:spPr>
              <a:solidFill>
                <a:schemeClr val="bg1"/>
              </a:solidFill>
              <a:ln w="19050">
                <a:solidFill>
                  <a:schemeClr val="lt1"/>
                </a:solidFill>
              </a:ln>
              <a:effectLst/>
            </c:spPr>
            <c:extLst>
              <c:ext xmlns:c16="http://schemas.microsoft.com/office/drawing/2014/chart" uri="{C3380CC4-5D6E-409C-BE32-E72D297353CC}">
                <c16:uniqueId val="{0000005D-D416-4FCA-83E0-3132ACE2E0A1}"/>
              </c:ext>
            </c:extLst>
          </c:dPt>
          <c:dPt>
            <c:idx val="9"/>
            <c:bubble3D val="0"/>
            <c:spPr>
              <a:solidFill>
                <a:schemeClr val="bg1"/>
              </a:solidFill>
              <a:ln w="19050">
                <a:solidFill>
                  <a:schemeClr val="lt1"/>
                </a:solidFill>
              </a:ln>
              <a:effectLst/>
            </c:spPr>
            <c:extLst>
              <c:ext xmlns:c16="http://schemas.microsoft.com/office/drawing/2014/chart" uri="{C3380CC4-5D6E-409C-BE32-E72D297353CC}">
                <c16:uniqueId val="{00000063-2743-4C2B-82EA-5ACEB72AFE75}"/>
              </c:ext>
            </c:extLst>
          </c:dPt>
          <c:dLbls>
            <c:dLbl>
              <c:idx val="6"/>
              <c:tx>
                <c:rich>
                  <a:bodyPr/>
                  <a:lstStyle/>
                  <a:p>
                    <a:r>
                      <a:rPr lang="en-US" b="1"/>
                      <a:t>Option B</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D416-4FCA-83E0-3132ACE2E0A1}"/>
                </c:ext>
              </c:extLst>
            </c:dLbl>
            <c:dLbl>
              <c:idx val="7"/>
              <c:tx>
                <c:rich>
                  <a:bodyPr/>
                  <a:lstStyle/>
                  <a:p>
                    <a:r>
                      <a:rPr lang="en-US"/>
                      <a:t>Option B</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D416-4FCA-83E0-3132ACE2E0A1}"/>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Data'!$H$4:$H$13</c:f>
              <c:numCache>
                <c:formatCode>#,##0_);\(#,##0\);"-  ";" "@" "</c:formatCode>
                <c:ptCount val="10"/>
                <c:pt idx="7">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5E-D416-4FCA-83E0-3132ACE2E0A1}"/>
            </c:ext>
          </c:extLst>
        </c:ser>
        <c:ser>
          <c:idx val="1"/>
          <c:order val="5"/>
          <c:dPt>
            <c:idx val="0"/>
            <c:bubble3D val="0"/>
            <c:spPr>
              <a:solidFill>
                <a:schemeClr val="accent6"/>
              </a:solidFill>
              <a:ln w="19050">
                <a:solidFill>
                  <a:schemeClr val="lt1"/>
                </a:solidFill>
              </a:ln>
              <a:effectLst/>
            </c:spPr>
            <c:extLst>
              <c:ext xmlns:c16="http://schemas.microsoft.com/office/drawing/2014/chart" uri="{C3380CC4-5D6E-409C-BE32-E72D297353CC}">
                <c16:uniqueId val="{00000060-D416-4FCA-83E0-3132ACE2E0A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62-D416-4FCA-83E0-3132ACE2E0A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64-D416-4FCA-83E0-3132ACE2E0A1}"/>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66-D416-4FCA-83E0-3132ACE2E0A1}"/>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68-D416-4FCA-83E0-3132ACE2E0A1}"/>
              </c:ext>
            </c:extLst>
          </c:dPt>
          <c:dPt>
            <c:idx val="5"/>
            <c:bubble3D val="0"/>
            <c:spPr>
              <a:solidFill>
                <a:srgbClr val="92D050"/>
              </a:solidFill>
              <a:ln w="19050">
                <a:solidFill>
                  <a:schemeClr val="lt1"/>
                </a:solidFill>
              </a:ln>
              <a:effectLst/>
            </c:spPr>
            <c:extLst>
              <c:ext xmlns:c16="http://schemas.microsoft.com/office/drawing/2014/chart" uri="{C3380CC4-5D6E-409C-BE32-E72D297353CC}">
                <c16:uniqueId val="{0000006A-D416-4FCA-83E0-3132ACE2E0A1}"/>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6C-D416-4FCA-83E0-3132ACE2E0A1}"/>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6E-D416-4FCA-83E0-3132ACE2E0A1}"/>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70-D416-4FCA-83E0-3132ACE2E0A1}"/>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77-2743-4C2B-82EA-5ACEB72AFE75}"/>
              </c:ext>
            </c:extLst>
          </c:dPt>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Data'!$E$4:$E$13</c:f>
              <c:numCache>
                <c:formatCode>#,##0_);\(#,##0\);"-  ";" "@" "</c:formatCode>
                <c:ptCount val="10"/>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71-D416-4FCA-83E0-3132ACE2E0A1}"/>
            </c:ext>
          </c:extLst>
        </c:ser>
        <c:ser>
          <c:idx val="3"/>
          <c:order val="6"/>
          <c:spPr>
            <a:solidFill>
              <a:schemeClr val="bg1"/>
            </a:solidFill>
          </c:spPr>
          <c:dPt>
            <c:idx val="0"/>
            <c:bubble3D val="0"/>
            <c:spPr>
              <a:solidFill>
                <a:schemeClr val="bg1"/>
              </a:solidFill>
              <a:ln w="19050">
                <a:solidFill>
                  <a:schemeClr val="lt1"/>
                </a:solidFill>
              </a:ln>
              <a:effectLst/>
            </c:spPr>
            <c:extLst>
              <c:ext xmlns:c16="http://schemas.microsoft.com/office/drawing/2014/chart" uri="{C3380CC4-5D6E-409C-BE32-E72D297353CC}">
                <c16:uniqueId val="{00000073-D416-4FCA-83E0-3132ACE2E0A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75-D416-4FCA-83E0-3132ACE2E0A1}"/>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77-D416-4FCA-83E0-3132ACE2E0A1}"/>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79-D416-4FCA-83E0-3132ACE2E0A1}"/>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7B-D416-4FCA-83E0-3132ACE2E0A1}"/>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7D-D416-4FCA-83E0-3132ACE2E0A1}"/>
              </c:ext>
            </c:extLst>
          </c:dPt>
          <c:dPt>
            <c:idx val="6"/>
            <c:bubble3D val="0"/>
            <c:spPr>
              <a:solidFill>
                <a:schemeClr val="bg1"/>
              </a:solidFill>
              <a:ln w="19050">
                <a:solidFill>
                  <a:schemeClr val="lt1"/>
                </a:solidFill>
              </a:ln>
              <a:effectLst/>
            </c:spPr>
            <c:extLst>
              <c:ext xmlns:c16="http://schemas.microsoft.com/office/drawing/2014/chart" uri="{C3380CC4-5D6E-409C-BE32-E72D297353CC}">
                <c16:uniqueId val="{0000007F-D416-4FCA-83E0-3132ACE2E0A1}"/>
              </c:ext>
            </c:extLst>
          </c:dPt>
          <c:dPt>
            <c:idx val="7"/>
            <c:bubble3D val="0"/>
            <c:spPr>
              <a:solidFill>
                <a:schemeClr val="bg1"/>
              </a:solidFill>
              <a:ln w="19050">
                <a:solidFill>
                  <a:schemeClr val="lt1"/>
                </a:solidFill>
              </a:ln>
              <a:effectLst/>
            </c:spPr>
            <c:extLst>
              <c:ext xmlns:c16="http://schemas.microsoft.com/office/drawing/2014/chart" uri="{C3380CC4-5D6E-409C-BE32-E72D297353CC}">
                <c16:uniqueId val="{00000081-D416-4FCA-83E0-3132ACE2E0A1}"/>
              </c:ext>
            </c:extLst>
          </c:dPt>
          <c:dPt>
            <c:idx val="8"/>
            <c:bubble3D val="0"/>
            <c:spPr>
              <a:solidFill>
                <a:schemeClr val="bg1"/>
              </a:solidFill>
              <a:ln w="19050">
                <a:solidFill>
                  <a:schemeClr val="lt1"/>
                </a:solidFill>
              </a:ln>
              <a:effectLst/>
            </c:spPr>
            <c:extLst>
              <c:ext xmlns:c16="http://schemas.microsoft.com/office/drawing/2014/chart" uri="{C3380CC4-5D6E-409C-BE32-E72D297353CC}">
                <c16:uniqueId val="{00000083-D416-4FCA-83E0-3132ACE2E0A1}"/>
              </c:ext>
            </c:extLst>
          </c:dPt>
          <c:dPt>
            <c:idx val="9"/>
            <c:bubble3D val="0"/>
            <c:spPr>
              <a:solidFill>
                <a:schemeClr val="bg1"/>
              </a:solidFill>
              <a:ln w="19050">
                <a:solidFill>
                  <a:schemeClr val="lt1"/>
                </a:solidFill>
              </a:ln>
              <a:effectLst/>
            </c:spPr>
            <c:extLst>
              <c:ext xmlns:c16="http://schemas.microsoft.com/office/drawing/2014/chart" uri="{C3380CC4-5D6E-409C-BE32-E72D297353CC}">
                <c16:uniqueId val="{0000008B-2743-4C2B-82EA-5ACEB72AFE75}"/>
              </c:ext>
            </c:extLst>
          </c:dPt>
          <c:dLbls>
            <c:dLbl>
              <c:idx val="7"/>
              <c:tx>
                <c:rich>
                  <a:bodyPr/>
                  <a:lstStyle/>
                  <a:p>
                    <a:r>
                      <a:rPr lang="en-US" b="1"/>
                      <a:t>Option C</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1-D416-4FCA-83E0-3132ACE2E0A1}"/>
                </c:ext>
              </c:extLst>
            </c:dLbl>
            <c:dLbl>
              <c:idx val="8"/>
              <c:tx>
                <c:rich>
                  <a:bodyPr/>
                  <a:lstStyle/>
                  <a:p>
                    <a:r>
                      <a:rPr lang="en-US"/>
                      <a:t>Option</a:t>
                    </a:r>
                    <a:r>
                      <a:rPr lang="en-US" baseline="0"/>
                      <a:t> C</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3-D416-4FCA-83E0-3132ACE2E0A1}"/>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Data'!$B$4:$B$13</c:f>
              <c:strCache>
                <c:ptCount val="10"/>
                <c:pt idx="0">
                  <c:v> Capital Costs (£) </c:v>
                </c:pt>
                <c:pt idx="1">
                  <c:v> Utilities Costs (£) </c:v>
                </c:pt>
                <c:pt idx="2">
                  <c:v> Lifecycle Cost Differential (£) </c:v>
                </c:pt>
                <c:pt idx="3">
                  <c:v> Carbon Offset Costs (£) </c:v>
                </c:pt>
                <c:pt idx="4">
                  <c:v>   </c:v>
                </c:pt>
                <c:pt idx="5">
                  <c:v> BAU Saving (£) </c:v>
                </c:pt>
                <c:pt idx="6">
                  <c:v> Option A </c:v>
                </c:pt>
                <c:pt idx="7">
                  <c:v> Option B </c:v>
                </c:pt>
                <c:pt idx="8">
                  <c:v> Option C </c:v>
                </c:pt>
                <c:pt idx="9">
                  <c:v> BAU </c:v>
                </c:pt>
              </c:strCache>
            </c:strRef>
          </c:cat>
          <c:val>
            <c:numRef>
              <c:f>'DASHBOARD Data'!$I$4:$I$13</c:f>
              <c:numCache>
                <c:formatCode>#,##0_);\(#,##0\);"-  ";" "@" "</c:formatCode>
                <c:ptCount val="10"/>
                <c:pt idx="8">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84-D416-4FCA-83E0-3132ACE2E0A1}"/>
            </c:ext>
          </c:extLst>
        </c:ser>
        <c:ser>
          <c:idx val="5"/>
          <c:order val="7"/>
          <c:dPt>
            <c:idx val="0"/>
            <c:bubble3D val="0"/>
            <c:spPr>
              <a:solidFill>
                <a:schemeClr val="accent6"/>
              </a:solidFill>
              <a:ln w="19050">
                <a:solidFill>
                  <a:schemeClr val="lt1"/>
                </a:solidFill>
              </a:ln>
              <a:effectLst/>
            </c:spPr>
            <c:extLst>
              <c:ext xmlns:c16="http://schemas.microsoft.com/office/drawing/2014/chart" uri="{C3380CC4-5D6E-409C-BE32-E72D297353CC}">
                <c16:uniqueId val="{0000008D-AE60-4683-8EF6-AA2A13724A76}"/>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8F-AE60-4683-8EF6-AA2A13724A76}"/>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91-AE60-4683-8EF6-AA2A13724A76}"/>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93-AE60-4683-8EF6-AA2A13724A76}"/>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95-AE60-4683-8EF6-AA2A13724A76}"/>
              </c:ext>
            </c:extLst>
          </c:dPt>
          <c:dPt>
            <c:idx val="5"/>
            <c:bubble3D val="0"/>
            <c:spPr>
              <a:solidFill>
                <a:srgbClr val="92D050"/>
              </a:solidFill>
              <a:ln w="19050">
                <a:solidFill>
                  <a:schemeClr val="lt1"/>
                </a:solidFill>
              </a:ln>
              <a:effectLst/>
            </c:spPr>
            <c:extLst>
              <c:ext xmlns:c16="http://schemas.microsoft.com/office/drawing/2014/chart" uri="{C3380CC4-5D6E-409C-BE32-E72D297353CC}">
                <c16:uniqueId val="{0000008F-2743-4C2B-82EA-5ACEB72AFE75}"/>
              </c:ext>
            </c:extLst>
          </c:dPt>
          <c:val>
            <c:numRef>
              <c:f>'DASHBOARD Data'!$F$4:$F$9</c:f>
              <c:numCache>
                <c:formatCode>#,##0_);\(#,##0\);"-  ";" "@"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8E-2743-4C2B-82EA-5ACEB72AFE75}"/>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6"/>
        <c:delete val="1"/>
      </c:legendEntry>
      <c:legendEntry>
        <c:idx val="7"/>
        <c:delete val="1"/>
      </c:legendEntry>
      <c:legendEntry>
        <c:idx val="8"/>
        <c:delete val="1"/>
      </c:legendEntry>
      <c:legendEntry>
        <c:idx val="9"/>
        <c:delete val="1"/>
      </c:legendEntry>
      <c:layout>
        <c:manualLayout>
          <c:xMode val="edge"/>
          <c:yMode val="edge"/>
          <c:x val="0.36649833954474259"/>
          <c:y val="0.30354404068573471"/>
          <c:w val="0.33956670168596759"/>
          <c:h val="0.3605133305207600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Remaining Concession Period Emissions </a:t>
            </a:r>
          </a:p>
        </c:rich>
      </c:tx>
      <c:layout>
        <c:manualLayout>
          <c:xMode val="edge"/>
          <c:yMode val="edge"/>
          <c:x val="0.28057346336854266"/>
          <c:y val="2.2289168632336171E-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37610774146321"/>
          <c:y val="8.680997207534151E-2"/>
          <c:w val="0.66995676657143455"/>
          <c:h val="0.87398887577010331"/>
        </c:manualLayout>
      </c:layout>
      <c:doughnutChart>
        <c:varyColors val="1"/>
        <c:ser>
          <c:idx val="7"/>
          <c:order val="0"/>
          <c:spPr>
            <a:solidFill>
              <a:schemeClr val="bg1"/>
            </a:solidFill>
          </c:spPr>
          <c:dPt>
            <c:idx val="0"/>
            <c:bubble3D val="0"/>
            <c:spPr>
              <a:solidFill>
                <a:schemeClr val="accent6"/>
              </a:solidFill>
              <a:ln w="19050">
                <a:noFill/>
              </a:ln>
              <a:effectLst/>
            </c:spPr>
            <c:extLst>
              <c:ext xmlns:c16="http://schemas.microsoft.com/office/drawing/2014/chart" uri="{C3380CC4-5D6E-409C-BE32-E72D297353CC}">
                <c16:uniqueId val="{00000001-AFDB-48FA-9438-0110C018967F}"/>
              </c:ext>
            </c:extLst>
          </c:dPt>
          <c:dPt>
            <c:idx val="1"/>
            <c:bubble3D val="0"/>
            <c:spPr>
              <a:solidFill>
                <a:schemeClr val="accent5"/>
              </a:solidFill>
              <a:ln w="19050">
                <a:noFill/>
              </a:ln>
              <a:effectLst/>
            </c:spPr>
            <c:extLst>
              <c:ext xmlns:c16="http://schemas.microsoft.com/office/drawing/2014/chart" uri="{C3380CC4-5D6E-409C-BE32-E72D297353CC}">
                <c16:uniqueId val="{00000003-AFDB-48FA-9438-0110C018967F}"/>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AFDB-48FA-9438-0110C018967F}"/>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07-AFDB-48FA-9438-0110C018967F}"/>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09-AFDB-48FA-9438-0110C018967F}"/>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0B-AFDB-48FA-9438-0110C018967F}"/>
              </c:ext>
            </c:extLst>
          </c:dPt>
          <c:dLbls>
            <c:dLbl>
              <c:idx val="5"/>
              <c:layout>
                <c:manualLayout>
                  <c:x val="0"/>
                  <c:y val="-6.0255297425130935E-3"/>
                </c:manualLayout>
              </c:layout>
              <c:tx>
                <c:rich>
                  <a:bodyPr/>
                  <a:lstStyle/>
                  <a:p>
                    <a:r>
                      <a:rPr lang="en-US" b="1"/>
                      <a:t>BAU</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FDB-48FA-9438-0110C018967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Data'!$J$15:$J$20</c:f>
              <c:numCache>
                <c:formatCode>#,##0_);\(#,##0\);"-  ";" "@" "</c:formatCode>
                <c:ptCount val="6"/>
                <c:pt idx="5">
                  <c:v>1</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C-AFDB-48FA-9438-0110C018967F}"/>
            </c:ext>
          </c:extLst>
        </c:ser>
        <c:ser>
          <c:idx val="0"/>
          <c:order val="1"/>
          <c:dPt>
            <c:idx val="0"/>
            <c:bubble3D val="0"/>
            <c:spPr>
              <a:solidFill>
                <a:schemeClr val="accent6"/>
              </a:solidFill>
              <a:ln w="19050">
                <a:solidFill>
                  <a:schemeClr val="lt1"/>
                </a:solidFill>
              </a:ln>
              <a:effectLst/>
            </c:spPr>
            <c:extLst>
              <c:ext xmlns:c16="http://schemas.microsoft.com/office/drawing/2014/chart" uri="{C3380CC4-5D6E-409C-BE32-E72D297353CC}">
                <c16:uniqueId val="{0000000E-AFDB-48FA-9438-0110C018967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10-AFDB-48FA-9438-0110C018967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12-AFDB-48FA-9438-0110C018967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4-AFDB-48FA-9438-0110C018967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6-AFDB-48FA-9438-0110C018967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8-AFDB-48FA-9438-0110C018967F}"/>
              </c:ext>
            </c:extLst>
          </c:dPt>
          <c:dLbls>
            <c:delete val="1"/>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Data'!$C$15:$C$20</c:f>
              <c:numCache>
                <c:formatCode>#,##0_);\(#,##0\);"-  ";" "@" "</c:formatCode>
                <c:ptCount val="6"/>
                <c:pt idx="0">
                  <c:v>0</c:v>
                </c:pt>
                <c:pt idx="1">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19-AFDB-48FA-9438-0110C018967F}"/>
            </c:ext>
          </c:extLst>
        </c:ser>
        <c:ser>
          <c:idx val="4"/>
          <c:order val="2"/>
          <c:spPr>
            <a:solidFill>
              <a:schemeClr val="bg1"/>
            </a:solidFill>
          </c:spPr>
          <c:dPt>
            <c:idx val="0"/>
            <c:bubble3D val="0"/>
            <c:spPr>
              <a:solidFill>
                <a:schemeClr val="bg1"/>
              </a:solidFill>
              <a:ln w="19050">
                <a:solidFill>
                  <a:schemeClr val="lt1"/>
                </a:solidFill>
              </a:ln>
              <a:effectLst/>
            </c:spPr>
            <c:extLst>
              <c:ext xmlns:c16="http://schemas.microsoft.com/office/drawing/2014/chart" uri="{C3380CC4-5D6E-409C-BE32-E72D297353CC}">
                <c16:uniqueId val="{0000001B-AFDB-48FA-9438-0110C018967F}"/>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1D-AFDB-48FA-9438-0110C018967F}"/>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1F-AFDB-48FA-9438-0110C018967F}"/>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21-AFDB-48FA-9438-0110C018967F}"/>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23-AFDB-48FA-9438-0110C018967F}"/>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25-AFDB-48FA-9438-0110C018967F}"/>
              </c:ext>
            </c:extLst>
          </c:dPt>
          <c:dLbls>
            <c:dLbl>
              <c:idx val="2"/>
              <c:tx>
                <c:rich>
                  <a:bodyPr/>
                  <a:lstStyle/>
                  <a:p>
                    <a:r>
                      <a:rPr lang="en-US" b="1"/>
                      <a:t>Option 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AFDB-48FA-9438-0110C018967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Data'!$G$15:$G$20</c:f>
              <c:numCache>
                <c:formatCode>#,##0_);\(#,##0\);"-  ";" "@" "</c:formatCode>
                <c:ptCount val="6"/>
                <c:pt idx="2">
                  <c:v>1</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26-AFDB-48FA-9438-0110C018967F}"/>
            </c:ext>
          </c:extLst>
        </c:ser>
        <c:ser>
          <c:idx val="1"/>
          <c:order val="3"/>
          <c:dPt>
            <c:idx val="0"/>
            <c:bubble3D val="0"/>
            <c:spPr>
              <a:solidFill>
                <a:schemeClr val="accent6"/>
              </a:solidFill>
              <a:ln w="19050">
                <a:solidFill>
                  <a:schemeClr val="lt1"/>
                </a:solidFill>
              </a:ln>
              <a:effectLst/>
            </c:spPr>
            <c:extLst>
              <c:ext xmlns:c16="http://schemas.microsoft.com/office/drawing/2014/chart" uri="{C3380CC4-5D6E-409C-BE32-E72D297353CC}">
                <c16:uniqueId val="{00000028-AFDB-48FA-9438-0110C018967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2A-AFDB-48FA-9438-0110C018967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2C-AFDB-48FA-9438-0110C018967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E-AFDB-48FA-9438-0110C018967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AFDB-48FA-9438-0110C018967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2-AFDB-48FA-9438-0110C018967F}"/>
              </c:ext>
            </c:extLst>
          </c:dPt>
          <c:dLbls>
            <c:delete val="1"/>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Data'!$D$15:$D$20</c:f>
              <c:numCache>
                <c:formatCode>#,##0_);\(#,##0\);"-  ";" "@" "</c:formatCode>
                <c:ptCount val="6"/>
                <c:pt idx="0">
                  <c:v>0</c:v>
                </c:pt>
                <c:pt idx="1">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33-AFDB-48FA-9438-0110C018967F}"/>
            </c:ext>
          </c:extLst>
        </c:ser>
        <c:ser>
          <c:idx val="5"/>
          <c:order val="4"/>
          <c:spPr>
            <a:solidFill>
              <a:schemeClr val="bg1"/>
            </a:solidFill>
          </c:spPr>
          <c:dPt>
            <c:idx val="0"/>
            <c:bubble3D val="0"/>
            <c:spPr>
              <a:solidFill>
                <a:schemeClr val="bg1"/>
              </a:solidFill>
              <a:ln w="19050">
                <a:solidFill>
                  <a:schemeClr val="lt1"/>
                </a:solidFill>
              </a:ln>
              <a:effectLst/>
            </c:spPr>
            <c:extLst>
              <c:ext xmlns:c16="http://schemas.microsoft.com/office/drawing/2014/chart" uri="{C3380CC4-5D6E-409C-BE32-E72D297353CC}">
                <c16:uniqueId val="{00000035-AFDB-48FA-9438-0110C018967F}"/>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37-AFDB-48FA-9438-0110C018967F}"/>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39-AFDB-48FA-9438-0110C018967F}"/>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3B-AFDB-48FA-9438-0110C018967F}"/>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3D-AFDB-48FA-9438-0110C018967F}"/>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3F-AFDB-48FA-9438-0110C018967F}"/>
              </c:ext>
            </c:extLst>
          </c:dPt>
          <c:dLbls>
            <c:dLbl>
              <c:idx val="3"/>
              <c:tx>
                <c:rich>
                  <a:bodyPr/>
                  <a:lstStyle/>
                  <a:p>
                    <a:r>
                      <a:rPr lang="en-US" b="1"/>
                      <a:t>Option</a:t>
                    </a:r>
                    <a:r>
                      <a:rPr lang="en-US" b="1" baseline="0"/>
                      <a:t> B</a:t>
                    </a:r>
                    <a:endParaRPr lang="en-US" b="1"/>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AFDB-48FA-9438-0110C018967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Data'!$H$15:$H$20</c:f>
              <c:numCache>
                <c:formatCode>#,##0_);\(#,##0\);"-  ";" "@" "</c:formatCode>
                <c:ptCount val="6"/>
                <c:pt idx="3">
                  <c:v>1</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40-AFDB-48FA-9438-0110C018967F}"/>
            </c:ext>
          </c:extLst>
        </c:ser>
        <c:ser>
          <c:idx val="2"/>
          <c:order val="5"/>
          <c:dPt>
            <c:idx val="0"/>
            <c:bubble3D val="0"/>
            <c:spPr>
              <a:solidFill>
                <a:schemeClr val="accent6"/>
              </a:solidFill>
              <a:ln w="19050">
                <a:solidFill>
                  <a:schemeClr val="lt1"/>
                </a:solidFill>
              </a:ln>
              <a:effectLst/>
            </c:spPr>
            <c:extLst>
              <c:ext xmlns:c16="http://schemas.microsoft.com/office/drawing/2014/chart" uri="{C3380CC4-5D6E-409C-BE32-E72D297353CC}">
                <c16:uniqueId val="{00000042-AFDB-48FA-9438-0110C018967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44-AFDB-48FA-9438-0110C018967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46-AFDB-48FA-9438-0110C018967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48-AFDB-48FA-9438-0110C018967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4A-AFDB-48FA-9438-0110C018967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4C-AFDB-48FA-9438-0110C018967F}"/>
              </c:ext>
            </c:extLst>
          </c:dPt>
          <c:dLbls>
            <c:delete val="1"/>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Data'!$E$15:$E$20</c:f>
              <c:numCache>
                <c:formatCode>#,##0_);\(#,##0\);"-  ";" "@" "</c:formatCode>
                <c:ptCount val="6"/>
                <c:pt idx="0">
                  <c:v>0</c:v>
                </c:pt>
                <c:pt idx="1">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4D-AFDB-48FA-9438-0110C018967F}"/>
            </c:ext>
          </c:extLst>
        </c:ser>
        <c:ser>
          <c:idx val="6"/>
          <c:order val="6"/>
          <c:spPr>
            <a:solidFill>
              <a:sysClr val="window" lastClr="FFFFFF"/>
            </a:solidFill>
          </c:spPr>
          <c:dPt>
            <c:idx val="0"/>
            <c:bubble3D val="0"/>
            <c:spPr>
              <a:solidFill>
                <a:sysClr val="window" lastClr="FFFFFF"/>
              </a:solidFill>
              <a:ln w="19050">
                <a:solidFill>
                  <a:schemeClr val="lt1"/>
                </a:solidFill>
              </a:ln>
              <a:effectLst/>
            </c:spPr>
            <c:extLst>
              <c:ext xmlns:c16="http://schemas.microsoft.com/office/drawing/2014/chart" uri="{C3380CC4-5D6E-409C-BE32-E72D297353CC}">
                <c16:uniqueId val="{0000004F-AFDB-48FA-9438-0110C018967F}"/>
              </c:ext>
            </c:extLst>
          </c:dPt>
          <c:dPt>
            <c:idx val="1"/>
            <c:bubble3D val="0"/>
            <c:spPr>
              <a:solidFill>
                <a:sysClr val="window" lastClr="FFFFFF"/>
              </a:solidFill>
              <a:ln w="19050">
                <a:solidFill>
                  <a:schemeClr val="lt1"/>
                </a:solidFill>
              </a:ln>
              <a:effectLst/>
            </c:spPr>
            <c:extLst>
              <c:ext xmlns:c16="http://schemas.microsoft.com/office/drawing/2014/chart" uri="{C3380CC4-5D6E-409C-BE32-E72D297353CC}">
                <c16:uniqueId val="{00000051-AFDB-48FA-9438-0110C018967F}"/>
              </c:ext>
            </c:extLst>
          </c:dPt>
          <c:dPt>
            <c:idx val="2"/>
            <c:bubble3D val="0"/>
            <c:spPr>
              <a:solidFill>
                <a:sysClr val="window" lastClr="FFFFFF"/>
              </a:solidFill>
              <a:ln w="19050">
                <a:solidFill>
                  <a:schemeClr val="lt1"/>
                </a:solidFill>
              </a:ln>
              <a:effectLst/>
            </c:spPr>
            <c:extLst>
              <c:ext xmlns:c16="http://schemas.microsoft.com/office/drawing/2014/chart" uri="{C3380CC4-5D6E-409C-BE32-E72D297353CC}">
                <c16:uniqueId val="{00000053-AFDB-48FA-9438-0110C018967F}"/>
              </c:ext>
            </c:extLst>
          </c:dPt>
          <c:dPt>
            <c:idx val="3"/>
            <c:bubble3D val="0"/>
            <c:spPr>
              <a:solidFill>
                <a:sysClr val="window" lastClr="FFFFFF"/>
              </a:solidFill>
              <a:ln w="19050">
                <a:solidFill>
                  <a:schemeClr val="lt1"/>
                </a:solidFill>
              </a:ln>
              <a:effectLst/>
            </c:spPr>
            <c:extLst>
              <c:ext xmlns:c16="http://schemas.microsoft.com/office/drawing/2014/chart" uri="{C3380CC4-5D6E-409C-BE32-E72D297353CC}">
                <c16:uniqueId val="{00000055-AFDB-48FA-9438-0110C018967F}"/>
              </c:ext>
            </c:extLst>
          </c:dPt>
          <c:dPt>
            <c:idx val="4"/>
            <c:bubble3D val="0"/>
            <c:spPr>
              <a:solidFill>
                <a:sysClr val="window" lastClr="FFFFFF"/>
              </a:solidFill>
              <a:ln w="19050">
                <a:solidFill>
                  <a:schemeClr val="lt1"/>
                </a:solidFill>
              </a:ln>
              <a:effectLst/>
            </c:spPr>
            <c:extLst>
              <c:ext xmlns:c16="http://schemas.microsoft.com/office/drawing/2014/chart" uri="{C3380CC4-5D6E-409C-BE32-E72D297353CC}">
                <c16:uniqueId val="{00000057-AFDB-48FA-9438-0110C018967F}"/>
              </c:ext>
            </c:extLst>
          </c:dPt>
          <c:dPt>
            <c:idx val="5"/>
            <c:bubble3D val="0"/>
            <c:spPr>
              <a:solidFill>
                <a:sysClr val="window" lastClr="FFFFFF"/>
              </a:solidFill>
              <a:ln w="19050">
                <a:solidFill>
                  <a:schemeClr val="lt1"/>
                </a:solidFill>
              </a:ln>
              <a:effectLst/>
            </c:spPr>
            <c:extLst>
              <c:ext xmlns:c16="http://schemas.microsoft.com/office/drawing/2014/chart" uri="{C3380CC4-5D6E-409C-BE32-E72D297353CC}">
                <c16:uniqueId val="{00000059-AFDB-48FA-9438-0110C018967F}"/>
              </c:ext>
            </c:extLst>
          </c:dPt>
          <c:dLbls>
            <c:dLbl>
              <c:idx val="4"/>
              <c:tx>
                <c:rich>
                  <a:bodyPr/>
                  <a:lstStyle/>
                  <a:p>
                    <a:r>
                      <a:rPr lang="en-US" b="1"/>
                      <a:t>Option C</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AFDB-48FA-9438-0110C018967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Data'!$I$15:$I$20</c:f>
              <c:numCache>
                <c:formatCode>#,##0_);\(#,##0\);"-  ";" "@" "</c:formatCode>
                <c:ptCount val="6"/>
                <c:pt idx="4">
                  <c:v>1</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5A-AFDB-48FA-9438-0110C018967F}"/>
            </c:ext>
          </c:extLst>
        </c:ser>
        <c:ser>
          <c:idx val="3"/>
          <c:order val="7"/>
          <c:dPt>
            <c:idx val="0"/>
            <c:bubble3D val="0"/>
            <c:spPr>
              <a:solidFill>
                <a:schemeClr val="accent6"/>
              </a:solidFill>
              <a:ln w="19050">
                <a:solidFill>
                  <a:schemeClr val="lt1"/>
                </a:solidFill>
              </a:ln>
              <a:effectLst/>
            </c:spPr>
            <c:extLst>
              <c:ext xmlns:c16="http://schemas.microsoft.com/office/drawing/2014/chart" uri="{C3380CC4-5D6E-409C-BE32-E72D297353CC}">
                <c16:uniqueId val="{0000005C-AFDB-48FA-9438-0110C018967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5E-AFDB-48FA-9438-0110C018967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60-AFDB-48FA-9438-0110C018967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62-AFDB-48FA-9438-0110C018967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64-AFDB-48FA-9438-0110C018967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66-AFDB-48FA-9438-0110C018967F}"/>
              </c:ext>
            </c:extLst>
          </c:dPt>
          <c:dLbls>
            <c:delete val="1"/>
          </c:dLbls>
          <c:cat>
            <c:strRef>
              <c:f>'DASHBOARD Data'!$B$15:$B$20</c:f>
              <c:strCache>
                <c:ptCount val="6"/>
                <c:pt idx="0">
                  <c:v> Emissions (t.CO2) </c:v>
                </c:pt>
                <c:pt idx="1">
                  <c:v> BAU Saving (t.CO2) </c:v>
                </c:pt>
                <c:pt idx="2">
                  <c:v> Option A </c:v>
                </c:pt>
                <c:pt idx="3">
                  <c:v> Option B </c:v>
                </c:pt>
                <c:pt idx="4">
                  <c:v> Option C </c:v>
                </c:pt>
                <c:pt idx="5">
                  <c:v> BAU </c:v>
                </c:pt>
              </c:strCache>
            </c:strRef>
          </c:cat>
          <c:val>
            <c:numRef>
              <c:f>'DASHBOARD Data'!$F$15:$F$20</c:f>
              <c:numCache>
                <c:formatCode>#,##0_);\(#,##0\);"-  ";" "@" "</c:formatCode>
                <c:ptCount val="6"/>
                <c:pt idx="0">
                  <c:v>0</c:v>
                </c:pt>
                <c:pt idx="1">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67-AFDB-48FA-9438-0110C018967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0.37125438643229136"/>
          <c:y val="0.44405704482175662"/>
          <c:w val="0.28157968292330071"/>
          <c:h val="0.1493979928602511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Remaining Concession</a:t>
            </a:r>
            <a:r>
              <a:rPr lang="en-GB" sz="1400" b="1" baseline="0"/>
              <a:t> Period Costs Analysis</a:t>
            </a:r>
            <a:endParaRPr lang="en-GB"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254504355525382"/>
          <c:y val="0.24368118359031948"/>
          <c:w val="0.88912958552588228"/>
          <c:h val="0.63803000479352989"/>
        </c:manualLayout>
      </c:layout>
      <c:barChart>
        <c:barDir val="bar"/>
        <c:grouping val="stacked"/>
        <c:varyColors val="0"/>
        <c:ser>
          <c:idx val="0"/>
          <c:order val="0"/>
          <c:tx>
            <c:strRef>
              <c:f>'DASHBOARD Data'!$C$25</c:f>
              <c:strCache>
                <c:ptCount val="1"/>
                <c:pt idx="0">
                  <c:v> Capital Costs (£) </c:v>
                </c:pt>
              </c:strCache>
            </c:strRef>
          </c:tx>
          <c:spPr>
            <a:solidFill>
              <a:schemeClr val="accent1"/>
            </a:solidFill>
            <a:ln>
              <a:noFill/>
            </a:ln>
            <a:effectLst/>
            <a:scene3d>
              <a:camera prst="orthographicFront"/>
              <a:lightRig rig="threePt" dir="t"/>
            </a:scene3d>
            <a:sp3d>
              <a:bevelT w="190500" h="38100"/>
            </a:sp3d>
          </c:spPr>
          <c:invertIfNegative val="0"/>
          <c:cat>
            <c:strRef>
              <c:f>'DASHBOARD Data'!$B$26:$B$29</c:f>
              <c:strCache>
                <c:ptCount val="4"/>
                <c:pt idx="0">
                  <c:v> Business As Usual </c:v>
                </c:pt>
                <c:pt idx="1">
                  <c:v> Option A </c:v>
                </c:pt>
                <c:pt idx="2">
                  <c:v> Option B </c:v>
                </c:pt>
                <c:pt idx="3">
                  <c:v> Option C </c:v>
                </c:pt>
              </c:strCache>
            </c:strRef>
          </c:cat>
          <c:val>
            <c:numRef>
              <c:f>'DASHBOARD Data'!$C$26:$C$29</c:f>
              <c:numCache>
                <c:formatCode>#,##0_);\(#,##0\);"-  ";" "@" "</c:formatCode>
                <c:ptCount val="4"/>
                <c:pt idx="0">
                  <c:v>0</c:v>
                </c:pt>
                <c:pt idx="1">
                  <c:v>0</c:v>
                </c:pt>
                <c:pt idx="2">
                  <c:v>0</c:v>
                </c:pt>
                <c:pt idx="3">
                  <c:v>0</c:v>
                </c:pt>
              </c:numCache>
            </c:numRef>
          </c:val>
          <c:extLst>
            <c:ext xmlns:c16="http://schemas.microsoft.com/office/drawing/2014/chart" uri="{C3380CC4-5D6E-409C-BE32-E72D297353CC}">
              <c16:uniqueId val="{00000000-84EB-4737-8DAF-F0B9EC595E8B}"/>
            </c:ext>
          </c:extLst>
        </c:ser>
        <c:ser>
          <c:idx val="1"/>
          <c:order val="1"/>
          <c:tx>
            <c:strRef>
              <c:f>'DASHBOARD Data'!$D$25</c:f>
              <c:strCache>
                <c:ptCount val="1"/>
                <c:pt idx="0">
                  <c:v> Utilities Costs (£) </c:v>
                </c:pt>
              </c:strCache>
            </c:strRef>
          </c:tx>
          <c:spPr>
            <a:solidFill>
              <a:schemeClr val="accent2"/>
            </a:solidFill>
            <a:ln>
              <a:noFill/>
            </a:ln>
            <a:effectLst/>
            <a:scene3d>
              <a:camera prst="orthographicFront"/>
              <a:lightRig rig="threePt" dir="t"/>
            </a:scene3d>
            <a:sp3d>
              <a:bevelT w="190500" h="38100"/>
            </a:sp3d>
          </c:spPr>
          <c:invertIfNegative val="0"/>
          <c:cat>
            <c:strRef>
              <c:f>'DASHBOARD Data'!$B$26:$B$29</c:f>
              <c:strCache>
                <c:ptCount val="4"/>
                <c:pt idx="0">
                  <c:v> Business As Usual </c:v>
                </c:pt>
                <c:pt idx="1">
                  <c:v> Option A </c:v>
                </c:pt>
                <c:pt idx="2">
                  <c:v> Option B </c:v>
                </c:pt>
                <c:pt idx="3">
                  <c:v> Option C </c:v>
                </c:pt>
              </c:strCache>
            </c:strRef>
          </c:cat>
          <c:val>
            <c:numRef>
              <c:f>'DASHBOARD Data'!$D$26:$D$29</c:f>
              <c:numCache>
                <c:formatCode>#,##0_);\(#,##0\);"-  ";" "@" "</c:formatCode>
                <c:ptCount val="4"/>
                <c:pt idx="0">
                  <c:v>0</c:v>
                </c:pt>
                <c:pt idx="1">
                  <c:v>0</c:v>
                </c:pt>
                <c:pt idx="2">
                  <c:v>0</c:v>
                </c:pt>
                <c:pt idx="3">
                  <c:v>0</c:v>
                </c:pt>
              </c:numCache>
            </c:numRef>
          </c:val>
          <c:extLst>
            <c:ext xmlns:c16="http://schemas.microsoft.com/office/drawing/2014/chart" uri="{C3380CC4-5D6E-409C-BE32-E72D297353CC}">
              <c16:uniqueId val="{00000001-84EB-4737-8DAF-F0B9EC595E8B}"/>
            </c:ext>
          </c:extLst>
        </c:ser>
        <c:ser>
          <c:idx val="2"/>
          <c:order val="2"/>
          <c:tx>
            <c:strRef>
              <c:f>'DASHBOARD Data'!$E$25</c:f>
              <c:strCache>
                <c:ptCount val="1"/>
                <c:pt idx="0">
                  <c:v> Lifecycle Cost Differential (£) </c:v>
                </c:pt>
              </c:strCache>
            </c:strRef>
          </c:tx>
          <c:spPr>
            <a:solidFill>
              <a:schemeClr val="accent3"/>
            </a:solidFill>
            <a:ln>
              <a:noFill/>
            </a:ln>
            <a:effectLst/>
            <a:scene3d>
              <a:camera prst="orthographicFront"/>
              <a:lightRig rig="threePt" dir="t"/>
            </a:scene3d>
            <a:sp3d>
              <a:bevelT w="190500" h="38100"/>
            </a:sp3d>
          </c:spPr>
          <c:invertIfNegative val="0"/>
          <c:cat>
            <c:strRef>
              <c:f>'DASHBOARD Data'!$B$26:$B$29</c:f>
              <c:strCache>
                <c:ptCount val="4"/>
                <c:pt idx="0">
                  <c:v> Business As Usual </c:v>
                </c:pt>
                <c:pt idx="1">
                  <c:v> Option A </c:v>
                </c:pt>
                <c:pt idx="2">
                  <c:v> Option B </c:v>
                </c:pt>
                <c:pt idx="3">
                  <c:v> Option C </c:v>
                </c:pt>
              </c:strCache>
            </c:strRef>
          </c:cat>
          <c:val>
            <c:numRef>
              <c:f>'DASHBOARD Data'!$E$26:$E$29</c:f>
              <c:numCache>
                <c:formatCode>#,##0_);\(#,##0\);"-  ";" "@" "</c:formatCode>
                <c:ptCount val="4"/>
                <c:pt idx="0">
                  <c:v>0</c:v>
                </c:pt>
                <c:pt idx="1">
                  <c:v>0</c:v>
                </c:pt>
                <c:pt idx="2">
                  <c:v>0</c:v>
                </c:pt>
                <c:pt idx="3">
                  <c:v>0</c:v>
                </c:pt>
              </c:numCache>
            </c:numRef>
          </c:val>
          <c:extLst>
            <c:ext xmlns:c16="http://schemas.microsoft.com/office/drawing/2014/chart" uri="{C3380CC4-5D6E-409C-BE32-E72D297353CC}">
              <c16:uniqueId val="{00000002-84EB-4737-8DAF-F0B9EC595E8B}"/>
            </c:ext>
          </c:extLst>
        </c:ser>
        <c:ser>
          <c:idx val="3"/>
          <c:order val="3"/>
          <c:tx>
            <c:strRef>
              <c:f>'DASHBOARD Data'!$F$25</c:f>
              <c:strCache>
                <c:ptCount val="1"/>
                <c:pt idx="0">
                  <c:v> Carbon Offset Costs (£) </c:v>
                </c:pt>
              </c:strCache>
            </c:strRef>
          </c:tx>
          <c:spPr>
            <a:solidFill>
              <a:schemeClr val="accent4"/>
            </a:solidFill>
            <a:ln>
              <a:noFill/>
            </a:ln>
            <a:effectLst/>
            <a:scene3d>
              <a:camera prst="orthographicFront"/>
              <a:lightRig rig="threePt" dir="t"/>
            </a:scene3d>
            <a:sp3d>
              <a:bevelT w="190500" h="38100"/>
            </a:sp3d>
          </c:spPr>
          <c:invertIfNegative val="0"/>
          <c:cat>
            <c:strRef>
              <c:f>'DASHBOARD Data'!$B$26:$B$29</c:f>
              <c:strCache>
                <c:ptCount val="4"/>
                <c:pt idx="0">
                  <c:v> Business As Usual </c:v>
                </c:pt>
                <c:pt idx="1">
                  <c:v> Option A </c:v>
                </c:pt>
                <c:pt idx="2">
                  <c:v> Option B </c:v>
                </c:pt>
                <c:pt idx="3">
                  <c:v> Option C </c:v>
                </c:pt>
              </c:strCache>
            </c:strRef>
          </c:cat>
          <c:val>
            <c:numRef>
              <c:f>'DASHBOARD Data'!$F$26:$F$29</c:f>
              <c:numCache>
                <c:formatCode>#,##0_);\(#,##0\);"-  ";" "@" "</c:formatCode>
                <c:ptCount val="4"/>
                <c:pt idx="0">
                  <c:v>0</c:v>
                </c:pt>
                <c:pt idx="1">
                  <c:v>0</c:v>
                </c:pt>
                <c:pt idx="2">
                  <c:v>0</c:v>
                </c:pt>
                <c:pt idx="3">
                  <c:v>0</c:v>
                </c:pt>
              </c:numCache>
            </c:numRef>
          </c:val>
          <c:extLst>
            <c:ext xmlns:c16="http://schemas.microsoft.com/office/drawing/2014/chart" uri="{C3380CC4-5D6E-409C-BE32-E72D297353CC}">
              <c16:uniqueId val="{00000003-84EB-4737-8DAF-F0B9EC595E8B}"/>
            </c:ext>
          </c:extLst>
        </c:ser>
        <c:ser>
          <c:idx val="4"/>
          <c:order val="4"/>
          <c:tx>
            <c:strRef>
              <c:f>'DASHBOARD Data'!$G$25</c:f>
              <c:strCache>
                <c:ptCount val="1"/>
                <c:pt idx="0">
                  <c:v> Loan Repayments (£) </c:v>
                </c:pt>
              </c:strCache>
            </c:strRef>
          </c:tx>
          <c:spPr>
            <a:solidFill>
              <a:schemeClr val="accent5"/>
            </a:solidFill>
            <a:ln>
              <a:noFill/>
            </a:ln>
            <a:effectLst/>
            <a:scene3d>
              <a:camera prst="orthographicFront"/>
              <a:lightRig rig="threePt" dir="t"/>
            </a:scene3d>
            <a:sp3d>
              <a:bevelT w="190500" h="38100"/>
            </a:sp3d>
          </c:spPr>
          <c:invertIfNegative val="0"/>
          <c:cat>
            <c:strRef>
              <c:f>'DASHBOARD Data'!$B$26:$B$29</c:f>
              <c:strCache>
                <c:ptCount val="4"/>
                <c:pt idx="0">
                  <c:v> Business As Usual </c:v>
                </c:pt>
                <c:pt idx="1">
                  <c:v> Option A </c:v>
                </c:pt>
                <c:pt idx="2">
                  <c:v> Option B </c:v>
                </c:pt>
                <c:pt idx="3">
                  <c:v> Option C </c:v>
                </c:pt>
              </c:strCache>
            </c:strRef>
          </c:cat>
          <c:val>
            <c:numRef>
              <c:f>'DASHBOARD Data'!$G$26:$G$29</c:f>
              <c:numCache>
                <c:formatCode>#,##0_);\(#,##0\);"-  ";" "@" "</c:formatCode>
                <c:ptCount val="4"/>
                <c:pt idx="0">
                  <c:v>0</c:v>
                </c:pt>
                <c:pt idx="1">
                  <c:v>0</c:v>
                </c:pt>
                <c:pt idx="2">
                  <c:v>0</c:v>
                </c:pt>
                <c:pt idx="3">
                  <c:v>0</c:v>
                </c:pt>
              </c:numCache>
            </c:numRef>
          </c:val>
          <c:extLst>
            <c:ext xmlns:c16="http://schemas.microsoft.com/office/drawing/2014/chart" uri="{C3380CC4-5D6E-409C-BE32-E72D297353CC}">
              <c16:uniqueId val="{00000004-84EB-4737-8DAF-F0B9EC595E8B}"/>
            </c:ext>
          </c:extLst>
        </c:ser>
        <c:dLbls>
          <c:showLegendKey val="0"/>
          <c:showVal val="0"/>
          <c:showCatName val="0"/>
          <c:showSerName val="0"/>
          <c:showPercent val="0"/>
          <c:showBubbleSize val="0"/>
        </c:dLbls>
        <c:gapWidth val="150"/>
        <c:overlap val="100"/>
        <c:axId val="1316279584"/>
        <c:axId val="1316282536"/>
      </c:barChart>
      <c:catAx>
        <c:axId val="1316279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00" b="1" i="0" u="none" strike="noStrike" kern="1200" baseline="0">
                <a:solidFill>
                  <a:schemeClr val="tx1">
                    <a:lumMod val="65000"/>
                    <a:lumOff val="35000"/>
                  </a:schemeClr>
                </a:solidFill>
                <a:latin typeface="+mn-lt"/>
                <a:ea typeface="+mn-ea"/>
                <a:cs typeface="+mn-cs"/>
              </a:defRPr>
            </a:pPr>
            <a:endParaRPr lang="en-US"/>
          </a:p>
        </c:txPr>
        <c:crossAx val="1316282536"/>
        <c:crosses val="autoZero"/>
        <c:auto val="1"/>
        <c:lblAlgn val="ctr"/>
        <c:lblOffset val="100"/>
        <c:noMultiLvlLbl val="0"/>
      </c:catAx>
      <c:valAx>
        <c:axId val="1316282536"/>
        <c:scaling>
          <c:orientation val="minMax"/>
          <c:max val="10000000"/>
        </c:scaling>
        <c:delete val="0"/>
        <c:axPos val="b"/>
        <c:majorGridlines>
          <c:spPr>
            <a:ln w="9525" cap="flat" cmpd="sng" algn="ctr">
              <a:solidFill>
                <a:schemeClr val="tx1">
                  <a:lumMod val="15000"/>
                  <a:lumOff val="85000"/>
                </a:schemeClr>
              </a:solidFill>
              <a:round/>
            </a:ln>
            <a:effectLst/>
          </c:spPr>
        </c:majorGridlines>
        <c:numFmt formatCode="&quot;£&quot;##,,&quot;m&quot;" sourceLinked="0"/>
        <c:majorTickMark val="none"/>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6279584"/>
        <c:crosses val="autoZero"/>
        <c:crossBetween val="between"/>
        <c:majorUnit val="1000000"/>
      </c:valAx>
      <c:spPr>
        <a:noFill/>
        <a:ln>
          <a:noFill/>
        </a:ln>
        <a:effectLst/>
      </c:spPr>
    </c:plotArea>
    <c:legend>
      <c:legendPos val="t"/>
      <c:layout>
        <c:manualLayout>
          <c:xMode val="edge"/>
          <c:yMode val="edge"/>
          <c:x val="0.11589762563792258"/>
          <c:y val="8.9184456625314115E-2"/>
          <c:w val="0.8322280617037473"/>
          <c:h val="0.10635584211483173"/>
        </c:manualLayout>
      </c:layout>
      <c:overlay val="0"/>
      <c:spPr>
        <a:noFill/>
        <a:ln>
          <a:noFill/>
        </a:ln>
        <a:effectLst/>
      </c:spPr>
      <c:txPr>
        <a:bodyPr rot="0" spcFirstLastPara="1" vertOverflow="ellipsis" vert="horz" wrap="square" anchor="ctr" anchorCtr="0"/>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Savings</a:t>
            </a:r>
            <a:r>
              <a:rPr lang="en-GB" sz="1400" b="1" baseline="0"/>
              <a:t> against Business As Usual</a:t>
            </a:r>
            <a:endParaRPr lang="en-GB" sz="1400" b="1"/>
          </a:p>
        </c:rich>
      </c:tx>
      <c:layout>
        <c:manualLayout>
          <c:xMode val="edge"/>
          <c:yMode val="edge"/>
          <c:x val="0.30840263694360709"/>
          <c:y val="5.7584646028994548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 Data'!$H$25</c:f>
              <c:strCache>
                <c:ptCount val="1"/>
                <c:pt idx="0">
                  <c:v> BAU Saving (£) </c:v>
                </c:pt>
              </c:strCache>
            </c:strRef>
          </c:tx>
          <c:spPr>
            <a:solidFill>
              <a:srgbClr val="0070C0"/>
            </a:solidFill>
            <a:ln>
              <a:noFill/>
            </a:ln>
            <a:effectLst/>
            <a:scene3d>
              <a:camera prst="orthographicFront"/>
              <a:lightRig rig="threePt" dir="t"/>
            </a:scene3d>
            <a:sp3d>
              <a:bevelT w="190500" h="38100"/>
            </a:sp3d>
          </c:spPr>
          <c:invertIfNegative val="0"/>
          <c:dPt>
            <c:idx val="0"/>
            <c:invertIfNegative val="0"/>
            <c:bubble3D val="0"/>
            <c:spPr>
              <a:solidFill>
                <a:srgbClr val="0070C0"/>
              </a:solidFill>
              <a:ln>
                <a:noFill/>
              </a:ln>
              <a:effectLst/>
              <a:scene3d>
                <a:camera prst="orthographicFront"/>
                <a:lightRig rig="threePt" dir="t"/>
              </a:scene3d>
              <a:sp3d>
                <a:bevelT w="190500" h="38100"/>
              </a:sp3d>
            </c:spPr>
            <c:extLst>
              <c:ext xmlns:c16="http://schemas.microsoft.com/office/drawing/2014/chart" uri="{C3380CC4-5D6E-409C-BE32-E72D297353CC}">
                <c16:uniqueId val="{00000001-9C0F-4711-BC95-EE4CE0EAB422}"/>
              </c:ext>
            </c:extLst>
          </c:dPt>
          <c:dPt>
            <c:idx val="1"/>
            <c:invertIfNegative val="0"/>
            <c:bubble3D val="0"/>
            <c:spPr>
              <a:solidFill>
                <a:srgbClr val="0070C0"/>
              </a:solidFill>
              <a:ln>
                <a:noFill/>
              </a:ln>
              <a:effectLst/>
              <a:scene3d>
                <a:camera prst="orthographicFront"/>
                <a:lightRig rig="threePt" dir="t"/>
              </a:scene3d>
              <a:sp3d>
                <a:bevelT w="190500" h="38100"/>
              </a:sp3d>
            </c:spPr>
            <c:extLst>
              <c:ext xmlns:c16="http://schemas.microsoft.com/office/drawing/2014/chart" uri="{C3380CC4-5D6E-409C-BE32-E72D297353CC}">
                <c16:uniqueId val="{00000002-9C0F-4711-BC95-EE4CE0EAB422}"/>
              </c:ext>
            </c:extLst>
          </c:dPt>
          <c:dPt>
            <c:idx val="2"/>
            <c:invertIfNegative val="0"/>
            <c:bubble3D val="0"/>
            <c:spPr>
              <a:solidFill>
                <a:srgbClr val="0070C0"/>
              </a:solidFill>
              <a:ln>
                <a:noFill/>
              </a:ln>
              <a:effectLst/>
              <a:scene3d>
                <a:camera prst="orthographicFront"/>
                <a:lightRig rig="threePt" dir="t"/>
              </a:scene3d>
              <a:sp3d>
                <a:bevelT w="190500" h="38100"/>
              </a:sp3d>
            </c:spPr>
            <c:extLst>
              <c:ext xmlns:c16="http://schemas.microsoft.com/office/drawing/2014/chart" uri="{C3380CC4-5D6E-409C-BE32-E72D297353CC}">
                <c16:uniqueId val="{00000003-9C0F-4711-BC95-EE4CE0EAB422}"/>
              </c:ext>
            </c:extLst>
          </c:dPt>
          <c:dLbls>
            <c:delete val="1"/>
          </c:dLbls>
          <c:cat>
            <c:strRef>
              <c:extLst>
                <c:ext xmlns:c15="http://schemas.microsoft.com/office/drawing/2012/chart" uri="{02D57815-91ED-43cb-92C2-25804820EDAC}">
                  <c15:fullRef>
                    <c15:sqref>'DASHBOARD Data'!$B$26:$B$29</c15:sqref>
                  </c15:fullRef>
                </c:ext>
              </c:extLst>
              <c:f>'DASHBOARD Data'!$B$27:$B$29</c:f>
              <c:strCache>
                <c:ptCount val="3"/>
                <c:pt idx="0">
                  <c:v> Option A </c:v>
                </c:pt>
                <c:pt idx="1">
                  <c:v> Option B </c:v>
                </c:pt>
                <c:pt idx="2">
                  <c:v> Option C </c:v>
                </c:pt>
              </c:strCache>
            </c:strRef>
          </c:cat>
          <c:val>
            <c:numRef>
              <c:extLst>
                <c:ext xmlns:c15="http://schemas.microsoft.com/office/drawing/2012/chart" uri="{02D57815-91ED-43cb-92C2-25804820EDAC}">
                  <c15:fullRef>
                    <c15:sqref>'DASHBOARD Data'!$H$26:$H$29</c15:sqref>
                  </c15:fullRef>
                </c:ext>
              </c:extLst>
              <c:f>'DASHBOARD Data'!$H$27:$H$29</c:f>
              <c:numCache>
                <c:formatCode>#,##0_);\(#,##0\);"-  ";" "@" "</c:formatCode>
                <c:ptCount val="3"/>
                <c:pt idx="0">
                  <c:v>0</c:v>
                </c:pt>
                <c:pt idx="1">
                  <c:v>0</c:v>
                </c:pt>
                <c:pt idx="2">
                  <c:v>0</c:v>
                </c:pt>
              </c:numCache>
            </c:numRef>
          </c:val>
          <c:extLst>
            <c:ext xmlns:c16="http://schemas.microsoft.com/office/drawing/2014/chart" uri="{C3380CC4-5D6E-409C-BE32-E72D297353CC}">
              <c16:uniqueId val="{00000000-5C1A-4BFE-A0A6-5693FAB799CE}"/>
            </c:ext>
          </c:extLst>
        </c:ser>
        <c:dLbls>
          <c:dLblPos val="outEnd"/>
          <c:showLegendKey val="0"/>
          <c:showVal val="1"/>
          <c:showCatName val="0"/>
          <c:showSerName val="0"/>
          <c:showPercent val="0"/>
          <c:showBubbleSize val="0"/>
        </c:dLbls>
        <c:gapWidth val="219"/>
        <c:axId val="1320287488"/>
        <c:axId val="1320288144"/>
      </c:barChart>
      <c:lineChart>
        <c:grouping val="standard"/>
        <c:varyColors val="0"/>
        <c:ser>
          <c:idx val="1"/>
          <c:order val="1"/>
          <c:tx>
            <c:strRef>
              <c:f>'DASHBOARD Data'!$I$25</c:f>
              <c:strCache>
                <c:ptCount val="1"/>
                <c:pt idx="0">
                  <c:v> BAU Saving (t.CO2) </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'DASHBOARD Data'!$B$26:$B$29</c15:sqref>
                  </c15:fullRef>
                </c:ext>
              </c:extLst>
              <c:f>'DASHBOARD Data'!$B$27:$B$29</c:f>
              <c:strCache>
                <c:ptCount val="3"/>
                <c:pt idx="0">
                  <c:v> Option A </c:v>
                </c:pt>
                <c:pt idx="1">
                  <c:v> Option B </c:v>
                </c:pt>
                <c:pt idx="2">
                  <c:v> Option C </c:v>
                </c:pt>
              </c:strCache>
            </c:strRef>
          </c:cat>
          <c:val>
            <c:numRef>
              <c:extLst>
                <c:ext xmlns:c15="http://schemas.microsoft.com/office/drawing/2012/chart" uri="{02D57815-91ED-43cb-92C2-25804820EDAC}">
                  <c15:fullRef>
                    <c15:sqref>'DASHBOARD Data'!$I$26:$I$29</c15:sqref>
                  </c15:fullRef>
                </c:ext>
              </c:extLst>
              <c:f>'DASHBOARD Data'!$I$27:$I$29</c:f>
              <c:numCache>
                <c:formatCode>#,##0_);\(#,##0\);"-  ";" "@" "</c:formatCode>
                <c:ptCount val="3"/>
                <c:pt idx="0">
                  <c:v>0</c:v>
                </c:pt>
                <c:pt idx="1">
                  <c:v>0</c:v>
                </c:pt>
                <c:pt idx="2">
                  <c:v>0</c:v>
                </c:pt>
              </c:numCache>
            </c:numRef>
          </c:val>
          <c:smooth val="1"/>
          <c:extLst>
            <c:ext xmlns:c16="http://schemas.microsoft.com/office/drawing/2014/chart" uri="{C3380CC4-5D6E-409C-BE32-E72D297353CC}">
              <c16:uniqueId val="{00000001-5C1A-4BFE-A0A6-5693FAB799CE}"/>
            </c:ext>
          </c:extLst>
        </c:ser>
        <c:dLbls>
          <c:showLegendKey val="0"/>
          <c:showVal val="0"/>
          <c:showCatName val="0"/>
          <c:showSerName val="0"/>
          <c:showPercent val="0"/>
          <c:showBubbleSize val="0"/>
        </c:dLbls>
        <c:marker val="1"/>
        <c:smooth val="0"/>
        <c:axId val="801311936"/>
        <c:axId val="801307344"/>
      </c:lineChart>
      <c:catAx>
        <c:axId val="132028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0288144"/>
        <c:crosses val="autoZero"/>
        <c:auto val="1"/>
        <c:lblAlgn val="ctr"/>
        <c:lblOffset val="100"/>
        <c:noMultiLvlLbl val="0"/>
      </c:catAx>
      <c:valAx>
        <c:axId val="1320288144"/>
        <c:scaling>
          <c:orientation val="minMax"/>
        </c:scaling>
        <c:delete val="0"/>
        <c:axPos val="l"/>
        <c:majorGridlines>
          <c:spPr>
            <a:ln w="9525" cap="flat" cmpd="sng" algn="ctr">
              <a:solidFill>
                <a:schemeClr val="tx1">
                  <a:lumMod val="15000"/>
                  <a:lumOff val="85000"/>
                </a:schemeClr>
              </a:solidFill>
              <a:round/>
            </a:ln>
            <a:effectLst/>
          </c:spPr>
        </c:majorGridlines>
        <c:numFmt formatCode="#,&quot;k&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0287488"/>
        <c:crosses val="autoZero"/>
        <c:crossBetween val="between"/>
      </c:valAx>
      <c:valAx>
        <c:axId val="8013073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t.CO2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k&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311936"/>
        <c:crosses val="max"/>
        <c:crossBetween val="between"/>
      </c:valAx>
      <c:catAx>
        <c:axId val="801311936"/>
        <c:scaling>
          <c:orientation val="minMax"/>
        </c:scaling>
        <c:delete val="1"/>
        <c:axPos val="b"/>
        <c:numFmt formatCode="General" sourceLinked="1"/>
        <c:majorTickMark val="out"/>
        <c:minorTickMark val="none"/>
        <c:tickLblPos val="nextTo"/>
        <c:crossAx val="80130734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a:t>ECM Options Cumulative Cashflow Forecast</a:t>
            </a:r>
          </a:p>
        </c:rich>
      </c:tx>
      <c:layout>
        <c:manualLayout>
          <c:xMode val="edge"/>
          <c:yMode val="edge"/>
          <c:x val="0.35888480113700588"/>
          <c:y val="2.2958178374072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164139210759963E-2"/>
          <c:y val="0.16708334686928722"/>
          <c:w val="0.87617197163289284"/>
          <c:h val="0.6803895252953498"/>
        </c:manualLayout>
      </c:layout>
      <c:lineChart>
        <c:grouping val="standard"/>
        <c:varyColors val="0"/>
        <c:ser>
          <c:idx val="0"/>
          <c:order val="0"/>
          <c:tx>
            <c:strRef>
              <c:f>'Cumulative Analysis'!$A$7</c:f>
              <c:strCache>
                <c:ptCount val="1"/>
                <c:pt idx="0">
                  <c:v> Option A Cashflow  </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Analysis'!$B$7:$V$7</c15:sqref>
                  </c15:fullRef>
                </c:ext>
              </c:extLst>
              <c:f>'Cumulative Analysis'!$B$7:$R$7</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0-31E8-4951-9A8F-B93EEA5BDDA3}"/>
            </c:ext>
          </c:extLst>
        </c:ser>
        <c:ser>
          <c:idx val="1"/>
          <c:order val="1"/>
          <c:tx>
            <c:strRef>
              <c:f>'Cumulative Analysis'!$A$8</c:f>
              <c:strCache>
                <c:ptCount val="1"/>
                <c:pt idx="0">
                  <c:v> Option B Cashflow </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Analysis'!$B$8:$V$8</c15:sqref>
                  </c15:fullRef>
                </c:ext>
              </c:extLst>
              <c:f>'Cumulative Analysis'!$B$8:$R$8</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1-31E8-4951-9A8F-B93EEA5BDDA3}"/>
            </c:ext>
          </c:extLst>
        </c:ser>
        <c:ser>
          <c:idx val="2"/>
          <c:order val="2"/>
          <c:tx>
            <c:strRef>
              <c:f>'Cumulative Analysis'!$A$9</c:f>
              <c:strCache>
                <c:ptCount val="1"/>
                <c:pt idx="0">
                  <c:v> Option C Cashflow </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'Cumulative Analysis'!$B$1:$V$1</c15:sqref>
                  </c15:fullRef>
                </c:ext>
              </c:extLst>
              <c:f>'Cumulative Analysis'!$B$1:$R$1</c:f>
              <c:strCache>
                <c:ptCount val="17"/>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0</c:v>
                </c:pt>
                <c:pt idx="16">
                  <c:v>0</c:v>
                </c:pt>
              </c:strCache>
            </c:strRef>
          </c:cat>
          <c:val>
            <c:numRef>
              <c:extLst>
                <c:ext xmlns:c15="http://schemas.microsoft.com/office/drawing/2012/chart" uri="{02D57815-91ED-43cb-92C2-25804820EDAC}">
                  <c15:fullRef>
                    <c15:sqref>'Cumulative Analysis'!$B$9:$V$9</c15:sqref>
                  </c15:fullRef>
                </c:ext>
              </c:extLst>
              <c:f>'Cumulative Analysis'!$B$9:$R$9</c:f>
              <c:numCache>
                <c:formatCode>#,##0_);\(#,##0\);"-  ";" "@"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1"/>
          <c:extLst>
            <c:ext xmlns:c16="http://schemas.microsoft.com/office/drawing/2014/chart" uri="{C3380CC4-5D6E-409C-BE32-E72D297353CC}">
              <c16:uniqueId val="{00000002-31E8-4951-9A8F-B93EEA5BDDA3}"/>
            </c:ext>
          </c:extLst>
        </c:ser>
        <c:dLbls>
          <c:showLegendKey val="0"/>
          <c:showVal val="0"/>
          <c:showCatName val="0"/>
          <c:showSerName val="0"/>
          <c:showPercent val="0"/>
          <c:showBubbleSize val="0"/>
        </c:dLbls>
        <c:smooth val="0"/>
        <c:axId val="796838248"/>
        <c:axId val="796842840"/>
      </c:lineChart>
      <c:catAx>
        <c:axId val="796838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96842840"/>
        <c:crosses val="autoZero"/>
        <c:auto val="1"/>
        <c:lblAlgn val="ctr"/>
        <c:lblOffset val="100"/>
        <c:noMultiLvlLbl val="0"/>
      </c:catAx>
      <c:valAx>
        <c:axId val="7968428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838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Capital Funding</a:t>
            </a:r>
          </a:p>
        </c:rich>
      </c:tx>
      <c:overlay val="0"/>
      <c:spPr>
        <a:noFill/>
        <a:ln>
          <a:noFill/>
        </a:ln>
        <a:effectLst/>
      </c:spPr>
    </c:title>
    <c:autoTitleDeleted val="0"/>
    <c:plotArea>
      <c:layout>
        <c:manualLayout>
          <c:layoutTarget val="inner"/>
          <c:xMode val="edge"/>
          <c:yMode val="edge"/>
          <c:x val="7.0548635988995537E-2"/>
          <c:y val="0.28868832067819888"/>
          <c:w val="0.91059661223021326"/>
          <c:h val="0.69587359350817757"/>
        </c:manualLayout>
      </c:layout>
      <c:areaChart>
        <c:grouping val="standard"/>
        <c:varyColors val="0"/>
        <c:ser>
          <c:idx val="1"/>
          <c:order val="0"/>
          <c:spPr>
            <a:ln w="25400"/>
          </c:spPr>
          <c:cat>
            <c:numRef>
              <c:f>'Option A Outcome'!$D$20:$X$20</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'Option A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A8CB-4C06-A57F-EB034BBEF157}"/>
            </c:ext>
          </c:extLst>
        </c:ser>
        <c:ser>
          <c:idx val="0"/>
          <c:order val="1"/>
          <c:spPr>
            <a:solidFill>
              <a:schemeClr val="accent1"/>
            </a:solidFill>
            <a:ln w="25400">
              <a:noFill/>
            </a:ln>
            <a:effectLst/>
          </c:spPr>
          <c:cat>
            <c:numRef>
              <c:f>'Option A Outcome'!$D$20:$X$20</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'Option A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A8CB-4C06-A57F-EB034BBEF157}"/>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With Finance</a:t>
            </a:r>
          </a:p>
        </c:rich>
      </c:tx>
      <c:overlay val="0"/>
      <c:spPr>
        <a:noFill/>
        <a:ln>
          <a:noFill/>
        </a:ln>
        <a:effectLst/>
      </c:spPr>
    </c:title>
    <c:autoTitleDeleted val="0"/>
    <c:plotArea>
      <c:layout>
        <c:manualLayout>
          <c:layoutTarget val="inner"/>
          <c:xMode val="edge"/>
          <c:yMode val="edge"/>
          <c:x val="6.9348147869995949E-2"/>
          <c:y val="0.25353353371297904"/>
          <c:w val="0.91059661223021326"/>
          <c:h val="0.69587359350817757"/>
        </c:manualLayout>
      </c:layout>
      <c:areaChart>
        <c:grouping val="standard"/>
        <c:varyColors val="0"/>
        <c:ser>
          <c:idx val="0"/>
          <c:order val="0"/>
          <c:spPr>
            <a:solidFill>
              <a:schemeClr val="accent1"/>
            </a:solidFill>
            <a:ln w="25400">
              <a:noFill/>
            </a:ln>
            <a:effectLst/>
          </c:spPr>
          <c:cat>
            <c:numRef>
              <c:f>'Option A Outcome'!$D$20:$X$20</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'Option A Outcome'!$D$61:$X$61</c:f>
              <c:numCache>
                <c:formatCode>_-"£"* #,##0_-;\-"£"* #,##0_-;_-"£"* "-"??_-;_-@_-</c:formatCode>
                <c:ptCount val="21"/>
                <c:pt idx="0">
                  <c:v>0</c:v>
                </c:pt>
                <c:pt idx="1">
                  <c:v>0</c:v>
                </c:pt>
                <c:pt idx="2" formatCode="&quot;£&quot;#,##0_);\(&quot;£&quot;#,##0\)">
                  <c:v>0</c:v>
                </c:pt>
                <c:pt idx="3" formatCode="&quot;£&quot;#,##0_);\(&quot;£&quot;#,##0\)">
                  <c:v>0</c:v>
                </c:pt>
                <c:pt idx="4" formatCode="&quot;£&quot;#,##0_);\(&quot;£&quot;#,##0\)">
                  <c:v>0</c:v>
                </c:pt>
                <c:pt idx="5" formatCode="&quot;£&quot;#,##0_);\(&quot;£&quot;#,##0\)">
                  <c:v>0</c:v>
                </c:pt>
                <c:pt idx="6" formatCode="&quot;£&quot;#,##0_);\(&quot;£&quot;#,##0\)">
                  <c:v>0</c:v>
                </c:pt>
                <c:pt idx="7" formatCode="&quot;£&quot;#,##0_);\(&quot;£&quot;#,##0\)">
                  <c:v>0</c:v>
                </c:pt>
                <c:pt idx="8" formatCode="&quot;£&quot;#,##0_);\(&quot;£&quot;#,##0\)">
                  <c:v>0</c:v>
                </c:pt>
                <c:pt idx="9" formatCode="&quot;£&quot;#,##0_);\(&quot;£&quot;#,##0\)">
                  <c:v>0</c:v>
                </c:pt>
                <c:pt idx="10" formatCode="&quot;£&quot;#,##0_);\(&quot;£&quot;#,##0\)">
                  <c:v>0</c:v>
                </c:pt>
                <c:pt idx="11" formatCode="&quot;£&quot;#,##0_);\(&quot;£&quot;#,##0\)">
                  <c:v>0</c:v>
                </c:pt>
                <c:pt idx="12" formatCode="&quot;£&quot;#,##0_);\(&quot;£&quot;#,##0\)">
                  <c:v>0</c:v>
                </c:pt>
                <c:pt idx="13" formatCode="&quot;£&quot;#,##0_);\(&quot;£&quot;#,##0\)">
                  <c:v>0</c:v>
                </c:pt>
                <c:pt idx="14" formatCode="&quot;£&quot;#,##0_);\(&quot;£&quot;#,##0\)">
                  <c:v>0</c:v>
                </c:pt>
                <c:pt idx="15" formatCode="&quot;£&quot;#,##0_);\(&quot;£&quot;#,##0\)">
                  <c:v>0</c:v>
                </c:pt>
                <c:pt idx="16" formatCode="&quot;£&quot;#,##0_);\(&quot;£&quot;#,##0\)">
                  <c:v>0</c:v>
                </c:pt>
                <c:pt idx="17" formatCode="&quot;£&quot;#,##0_);\(&quot;£&quot;#,##0\)">
                  <c:v>0</c:v>
                </c:pt>
                <c:pt idx="18" formatCode="&quot;£&quot;#,##0_);\(&quot;£&quot;#,##0\)">
                  <c:v>0</c:v>
                </c:pt>
                <c:pt idx="19" formatCode="&quot;£&quot;#,##0_);\(&quot;£&quot;#,##0\)">
                  <c:v>0</c:v>
                </c:pt>
                <c:pt idx="20" formatCode="&quot;£&quot;#,##0_);\(&quot;£&quot;#,##0\)">
                  <c:v>0</c:v>
                </c:pt>
              </c:numCache>
            </c:numRef>
          </c:val>
          <c:extLst>
            <c:ext xmlns:c16="http://schemas.microsoft.com/office/drawing/2014/chart" uri="{C3380CC4-5D6E-409C-BE32-E72D297353CC}">
              <c16:uniqueId val="{00000001-72B3-42C4-95DA-9B45639503F8}"/>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Cashflow - Capital Funding</a:t>
            </a:r>
          </a:p>
        </c:rich>
      </c:tx>
      <c:overlay val="0"/>
      <c:spPr>
        <a:noFill/>
        <a:ln>
          <a:noFill/>
        </a:ln>
        <a:effectLst/>
      </c:spPr>
    </c:title>
    <c:autoTitleDeleted val="0"/>
    <c:plotArea>
      <c:layout>
        <c:manualLayout>
          <c:layoutTarget val="inner"/>
          <c:xMode val="edge"/>
          <c:yMode val="edge"/>
          <c:x val="6.9348147869995949E-2"/>
          <c:y val="0.25353353371297904"/>
          <c:w val="0.91059661223021326"/>
          <c:h val="0.69587359350817757"/>
        </c:manualLayout>
      </c:layout>
      <c:areaChart>
        <c:grouping val="standard"/>
        <c:varyColors val="0"/>
        <c:ser>
          <c:idx val="1"/>
          <c:order val="0"/>
          <c:spPr>
            <a:ln w="25400"/>
          </c:spPr>
          <c:cat>
            <c:numRef>
              <c:f>'Option B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B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6305-4E8D-A644-059CB69B49C7}"/>
            </c:ext>
          </c:extLst>
        </c:ser>
        <c:ser>
          <c:idx val="0"/>
          <c:order val="1"/>
          <c:spPr>
            <a:solidFill>
              <a:schemeClr val="accent1"/>
            </a:solidFill>
            <a:ln w="25400">
              <a:noFill/>
            </a:ln>
            <a:effectLst/>
          </c:spPr>
          <c:cat>
            <c:numRef>
              <c:f>'Option B Outcome'!$D$20:$X$20</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'Option B Outcome'!$D$57:$X$57</c:f>
              <c:numCache>
                <c:formatCode>_-"£"* #,##0_-;\-"£"* #,##0_-;_-"£"*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6305-4E8D-A644-059CB69B49C7}"/>
            </c:ext>
          </c:extLst>
        </c:ser>
        <c:dLbls>
          <c:showLegendKey val="0"/>
          <c:showVal val="0"/>
          <c:showCatName val="0"/>
          <c:showSerName val="0"/>
          <c:showPercent val="0"/>
          <c:showBubbleSize val="0"/>
        </c:dLbls>
        <c:axId val="571804184"/>
        <c:axId val="698993600"/>
      </c:areaChart>
      <c:catAx>
        <c:axId val="571804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993600"/>
        <c:crosses val="autoZero"/>
        <c:auto val="1"/>
        <c:lblAlgn val="ctr"/>
        <c:lblOffset val="100"/>
        <c:noMultiLvlLbl val="0"/>
      </c:catAx>
      <c:valAx>
        <c:axId val="698993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804184"/>
        <c:crosses val="autoZero"/>
        <c:crossBetween val="midCat"/>
      </c:valAx>
    </c:plotArea>
    <c:plotVisOnly val="1"/>
    <c:dispBlanksAs val="zero"/>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12.xml"/><Relationship Id="rId1" Type="http://schemas.openxmlformats.org/officeDocument/2006/relationships/chart" Target="../charts/chart11.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95250</xdr:colOff>
      <xdr:row>4</xdr:row>
      <xdr:rowOff>133349</xdr:rowOff>
    </xdr:from>
    <xdr:to>
      <xdr:col>13</xdr:col>
      <xdr:colOff>409575</xdr:colOff>
      <xdr:row>23</xdr:row>
      <xdr:rowOff>123825</xdr:rowOff>
    </xdr:to>
    <xdr:sp macro="" textlink="">
      <xdr:nvSpPr>
        <xdr:cNvPr id="2" name="Rectangle: Rounded Corners 1">
          <a:extLst>
            <a:ext uri="{FF2B5EF4-FFF2-40B4-BE49-F238E27FC236}">
              <a16:creationId xmlns:a16="http://schemas.microsoft.com/office/drawing/2014/main" id="{99E8A0EC-4776-40F8-B6EF-BA2D556E9BA5}"/>
            </a:ext>
          </a:extLst>
        </xdr:cNvPr>
        <xdr:cNvSpPr/>
      </xdr:nvSpPr>
      <xdr:spPr>
        <a:xfrm>
          <a:off x="371475" y="942974"/>
          <a:ext cx="5648325" cy="3609976"/>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2000" b="1" u="none">
              <a:latin typeface="+mn-lt"/>
            </a:rPr>
            <a:t> SFT Disclaimer</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u="none">
              <a:latin typeface="+mn-lt"/>
            </a:rPr>
            <a:t>This Energy Conservation Measures (ECM) Whole Life Cost Tool has been produced as part of a wider suite of guidance, SFT guidance on pathways to net zero for assets delivered under PPP contracts.</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u="none">
              <a:latin typeface="+mn-lt"/>
            </a:rPr>
            <a:t>This toolkit is to support ongoing operational PPP projects by providing a tool to develop, assess, report, understand and refine whole life ECM outcomes within operational PPPP projects. The Toolkit is not intended, and should not be used as the sole basis for investment decision making as this should be done as part of a formal business case process.  As between any user of the Whole Life Appraisal Toolkit and the Toolkit Authors and SFT, each of  SFT and the Toolkit Authors accept</a:t>
          </a:r>
          <a:r>
            <a:rPr lang="en-GB" sz="1100" b="0" u="none" baseline="0">
              <a:latin typeface="+mn-lt"/>
            </a:rPr>
            <a:t> </a:t>
          </a:r>
          <a:r>
            <a:rPr lang="en-GB" sz="1100" b="0" u="none">
              <a:latin typeface="+mn-lt"/>
            </a:rPr>
            <a:t>no duty of care for the contents of the Toolkit or its use. </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u="none">
              <a:latin typeface="+mn-l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u="none">
              <a:latin typeface="+mn-lt"/>
            </a:rPr>
            <a:t>Accordingly, regardless of the form of action,  whether in contract, dialogue or otherwise, and to the extent permitted by applicable law, each of SFT and  the Toolkit  Authors accept no liability of any kind and disclaim all responsibility for the consequences of any such user acting or refraining to act in reliance of the Toolkit.</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b="0" u="none">
            <a:latin typeface="+mn-lt"/>
          </a:endParaRPr>
        </a:p>
      </xdr:txBody>
    </xdr:sp>
    <xdr:clientData/>
  </xdr:twoCellAnchor>
  <xdr:twoCellAnchor>
    <xdr:from>
      <xdr:col>2</xdr:col>
      <xdr:colOff>285750</xdr:colOff>
      <xdr:row>31</xdr:row>
      <xdr:rowOff>93195</xdr:rowOff>
    </xdr:from>
    <xdr:to>
      <xdr:col>13</xdr:col>
      <xdr:colOff>351692</xdr:colOff>
      <xdr:row>51</xdr:row>
      <xdr:rowOff>147027</xdr:rowOff>
    </xdr:to>
    <xdr:grpSp>
      <xdr:nvGrpSpPr>
        <xdr:cNvPr id="13" name="Group 12">
          <a:extLst>
            <a:ext uri="{FF2B5EF4-FFF2-40B4-BE49-F238E27FC236}">
              <a16:creationId xmlns:a16="http://schemas.microsoft.com/office/drawing/2014/main" id="{C431F0EA-A9D8-43A2-B789-AC43ABB4D8B4}"/>
            </a:ext>
          </a:extLst>
        </xdr:cNvPr>
        <xdr:cNvGrpSpPr/>
      </xdr:nvGrpSpPr>
      <xdr:grpSpPr>
        <a:xfrm>
          <a:off x="1174750" y="6919445"/>
          <a:ext cx="6267775" cy="3863832"/>
          <a:chOff x="565253" y="6233157"/>
          <a:chExt cx="6153409" cy="3863832"/>
        </a:xfrm>
      </xdr:grpSpPr>
      <xdr:sp macro="" textlink="">
        <xdr:nvSpPr>
          <xdr:cNvPr id="3" name="Rectangle: Rounded Corners 2">
            <a:extLst>
              <a:ext uri="{FF2B5EF4-FFF2-40B4-BE49-F238E27FC236}">
                <a16:creationId xmlns:a16="http://schemas.microsoft.com/office/drawing/2014/main" id="{0E2263A1-AF5A-41F6-85E1-5C4FECB3FEE5}"/>
              </a:ext>
            </a:extLst>
          </xdr:cNvPr>
          <xdr:cNvSpPr/>
        </xdr:nvSpPr>
        <xdr:spPr>
          <a:xfrm>
            <a:off x="606184" y="6233157"/>
            <a:ext cx="6107723" cy="315595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Rectangle: Rounded Corners 3">
            <a:extLst>
              <a:ext uri="{FF2B5EF4-FFF2-40B4-BE49-F238E27FC236}">
                <a16:creationId xmlns:a16="http://schemas.microsoft.com/office/drawing/2014/main" id="{AF6EAD63-C365-49FB-A57D-2F913CF24E28}"/>
              </a:ext>
            </a:extLst>
          </xdr:cNvPr>
          <xdr:cNvSpPr/>
        </xdr:nvSpPr>
        <xdr:spPr>
          <a:xfrm>
            <a:off x="743929" y="6874364"/>
            <a:ext cx="930031" cy="1816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Project Data Input,</a:t>
            </a:r>
            <a:r>
              <a:rPr lang="en-GB" sz="1100" b="1" baseline="0"/>
              <a:t> ECM Options Input and ECM Options Lifecycle Analysis</a:t>
            </a:r>
            <a:endParaRPr lang="en-GB" sz="1100" b="1"/>
          </a:p>
        </xdr:txBody>
      </xdr:sp>
      <xdr:sp macro="" textlink="">
        <xdr:nvSpPr>
          <xdr:cNvPr id="6" name="Rectangle: Rounded Corners 5">
            <a:extLst>
              <a:ext uri="{FF2B5EF4-FFF2-40B4-BE49-F238E27FC236}">
                <a16:creationId xmlns:a16="http://schemas.microsoft.com/office/drawing/2014/main" id="{737A6383-859D-4124-AD41-C8EB042A66E2}"/>
              </a:ext>
            </a:extLst>
          </xdr:cNvPr>
          <xdr:cNvSpPr/>
        </xdr:nvSpPr>
        <xdr:spPr>
          <a:xfrm>
            <a:off x="1966060" y="7322039"/>
            <a:ext cx="923681" cy="933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Dashboard Options  Selection</a:t>
            </a:r>
          </a:p>
        </xdr:txBody>
      </xdr:sp>
      <xdr:sp macro="" textlink="">
        <xdr:nvSpPr>
          <xdr:cNvPr id="9" name="Rectangle: Rounded Corners 8">
            <a:extLst>
              <a:ext uri="{FF2B5EF4-FFF2-40B4-BE49-F238E27FC236}">
                <a16:creationId xmlns:a16="http://schemas.microsoft.com/office/drawing/2014/main" id="{946C66D9-DDB0-460C-9798-F83D97B08F2F}"/>
              </a:ext>
            </a:extLst>
          </xdr:cNvPr>
          <xdr:cNvSpPr/>
        </xdr:nvSpPr>
        <xdr:spPr>
          <a:xfrm>
            <a:off x="4778866" y="7175012"/>
            <a:ext cx="1060206" cy="1193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Dashboard Comparison and Summary Outcomes</a:t>
            </a:r>
          </a:p>
        </xdr:txBody>
      </xdr:sp>
      <xdr:sp macro="" textlink="">
        <xdr:nvSpPr>
          <xdr:cNvPr id="10" name="Rectangle: Rounded Corners 9">
            <a:extLst>
              <a:ext uri="{FF2B5EF4-FFF2-40B4-BE49-F238E27FC236}">
                <a16:creationId xmlns:a16="http://schemas.microsoft.com/office/drawing/2014/main" id="{29C4DCE2-6B16-42CC-9F72-EE9D496D7757}"/>
              </a:ext>
            </a:extLst>
          </xdr:cNvPr>
          <xdr:cNvSpPr/>
        </xdr:nvSpPr>
        <xdr:spPr>
          <a:xfrm>
            <a:off x="3131041" y="6499714"/>
            <a:ext cx="1236296" cy="79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u="sng"/>
              <a:t>Option A </a:t>
            </a:r>
            <a:r>
              <a:rPr lang="en-GB" sz="1100" b="1"/>
              <a:t>Outcomes Worksheet</a:t>
            </a:r>
          </a:p>
        </xdr:txBody>
      </xdr:sp>
      <xdr:sp macro="" textlink="">
        <xdr:nvSpPr>
          <xdr:cNvPr id="11" name="Rectangle: Rounded Corners 10">
            <a:extLst>
              <a:ext uri="{FF2B5EF4-FFF2-40B4-BE49-F238E27FC236}">
                <a16:creationId xmlns:a16="http://schemas.microsoft.com/office/drawing/2014/main" id="{8A11AF3E-D24B-465C-95DC-D63E68E43F67}"/>
              </a:ext>
            </a:extLst>
          </xdr:cNvPr>
          <xdr:cNvSpPr/>
        </xdr:nvSpPr>
        <xdr:spPr>
          <a:xfrm>
            <a:off x="3157906" y="7382364"/>
            <a:ext cx="1234831" cy="79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Option B</a:t>
            </a:r>
            <a:r>
              <a:rPr lang="en-GB" sz="1100" b="1" baseline="0"/>
              <a:t> Outcomes</a:t>
            </a:r>
            <a:r>
              <a:rPr lang="en-GB" sz="1100" b="1"/>
              <a:t> Worksheet</a:t>
            </a:r>
          </a:p>
        </xdr:txBody>
      </xdr:sp>
      <xdr:sp macro="" textlink="">
        <xdr:nvSpPr>
          <xdr:cNvPr id="12" name="Rectangle: Rounded Corners 11">
            <a:extLst>
              <a:ext uri="{FF2B5EF4-FFF2-40B4-BE49-F238E27FC236}">
                <a16:creationId xmlns:a16="http://schemas.microsoft.com/office/drawing/2014/main" id="{DBBD3907-FF0F-4E3F-98EE-565774EF1DA6}"/>
              </a:ext>
            </a:extLst>
          </xdr:cNvPr>
          <xdr:cNvSpPr/>
        </xdr:nvSpPr>
        <xdr:spPr>
          <a:xfrm>
            <a:off x="3131041" y="8347564"/>
            <a:ext cx="1236296" cy="79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Option C</a:t>
            </a:r>
            <a:r>
              <a:rPr lang="en-GB" sz="1100" b="1" baseline="0"/>
              <a:t> Outcomes </a:t>
            </a:r>
            <a:r>
              <a:rPr lang="en-GB" sz="1100" b="1"/>
              <a:t>Worksheet</a:t>
            </a:r>
          </a:p>
        </xdr:txBody>
      </xdr:sp>
      <xdr:cxnSp macro="">
        <xdr:nvCxnSpPr>
          <xdr:cNvPr id="14" name="Straight Arrow Connector 13">
            <a:extLst>
              <a:ext uri="{FF2B5EF4-FFF2-40B4-BE49-F238E27FC236}">
                <a16:creationId xmlns:a16="http://schemas.microsoft.com/office/drawing/2014/main" id="{0E919252-5E1E-45B6-ADDF-D590C27A139D}"/>
              </a:ext>
            </a:extLst>
          </xdr:cNvPr>
          <xdr:cNvCxnSpPr>
            <a:stCxn id="4" idx="3"/>
            <a:endCxn id="6" idx="1"/>
          </xdr:cNvCxnSpPr>
        </xdr:nvCxnSpPr>
        <xdr:spPr>
          <a:xfrm>
            <a:off x="1673960" y="7782414"/>
            <a:ext cx="2921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A487EDE9-206F-4391-A00D-DB9FEF3B7CBC}"/>
              </a:ext>
            </a:extLst>
          </xdr:cNvPr>
          <xdr:cNvCxnSpPr>
            <a:stCxn id="6" idx="3"/>
          </xdr:cNvCxnSpPr>
        </xdr:nvCxnSpPr>
        <xdr:spPr>
          <a:xfrm flipV="1">
            <a:off x="2889741" y="7280764"/>
            <a:ext cx="247650" cy="50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7DAF2EC2-1BED-4570-9EE2-A165172A1DC0}"/>
              </a:ext>
            </a:extLst>
          </xdr:cNvPr>
          <xdr:cNvCxnSpPr>
            <a:stCxn id="6" idx="3"/>
            <a:endCxn id="11" idx="1"/>
          </xdr:cNvCxnSpPr>
        </xdr:nvCxnSpPr>
        <xdr:spPr>
          <a:xfrm flipV="1">
            <a:off x="2889741" y="7778364"/>
            <a:ext cx="268165" cy="10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a:extLst>
              <a:ext uri="{FF2B5EF4-FFF2-40B4-BE49-F238E27FC236}">
                <a16:creationId xmlns:a16="http://schemas.microsoft.com/office/drawing/2014/main" id="{A6B3286C-64E8-420A-86BE-A395DE667D59}"/>
              </a:ext>
            </a:extLst>
          </xdr:cNvPr>
          <xdr:cNvCxnSpPr>
            <a:stCxn id="6" idx="3"/>
          </xdr:cNvCxnSpPr>
        </xdr:nvCxnSpPr>
        <xdr:spPr>
          <a:xfrm>
            <a:off x="2889741" y="7788764"/>
            <a:ext cx="238125" cy="606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A0A5DF55-A264-457C-8543-6316B8A1826E}"/>
              </a:ext>
            </a:extLst>
          </xdr:cNvPr>
          <xdr:cNvCxnSpPr>
            <a:stCxn id="11" idx="3"/>
          </xdr:cNvCxnSpPr>
        </xdr:nvCxnSpPr>
        <xdr:spPr>
          <a:xfrm>
            <a:off x="4392737" y="7778364"/>
            <a:ext cx="372940" cy="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Arrow: Left-Right 30">
            <a:extLst>
              <a:ext uri="{FF2B5EF4-FFF2-40B4-BE49-F238E27FC236}">
                <a16:creationId xmlns:a16="http://schemas.microsoft.com/office/drawing/2014/main" id="{A5E059BD-2875-4A81-87E7-A3CFAAF3B9FF}"/>
              </a:ext>
            </a:extLst>
          </xdr:cNvPr>
          <xdr:cNvSpPr/>
        </xdr:nvSpPr>
        <xdr:spPr>
          <a:xfrm>
            <a:off x="565253" y="9557239"/>
            <a:ext cx="6153409" cy="5397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Skills, Expertise, Benchmark</a:t>
            </a:r>
            <a:r>
              <a:rPr lang="en-GB" sz="1100" b="1" baseline="0"/>
              <a:t> Data</a:t>
            </a:r>
            <a:endParaRPr lang="en-GB" sz="1100" b="1"/>
          </a:p>
        </xdr:txBody>
      </xdr:sp>
      <xdr:cxnSp macro="">
        <xdr:nvCxnSpPr>
          <xdr:cNvPr id="32" name="Straight Arrow Connector 31">
            <a:extLst>
              <a:ext uri="{FF2B5EF4-FFF2-40B4-BE49-F238E27FC236}">
                <a16:creationId xmlns:a16="http://schemas.microsoft.com/office/drawing/2014/main" id="{FC1A2AB7-AAFB-44BD-ADB2-667A7273DEE7}"/>
              </a:ext>
            </a:extLst>
          </xdr:cNvPr>
          <xdr:cNvCxnSpPr>
            <a:stCxn id="12" idx="3"/>
          </xdr:cNvCxnSpPr>
        </xdr:nvCxnSpPr>
        <xdr:spPr>
          <a:xfrm flipV="1">
            <a:off x="4367337" y="8328514"/>
            <a:ext cx="384175" cy="415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a:extLst>
              <a:ext uri="{FF2B5EF4-FFF2-40B4-BE49-F238E27FC236}">
                <a16:creationId xmlns:a16="http://schemas.microsoft.com/office/drawing/2014/main" id="{C32CA9EC-5711-49E4-8029-2B21A6E17E48}"/>
              </a:ext>
            </a:extLst>
          </xdr:cNvPr>
          <xdr:cNvCxnSpPr>
            <a:stCxn id="10" idx="3"/>
          </xdr:cNvCxnSpPr>
        </xdr:nvCxnSpPr>
        <xdr:spPr>
          <a:xfrm>
            <a:off x="4367337" y="6895714"/>
            <a:ext cx="395165" cy="375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153266</xdr:colOff>
      <xdr:row>1</xdr:row>
      <xdr:rowOff>105207</xdr:rowOff>
    </xdr:from>
    <xdr:to>
      <xdr:col>13</xdr:col>
      <xdr:colOff>516949</xdr:colOff>
      <xdr:row>3</xdr:row>
      <xdr:rowOff>112743</xdr:rowOff>
    </xdr:to>
    <xdr:pic>
      <xdr:nvPicPr>
        <xdr:cNvPr id="20" name="Picture 19">
          <a:extLst>
            <a:ext uri="{FF2B5EF4-FFF2-40B4-BE49-F238E27FC236}">
              <a16:creationId xmlns:a16="http://schemas.microsoft.com/office/drawing/2014/main" id="{D0FAA670-7704-4E78-AF13-28E2706B3668}"/>
            </a:ext>
          </a:extLst>
        </xdr:cNvPr>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xdr:blipFill>
      <xdr:spPr>
        <a:xfrm>
          <a:off x="6509039" y="304366"/>
          <a:ext cx="1160319" cy="405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534849</xdr:colOff>
      <xdr:row>1</xdr:row>
      <xdr:rowOff>124239</xdr:rowOff>
    </xdr:from>
    <xdr:to>
      <xdr:col>7</xdr:col>
      <xdr:colOff>2128291</xdr:colOff>
      <xdr:row>3</xdr:row>
      <xdr:rowOff>134616</xdr:rowOff>
    </xdr:to>
    <xdr:pic>
      <xdr:nvPicPr>
        <xdr:cNvPr id="3" name="Picture 2">
          <a:extLst>
            <a:ext uri="{FF2B5EF4-FFF2-40B4-BE49-F238E27FC236}">
              <a16:creationId xmlns:a16="http://schemas.microsoft.com/office/drawing/2014/main" id="{EC95F54A-CEEC-47DA-8364-14FC64286253}"/>
            </a:ext>
          </a:extLst>
        </xdr:cNvPr>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xdr:blipFill>
      <xdr:spPr>
        <a:xfrm>
          <a:off x="7467392" y="314739"/>
          <a:ext cx="1593442" cy="540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537883</xdr:colOff>
      <xdr:row>1</xdr:row>
      <xdr:rowOff>123264</xdr:rowOff>
    </xdr:from>
    <xdr:to>
      <xdr:col>7</xdr:col>
      <xdr:colOff>2126563</xdr:colOff>
      <xdr:row>3</xdr:row>
      <xdr:rowOff>130608</xdr:rowOff>
    </xdr:to>
    <xdr:pic>
      <xdr:nvPicPr>
        <xdr:cNvPr id="3" name="Picture 2">
          <a:extLst>
            <a:ext uri="{FF2B5EF4-FFF2-40B4-BE49-F238E27FC236}">
              <a16:creationId xmlns:a16="http://schemas.microsoft.com/office/drawing/2014/main" id="{AE3CE429-56EC-4290-94F4-7F2FAB353FEF}"/>
            </a:ext>
          </a:extLst>
        </xdr:cNvPr>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xdr:blipFill>
      <xdr:spPr>
        <a:xfrm>
          <a:off x="11172265" y="302558"/>
          <a:ext cx="1588680" cy="545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170447</xdr:colOff>
      <xdr:row>1</xdr:row>
      <xdr:rowOff>60157</xdr:rowOff>
    </xdr:from>
    <xdr:to>
      <xdr:col>7</xdr:col>
      <xdr:colOff>1759127</xdr:colOff>
      <xdr:row>4</xdr:row>
      <xdr:rowOff>33883</xdr:rowOff>
    </xdr:to>
    <xdr:pic>
      <xdr:nvPicPr>
        <xdr:cNvPr id="3" name="Picture 2">
          <a:extLst>
            <a:ext uri="{FF2B5EF4-FFF2-40B4-BE49-F238E27FC236}">
              <a16:creationId xmlns:a16="http://schemas.microsoft.com/office/drawing/2014/main" id="{B88F5BB7-1ED1-46E3-B7DE-55604D029A75}"/>
            </a:ext>
          </a:extLst>
        </xdr:cNvPr>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xdr:blipFill>
      <xdr:spPr>
        <a:xfrm>
          <a:off x="6587289" y="210552"/>
          <a:ext cx="1588680" cy="5452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195261</xdr:colOff>
      <xdr:row>6</xdr:row>
      <xdr:rowOff>127228</xdr:rowOff>
    </xdr:from>
    <xdr:to>
      <xdr:col>20</xdr:col>
      <xdr:colOff>579366</xdr:colOff>
      <xdr:row>77</xdr:row>
      <xdr:rowOff>147033</xdr:rowOff>
    </xdr:to>
    <xdr:grpSp>
      <xdr:nvGrpSpPr>
        <xdr:cNvPr id="7" name="Group 6">
          <a:extLst>
            <a:ext uri="{FF2B5EF4-FFF2-40B4-BE49-F238E27FC236}">
              <a16:creationId xmlns:a16="http://schemas.microsoft.com/office/drawing/2014/main" id="{9F81DA0E-7692-43A0-ACD2-20EC001504B4}"/>
            </a:ext>
          </a:extLst>
        </xdr:cNvPr>
        <xdr:cNvGrpSpPr/>
      </xdr:nvGrpSpPr>
      <xdr:grpSpPr>
        <a:xfrm>
          <a:off x="1365475" y="1351871"/>
          <a:ext cx="18617677" cy="14919626"/>
          <a:chOff x="677332" y="1186341"/>
          <a:chExt cx="18362256" cy="13770142"/>
        </a:xfrm>
      </xdr:grpSpPr>
      <xdr:graphicFrame macro="">
        <xdr:nvGraphicFramePr>
          <xdr:cNvPr id="8" name="Chart 7">
            <a:extLst>
              <a:ext uri="{FF2B5EF4-FFF2-40B4-BE49-F238E27FC236}">
                <a16:creationId xmlns:a16="http://schemas.microsoft.com/office/drawing/2014/main" id="{C723A86F-5EAD-4BB8-9197-A20B13E81787}"/>
              </a:ext>
            </a:extLst>
          </xdr:cNvPr>
          <xdr:cNvGraphicFramePr>
            <a:graphicFrameLocks/>
          </xdr:cNvGraphicFramePr>
        </xdr:nvGraphicFramePr>
        <xdr:xfrm>
          <a:off x="677332" y="9720511"/>
          <a:ext cx="6799478" cy="479614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3" name="Group 2">
            <a:extLst>
              <a:ext uri="{FF2B5EF4-FFF2-40B4-BE49-F238E27FC236}">
                <a16:creationId xmlns:a16="http://schemas.microsoft.com/office/drawing/2014/main" id="{559524BD-CBBB-48B2-A725-BCE287972E8C}"/>
              </a:ext>
            </a:extLst>
          </xdr:cNvPr>
          <xdr:cNvGrpSpPr/>
        </xdr:nvGrpSpPr>
        <xdr:grpSpPr>
          <a:xfrm>
            <a:off x="6934261" y="1186341"/>
            <a:ext cx="12073018" cy="8311481"/>
            <a:chOff x="6645457" y="1432706"/>
            <a:chExt cx="12517903" cy="6682914"/>
          </a:xfrm>
        </xdr:grpSpPr>
        <xdr:graphicFrame macro="">
          <xdr:nvGraphicFramePr>
            <xdr:cNvPr id="4" name="Chart 3">
              <a:extLst>
                <a:ext uri="{FF2B5EF4-FFF2-40B4-BE49-F238E27FC236}">
                  <a16:creationId xmlns:a16="http://schemas.microsoft.com/office/drawing/2014/main" id="{B0C71DCF-233B-4EC9-994F-53AA7DB4DFD3}"/>
                </a:ext>
              </a:extLst>
            </xdr:cNvPr>
            <xdr:cNvGraphicFramePr>
              <a:graphicFrameLocks/>
            </xdr:cNvGraphicFramePr>
          </xdr:nvGraphicFramePr>
          <xdr:xfrm>
            <a:off x="6702295" y="1437408"/>
            <a:ext cx="5847215" cy="318853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344DB568-BD5C-4B06-BB47-A1CE0EDCBA2B}"/>
                </a:ext>
              </a:extLst>
            </xdr:cNvPr>
            <xdr:cNvGraphicFramePr>
              <a:graphicFrameLocks/>
            </xdr:cNvGraphicFramePr>
          </xdr:nvGraphicFramePr>
          <xdr:xfrm>
            <a:off x="6645457" y="4822937"/>
            <a:ext cx="6181054" cy="32845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1D5B8B2F-A9C2-4667-B22C-4A73F7BB6F68}"/>
                </a:ext>
              </a:extLst>
            </xdr:cNvPr>
            <xdr:cNvGraphicFramePr>
              <a:graphicFrameLocks/>
            </xdr:cNvGraphicFramePr>
          </xdr:nvGraphicFramePr>
          <xdr:xfrm>
            <a:off x="12769434" y="1432706"/>
            <a:ext cx="6250994" cy="3223941"/>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31800C33-A0C6-4B1D-8D88-348688D751A4}"/>
                </a:ext>
              </a:extLst>
            </xdr:cNvPr>
            <xdr:cNvGraphicFramePr>
              <a:graphicFrameLocks/>
            </xdr:cNvGraphicFramePr>
          </xdr:nvGraphicFramePr>
          <xdr:xfrm>
            <a:off x="12832541" y="4796849"/>
            <a:ext cx="6330819" cy="3318771"/>
          </xdr:xfrm>
          <a:graphic>
            <a:graphicData uri="http://schemas.openxmlformats.org/drawingml/2006/chart">
              <c:chart xmlns:c="http://schemas.openxmlformats.org/drawingml/2006/chart" xmlns:r="http://schemas.openxmlformats.org/officeDocument/2006/relationships" r:id="rId5"/>
            </a:graphicData>
          </a:graphic>
        </xdr:graphicFrame>
      </xdr:grpSp>
      <xdr:graphicFrame macro="">
        <xdr:nvGraphicFramePr>
          <xdr:cNvPr id="11" name="Chart 10">
            <a:extLst>
              <a:ext uri="{FF2B5EF4-FFF2-40B4-BE49-F238E27FC236}">
                <a16:creationId xmlns:a16="http://schemas.microsoft.com/office/drawing/2014/main" id="{1BE4FC31-B9B4-4F8B-B737-D5C5A3DD6B48}"/>
              </a:ext>
            </a:extLst>
          </xdr:cNvPr>
          <xdr:cNvGraphicFramePr>
            <a:graphicFrameLocks/>
          </xdr:cNvGraphicFramePr>
        </xdr:nvGraphicFramePr>
        <xdr:xfrm>
          <a:off x="6846862" y="9929434"/>
          <a:ext cx="12192726" cy="502704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editAs="oneCell">
    <xdr:from>
      <xdr:col>17</xdr:col>
      <xdr:colOff>136070</xdr:colOff>
      <xdr:row>1</xdr:row>
      <xdr:rowOff>147594</xdr:rowOff>
    </xdr:from>
    <xdr:to>
      <xdr:col>20</xdr:col>
      <xdr:colOff>365398</xdr:colOff>
      <xdr:row>5</xdr:row>
      <xdr:rowOff>69858</xdr:rowOff>
    </xdr:to>
    <xdr:pic>
      <xdr:nvPicPr>
        <xdr:cNvPr id="2" name="Picture 1">
          <a:extLst>
            <a:ext uri="{FF2B5EF4-FFF2-40B4-BE49-F238E27FC236}">
              <a16:creationId xmlns:a16="http://schemas.microsoft.com/office/drawing/2014/main" id="{18600641-28EA-4416-A000-47D6773C2C04}"/>
            </a:ext>
          </a:extLst>
        </xdr:cNvPr>
        <xdr:cNvPicPr>
          <a:picLocks noChangeAspect="1"/>
        </xdr:cNvPicPr>
      </xdr:nvPicPr>
      <xdr:blipFill>
        <a:blip xmlns:r="http://schemas.openxmlformats.org/officeDocument/2006/relationships" r:embed="rId7" cstate="print">
          <a:biLevel thresh="25000"/>
          <a:extLst>
            <a:ext uri="{28A0092B-C50C-407E-A947-70E740481C1C}">
              <a14:useLocalDpi xmlns:a14="http://schemas.microsoft.com/office/drawing/2010/main" val="0"/>
            </a:ext>
          </a:extLst>
        </a:blip>
        <a:srcRect/>
        <a:stretch/>
      </xdr:blipFill>
      <xdr:spPr>
        <a:xfrm>
          <a:off x="18383249" y="351701"/>
          <a:ext cx="2161542" cy="7386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451141</xdr:colOff>
      <xdr:row>63</xdr:row>
      <xdr:rowOff>10824</xdr:rowOff>
    </xdr:from>
    <xdr:to>
      <xdr:col>9</xdr:col>
      <xdr:colOff>23091</xdr:colOff>
      <xdr:row>89</xdr:row>
      <xdr:rowOff>115455</xdr:rowOff>
    </xdr:to>
    <xdr:graphicFrame macro="">
      <xdr:nvGraphicFramePr>
        <xdr:cNvPr id="3" name="Chart 2">
          <a:extLst>
            <a:ext uri="{FF2B5EF4-FFF2-40B4-BE49-F238E27FC236}">
              <a16:creationId xmlns:a16="http://schemas.microsoft.com/office/drawing/2014/main" id="{65D896F3-869E-4A1D-B0BE-0FA8FAA1D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958272</xdr:colOff>
      <xdr:row>63</xdr:row>
      <xdr:rowOff>57727</xdr:rowOff>
    </xdr:from>
    <xdr:to>
      <xdr:col>19</xdr:col>
      <xdr:colOff>345495</xdr:colOff>
      <xdr:row>89</xdr:row>
      <xdr:rowOff>162358</xdr:rowOff>
    </xdr:to>
    <xdr:graphicFrame macro="">
      <xdr:nvGraphicFramePr>
        <xdr:cNvPr id="4" name="Chart 3">
          <a:extLst>
            <a:ext uri="{FF2B5EF4-FFF2-40B4-BE49-F238E27FC236}">
              <a16:creationId xmlns:a16="http://schemas.microsoft.com/office/drawing/2014/main" id="{67F5654F-36C3-4F2F-8372-60299C95F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169414</xdr:colOff>
      <xdr:row>1</xdr:row>
      <xdr:rowOff>217924</xdr:rowOff>
    </xdr:from>
    <xdr:to>
      <xdr:col>7</xdr:col>
      <xdr:colOff>1753332</xdr:colOff>
      <xdr:row>3</xdr:row>
      <xdr:rowOff>86876</xdr:rowOff>
    </xdr:to>
    <xdr:pic>
      <xdr:nvPicPr>
        <xdr:cNvPr id="2" name="Picture 1">
          <a:extLst>
            <a:ext uri="{FF2B5EF4-FFF2-40B4-BE49-F238E27FC236}">
              <a16:creationId xmlns:a16="http://schemas.microsoft.com/office/drawing/2014/main" id="{12894164-861A-4C4D-8B42-5116906D4A9A}"/>
            </a:ext>
          </a:extLst>
        </xdr:cNvPr>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rcRect/>
        <a:stretch/>
      </xdr:blipFill>
      <xdr:spPr>
        <a:xfrm>
          <a:off x="9218164" y="397841"/>
          <a:ext cx="1583918" cy="5357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451141</xdr:colOff>
      <xdr:row>63</xdr:row>
      <xdr:rowOff>10824</xdr:rowOff>
    </xdr:from>
    <xdr:to>
      <xdr:col>9</xdr:col>
      <xdr:colOff>23091</xdr:colOff>
      <xdr:row>89</xdr:row>
      <xdr:rowOff>115455</xdr:rowOff>
    </xdr:to>
    <xdr:graphicFrame macro="">
      <xdr:nvGraphicFramePr>
        <xdr:cNvPr id="2" name="Chart 1">
          <a:extLst>
            <a:ext uri="{FF2B5EF4-FFF2-40B4-BE49-F238E27FC236}">
              <a16:creationId xmlns:a16="http://schemas.microsoft.com/office/drawing/2014/main" id="{ADE718E3-E8C0-42C9-AAC1-E0D885BDD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958272</xdr:colOff>
      <xdr:row>63</xdr:row>
      <xdr:rowOff>57727</xdr:rowOff>
    </xdr:from>
    <xdr:to>
      <xdr:col>19</xdr:col>
      <xdr:colOff>345495</xdr:colOff>
      <xdr:row>89</xdr:row>
      <xdr:rowOff>162358</xdr:rowOff>
    </xdr:to>
    <xdr:graphicFrame macro="">
      <xdr:nvGraphicFramePr>
        <xdr:cNvPr id="3" name="Chart 2">
          <a:extLst>
            <a:ext uri="{FF2B5EF4-FFF2-40B4-BE49-F238E27FC236}">
              <a16:creationId xmlns:a16="http://schemas.microsoft.com/office/drawing/2014/main" id="{F3158309-EA28-4B92-9CA0-2465B129F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631031</xdr:colOff>
      <xdr:row>1</xdr:row>
      <xdr:rowOff>181995</xdr:rowOff>
    </xdr:from>
    <xdr:to>
      <xdr:col>7</xdr:col>
      <xdr:colOff>2219711</xdr:colOff>
      <xdr:row>3</xdr:row>
      <xdr:rowOff>55709</xdr:rowOff>
    </xdr:to>
    <xdr:pic>
      <xdr:nvPicPr>
        <xdr:cNvPr id="5" name="Picture 4">
          <a:extLst>
            <a:ext uri="{FF2B5EF4-FFF2-40B4-BE49-F238E27FC236}">
              <a16:creationId xmlns:a16="http://schemas.microsoft.com/office/drawing/2014/main" id="{53D10DC5-F84D-4CF2-BA6D-2D5C553E0A5C}"/>
            </a:ext>
          </a:extLst>
        </xdr:cNvPr>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rcRect/>
        <a:stretch/>
      </xdr:blipFill>
      <xdr:spPr>
        <a:xfrm>
          <a:off x="10096500" y="360589"/>
          <a:ext cx="1588680" cy="5404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451141</xdr:colOff>
      <xdr:row>63</xdr:row>
      <xdr:rowOff>10824</xdr:rowOff>
    </xdr:from>
    <xdr:to>
      <xdr:col>9</xdr:col>
      <xdr:colOff>23091</xdr:colOff>
      <xdr:row>89</xdr:row>
      <xdr:rowOff>115455</xdr:rowOff>
    </xdr:to>
    <xdr:graphicFrame macro="">
      <xdr:nvGraphicFramePr>
        <xdr:cNvPr id="2" name="Chart 1">
          <a:extLst>
            <a:ext uri="{FF2B5EF4-FFF2-40B4-BE49-F238E27FC236}">
              <a16:creationId xmlns:a16="http://schemas.microsoft.com/office/drawing/2014/main" id="{4AEFB5FD-E9B8-46E7-B10C-0F7B6A4D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958272</xdr:colOff>
      <xdr:row>63</xdr:row>
      <xdr:rowOff>57727</xdr:rowOff>
    </xdr:from>
    <xdr:to>
      <xdr:col>19</xdr:col>
      <xdr:colOff>345495</xdr:colOff>
      <xdr:row>89</xdr:row>
      <xdr:rowOff>162358</xdr:rowOff>
    </xdr:to>
    <xdr:graphicFrame macro="">
      <xdr:nvGraphicFramePr>
        <xdr:cNvPr id="3" name="Chart 2">
          <a:extLst>
            <a:ext uri="{FF2B5EF4-FFF2-40B4-BE49-F238E27FC236}">
              <a16:creationId xmlns:a16="http://schemas.microsoft.com/office/drawing/2014/main" id="{B8DFE52E-CFDD-4C55-80FB-FE98B99E6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290512</xdr:colOff>
      <xdr:row>1</xdr:row>
      <xdr:rowOff>154782</xdr:rowOff>
    </xdr:from>
    <xdr:to>
      <xdr:col>7</xdr:col>
      <xdr:colOff>1883954</xdr:colOff>
      <xdr:row>3</xdr:row>
      <xdr:rowOff>33258</xdr:rowOff>
    </xdr:to>
    <xdr:pic>
      <xdr:nvPicPr>
        <xdr:cNvPr id="5" name="Picture 4">
          <a:extLst>
            <a:ext uri="{FF2B5EF4-FFF2-40B4-BE49-F238E27FC236}">
              <a16:creationId xmlns:a16="http://schemas.microsoft.com/office/drawing/2014/main" id="{1E0D830C-3427-454C-AE33-90B671220906}"/>
            </a:ext>
          </a:extLst>
        </xdr:cNvPr>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rcRect/>
        <a:stretch/>
      </xdr:blipFill>
      <xdr:spPr>
        <a:xfrm>
          <a:off x="9755981" y="333376"/>
          <a:ext cx="1593442" cy="545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ttmac-my.sharepoint.com/Users/ronnie.macdonald/AppData/Local/Microsoft/Windows/Temporary%20Internet%20Files/Content.Outlook/BQMUSI2Z/BenchToolv16a%20-%20Moray%20-%2015-16%20-%20All%20Prop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ttmac.sharepoint.com/Users/who40416/AppData/Roaming/OpenText/OTEdit/EC_EUNAPiMS/c2099561184/Phase%201%20-%20Shortlisting%20-%20DRAFT%20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ottmac-my.sharepoint.com/personal/kevin_maclennan_mottmac_com/Documents/383174%20Renfrewshire%20Council/Copy%20of%20DEN_model%20increased%20elec%20K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ottmac-my.sharepoint.com/personal/andrew_wholley_mottmac_com/Documents/lifecycle%20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lixfs01\shared\Documents%20and%20Settings\dobl1733\Local%20Settings\Temporary%20Internet%20Files\Content.Outlook\BV6CWOUN\SEELS%20Project%20Compliance%20Tool%20v22%20Fuel%20Conversion%20v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ixfs01\shared\SEELS\England\DfE\Academies\SEEF\3.%20SEEF%203%202018-19\Revised%20Application%20Documents%20Drafts\Application%20Form\Final%20Version\SEEF%20Application%20Form%202018-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la-my.sharepoint.com/Users/mattc.SALIX/Downloads/Cost%20Saving%20Analysis%20Tool%20-%20V%201.1%20-%20Queens%20Park%20High.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mottmac-my.sharepoint.com/Users/CMcCusker/AppData/Local/Microsoft/Windows/INetCache/Content.Outlook/NJEYMQRN/Universities%20for%20the%20Future%20-%20Joint%20Application%20Form%20-%20Boyd%20Orr%20University%20of%20Glasgow%2001112019%20%20FINAL_unprotected.xlsx?9BCA625A" TargetMode="External"/><Relationship Id="rId1" Type="http://schemas.openxmlformats.org/officeDocument/2006/relationships/externalLinkPath" Target="file:///\\9BCA625A\Universities%20for%20the%20Future%20-%20Joint%20Application%20Form%20-%20Boyd%20Orr%20University%20of%20Glasgow%2001112019%20%20FINAL_unprotect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la-my.sharepoint.com/Technical%20Services%20-%20Nov09/13.%20Technology%20Specific%20Work/22.%20Swimming%20pool%20cover/Pool%20Heatloss%20-%20Version%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on Use"/>
      <sheetName val="Contact"/>
      <sheetName val="Input Building Data"/>
      <sheetName val="Input Directorates"/>
      <sheetName val="Review Fuel Data"/>
      <sheetName val="Lists"/>
      <sheetName val="Queries"/>
    </sheetNames>
    <sheetDataSet>
      <sheetData sheetId="0"/>
      <sheetData sheetId="1"/>
      <sheetData sheetId="2"/>
      <sheetData sheetId="3"/>
      <sheetData sheetId="4"/>
      <sheetData sheetId="5">
        <row r="3">
          <cell r="B3" t="str">
            <v>All</v>
          </cell>
          <cell r="D3" t="str">
            <v>Select Tenure</v>
          </cell>
          <cell r="E3" t="str">
            <v>Double glazed</v>
          </cell>
          <cell r="F3" t="str">
            <v>Steel frame light</v>
          </cell>
          <cell r="G3" t="str">
            <v>Exposed (1.1)</v>
          </cell>
          <cell r="L3" t="str">
            <v>Select fuel source</v>
          </cell>
          <cell r="M3" t="str">
            <v>Select Oil Type &amp; Units</v>
          </cell>
          <cell r="O3" t="str">
            <v>Select Directorate</v>
          </cell>
          <cell r="P3" t="str">
            <v>Select Local Authority Area</v>
          </cell>
        </row>
        <row r="4">
          <cell r="B4" t="str">
            <v>Ambulance Station</v>
          </cell>
          <cell r="D4" t="str">
            <v>Owned</v>
          </cell>
          <cell r="E4" t="str">
            <v>Single glazed</v>
          </cell>
          <cell r="F4" t="str">
            <v>Stell frame heavy</v>
          </cell>
          <cell r="G4" t="str">
            <v>Normal (1.0)</v>
          </cell>
          <cell r="L4" t="str">
            <v>All Thermal</v>
          </cell>
          <cell r="M4" t="str">
            <v>Gas Oil - Litres</v>
          </cell>
          <cell r="O4" t="str">
            <v>All</v>
          </cell>
          <cell r="P4" t="str">
            <v>Aberdeen City Council</v>
          </cell>
        </row>
        <row r="5">
          <cell r="B5" t="str">
            <v>Car Charging Point</v>
          </cell>
          <cell r="D5" t="str">
            <v>Leased / Rented</v>
          </cell>
          <cell r="E5" t="str">
            <v>Secondary glazed</v>
          </cell>
          <cell r="F5" t="str">
            <v>Concrete frame light</v>
          </cell>
          <cell r="G5" t="str">
            <v>Sheltered (0.9)</v>
          </cell>
          <cell r="L5" t="str">
            <v>Electricity - grid</v>
          </cell>
          <cell r="M5" t="str">
            <v>Gas Oil - kWh</v>
          </cell>
          <cell r="O5" t="str">
            <v>Education</v>
          </cell>
          <cell r="P5" t="str">
            <v>Aberdeenshire Council</v>
          </cell>
        </row>
        <row r="6">
          <cell r="B6" t="str">
            <v>Car Park enclosed</v>
          </cell>
          <cell r="D6" t="str">
            <v>Rented to Others</v>
          </cell>
          <cell r="F6" t="str">
            <v>Concrete frame heavy</v>
          </cell>
          <cell r="L6" t="str">
            <v>Electricity - onsite generation</v>
          </cell>
          <cell r="M6" t="str">
            <v>Kerosene - Litres</v>
          </cell>
          <cell r="O6" t="str">
            <v>Leisure</v>
          </cell>
          <cell r="P6" t="str">
            <v>Angus Council</v>
          </cell>
        </row>
        <row r="7">
          <cell r="B7" t="str">
            <v>Car Park open</v>
          </cell>
          <cell r="D7" t="str">
            <v>PFI / PPP /NPD</v>
          </cell>
          <cell r="F7" t="str">
            <v>Load bearing brick e.g. cavity wall</v>
          </cell>
          <cell r="L7" t="str">
            <v>Electricity - input to Heat Pump</v>
          </cell>
          <cell r="M7" t="str">
            <v>Kerosene -    kWh</v>
          </cell>
          <cell r="O7" t="str">
            <v>Social</v>
          </cell>
          <cell r="P7" t="str">
            <v>Argyll and Bute Council</v>
          </cell>
        </row>
        <row r="8">
          <cell r="B8" t="str">
            <v>Communial / External Lighting</v>
          </cell>
          <cell r="F8" t="str">
            <v>Other (e.g. solid stone, timber frame)</v>
          </cell>
          <cell r="L8" t="str">
            <v>Natural Gas</v>
          </cell>
          <cell r="O8" t="str">
            <v>Corporate</v>
          </cell>
          <cell r="P8" t="str">
            <v>City of Edinburgh Council</v>
          </cell>
        </row>
        <row r="9">
          <cell r="B9" t="str">
            <v>Community Centre</v>
          </cell>
          <cell r="L9" t="str">
            <v>Gas Oil - Litres</v>
          </cell>
          <cell r="O9" t="str">
            <v>Other 1</v>
          </cell>
          <cell r="P9" t="str">
            <v>Clackmannshire Council</v>
          </cell>
        </row>
        <row r="10">
          <cell r="B10" t="str">
            <v>Community Day Centre</v>
          </cell>
          <cell r="L10" t="str">
            <v>Gas Oil - kWh</v>
          </cell>
          <cell r="O10" t="str">
            <v>Other 2</v>
          </cell>
          <cell r="P10" t="str">
            <v>Comhairlenan Eilean Siar</v>
          </cell>
        </row>
        <row r="11">
          <cell r="B11" t="str">
            <v>Court Combined County Crown</v>
          </cell>
          <cell r="L11" t="str">
            <v>Kerosene - Litres</v>
          </cell>
          <cell r="O11" t="str">
            <v>Other 3</v>
          </cell>
          <cell r="P11" t="str">
            <v>Dumfries and Galloway Council</v>
          </cell>
        </row>
        <row r="12">
          <cell r="B12" t="str">
            <v>Court County</v>
          </cell>
          <cell r="L12" t="str">
            <v>Kerosene -    kWh</v>
          </cell>
          <cell r="O12" t="str">
            <v>Other 4</v>
          </cell>
          <cell r="P12" t="str">
            <v>Dundee City Council</v>
          </cell>
        </row>
        <row r="13">
          <cell r="B13" t="str">
            <v>Court Crown</v>
          </cell>
          <cell r="L13" t="str">
            <v>Other Oil</v>
          </cell>
          <cell r="O13" t="str">
            <v>Other 5</v>
          </cell>
          <cell r="P13" t="str">
            <v>East Ayrshire Council</v>
          </cell>
        </row>
        <row r="14">
          <cell r="B14" t="str">
            <v>Court Magistrates</v>
          </cell>
          <cell r="L14" t="str">
            <v>LPG</v>
          </cell>
          <cell r="O14">
            <v>0</v>
          </cell>
          <cell r="P14" t="str">
            <v>East Dunbartonshire Council</v>
          </cell>
        </row>
        <row r="15">
          <cell r="B15" t="str">
            <v>Depot</v>
          </cell>
          <cell r="L15" t="str">
            <v>Biofuel</v>
          </cell>
          <cell r="O15">
            <v>0</v>
          </cell>
          <cell r="P15" t="str">
            <v>East Lothian Council</v>
          </cell>
        </row>
        <row r="16">
          <cell r="B16" t="str">
            <v>Fire Station</v>
          </cell>
          <cell r="L16" t="str">
            <v>Coal</v>
          </cell>
          <cell r="O16">
            <v>0</v>
          </cell>
          <cell r="P16" t="str">
            <v>East Renfrewshire Council</v>
          </cell>
        </row>
        <row r="17">
          <cell r="B17" t="str">
            <v>Harbour</v>
          </cell>
          <cell r="L17" t="str">
            <v>Biomass - wood chip</v>
          </cell>
          <cell r="O17">
            <v>0</v>
          </cell>
          <cell r="P17" t="str">
            <v>Falkirk Council</v>
          </cell>
        </row>
        <row r="18">
          <cell r="B18" t="str">
            <v>Home Care Home</v>
          </cell>
          <cell r="L18" t="str">
            <v>Biomass - pellets</v>
          </cell>
          <cell r="O18">
            <v>0</v>
          </cell>
          <cell r="P18" t="str">
            <v>Fife Council</v>
          </cell>
        </row>
        <row r="19">
          <cell r="B19" t="str">
            <v>Home Nursing Home</v>
          </cell>
          <cell r="L19" t="str">
            <v>Heat - fossil fuel</v>
          </cell>
          <cell r="O19">
            <v>0</v>
          </cell>
          <cell r="P19" t="str">
            <v>Glasgow City Council</v>
          </cell>
        </row>
        <row r="20">
          <cell r="B20" t="str">
            <v>Home Sheltered Housing</v>
          </cell>
          <cell r="L20" t="str">
            <v>Heat - Gas CHP</v>
          </cell>
          <cell r="O20">
            <v>0</v>
          </cell>
          <cell r="P20" t="str">
            <v>Highland Council</v>
          </cell>
        </row>
        <row r="21">
          <cell r="B21" t="str">
            <v>Home Temporary Homeless Unit</v>
          </cell>
          <cell r="L21" t="str">
            <v>Heat - LZC source</v>
          </cell>
          <cell r="O21">
            <v>0</v>
          </cell>
          <cell r="P21" t="str">
            <v>Inverclyde Council</v>
          </cell>
        </row>
        <row r="22">
          <cell r="B22" t="str">
            <v>Hospital Acute &amp; Maternity</v>
          </cell>
          <cell r="L22" t="str">
            <v>Heat - mixed source</v>
          </cell>
          <cell r="O22">
            <v>0</v>
          </cell>
          <cell r="P22" t="str">
            <v>Midlothian Council</v>
          </cell>
        </row>
        <row r="23">
          <cell r="B23" t="str">
            <v>Hospital Cottage</v>
          </cell>
          <cell r="L23" t="str">
            <v>Other 1</v>
          </cell>
          <cell r="O23">
            <v>0</v>
          </cell>
          <cell r="P23" t="str">
            <v>Moray Council</v>
          </cell>
        </row>
        <row r="24">
          <cell r="B24" t="str">
            <v>Hospital Long Stay</v>
          </cell>
          <cell r="L24" t="str">
            <v>Other 2</v>
          </cell>
          <cell r="P24" t="str">
            <v>North Ayrshire Council</v>
          </cell>
        </row>
        <row r="25">
          <cell r="B25" t="str">
            <v>Hospital Teaching &amp; Specialist</v>
          </cell>
          <cell r="P25" t="str">
            <v>North Lanarkshire Council</v>
          </cell>
        </row>
        <row r="26">
          <cell r="B26" t="str">
            <v>House</v>
          </cell>
          <cell r="P26" t="str">
            <v>Orkney Islands Council</v>
          </cell>
        </row>
        <row r="27">
          <cell r="B27" t="str">
            <v>Industrial Unit</v>
          </cell>
          <cell r="P27" t="str">
            <v>Perth and Kinross Council</v>
          </cell>
        </row>
        <row r="28">
          <cell r="B28" t="str">
            <v>Leisure Centre Combined</v>
          </cell>
          <cell r="P28" t="str">
            <v>Renfrewshire Council</v>
          </cell>
        </row>
        <row r="29">
          <cell r="B29" t="str">
            <v>Leisure Dry Sports Centre</v>
          </cell>
          <cell r="P29" t="str">
            <v>Scottish Borders Council</v>
          </cell>
        </row>
        <row r="30">
          <cell r="B30" t="str">
            <v>Leisure Fitness Centre</v>
          </cell>
          <cell r="P30" t="str">
            <v>Shetland Islands Council</v>
          </cell>
        </row>
        <row r="31">
          <cell r="B31" t="str">
            <v>Leisure Ice Rink</v>
          </cell>
          <cell r="P31" t="str">
            <v>South Ayrshire Council</v>
          </cell>
        </row>
        <row r="32">
          <cell r="B32" t="str">
            <v>Leisure Pool Centre</v>
          </cell>
          <cell r="P32" t="str">
            <v>South Lanarkshire Council</v>
          </cell>
        </row>
        <row r="33">
          <cell r="B33" t="str">
            <v>Leisure Sports Ground Changing Facility</v>
          </cell>
          <cell r="P33" t="str">
            <v>Stirling Council</v>
          </cell>
        </row>
        <row r="34">
          <cell r="B34" t="str">
            <v>Leisure Swimming Pool (25m) Centre</v>
          </cell>
          <cell r="P34" t="str">
            <v>West Dunbartonshire Council</v>
          </cell>
        </row>
        <row r="35">
          <cell r="B35" t="str">
            <v>Library</v>
          </cell>
          <cell r="P35" t="str">
            <v>West Lothian Council</v>
          </cell>
        </row>
        <row r="36">
          <cell r="B36" t="str">
            <v>Misc</v>
          </cell>
        </row>
        <row r="37">
          <cell r="B37" t="str">
            <v>Museum and Art Gallery</v>
          </cell>
        </row>
        <row r="38">
          <cell r="B38" t="str">
            <v>Office Air Conditioned Prestige</v>
          </cell>
        </row>
        <row r="39">
          <cell r="B39" t="str">
            <v>Office Air Conditioned Standard</v>
          </cell>
        </row>
        <row r="40">
          <cell r="B40" t="str">
            <v>Office Natural Ventilation Cellular</v>
          </cell>
        </row>
        <row r="41">
          <cell r="B41" t="str">
            <v>Office Natural Ventilation Open Plan</v>
          </cell>
        </row>
        <row r="42">
          <cell r="B42" t="str">
            <v>Parks</v>
          </cell>
        </row>
        <row r="43">
          <cell r="B43" t="str">
            <v>Police Station</v>
          </cell>
        </row>
        <row r="44">
          <cell r="B44" t="str">
            <v>Prison General</v>
          </cell>
        </row>
        <row r="45">
          <cell r="B45" t="str">
            <v>Prison High Security</v>
          </cell>
        </row>
        <row r="46">
          <cell r="B46" t="str">
            <v>School Primary</v>
          </cell>
        </row>
        <row r="47">
          <cell r="B47" t="str">
            <v>School Secondary</v>
          </cell>
        </row>
        <row r="48">
          <cell r="B48" t="str">
            <v>School Secondary with Pool</v>
          </cell>
        </row>
        <row r="49">
          <cell r="B49" t="str">
            <v>Toilet</v>
          </cell>
        </row>
        <row r="50">
          <cell r="B50" t="str">
            <v>Town Hall</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
      <sheetName val="Long List"/>
      <sheetName val="Benchmarks"/>
      <sheetName val="CO2 Conversion Factors"/>
      <sheetName val="Additional Assumptions"/>
    </sheetNames>
    <sheetDataSet>
      <sheetData sheetId="0"/>
      <sheetData sheetId="1"/>
      <sheetData sheetId="2">
        <row r="3">
          <cell r="A3" t="str">
            <v>Primary School</v>
          </cell>
        </row>
        <row r="4">
          <cell r="A4" t="str">
            <v>Secondary School</v>
          </cell>
        </row>
        <row r="5">
          <cell r="A5" t="str">
            <v>Secondary School (with Swimming pool)</v>
          </cell>
        </row>
        <row r="6">
          <cell r="A6" t="str">
            <v>Schools (all Electric)</v>
          </cell>
        </row>
        <row r="7">
          <cell r="A7" t="str">
            <v>Special Needs School</v>
          </cell>
        </row>
        <row r="8">
          <cell r="A8" t="str">
            <v>Primary School (New or PPP)</v>
          </cell>
        </row>
        <row r="9">
          <cell r="A9" t="str">
            <v>Secondary (New or PPP)</v>
          </cell>
        </row>
        <row r="10">
          <cell r="A10" t="str">
            <v>General Office</v>
          </cell>
        </row>
        <row r="11">
          <cell r="A11" t="str">
            <v>Office (Naturally ventilated open plan)</v>
          </cell>
        </row>
        <row r="12">
          <cell r="A12" t="str">
            <v>Office (Naturally ventilated cellular)</v>
          </cell>
        </row>
        <row r="13">
          <cell r="A13" t="str">
            <v>Office (Air conditioned standard)</v>
          </cell>
        </row>
        <row r="14">
          <cell r="A14" t="str">
            <v>Office (Air conditioned prestige)</v>
          </cell>
        </row>
        <row r="15">
          <cell r="A15" t="str">
            <v>Office (all Electric - open plan)</v>
          </cell>
        </row>
        <row r="16">
          <cell r="A16" t="str">
            <v>Residential care home</v>
          </cell>
        </row>
        <row r="17">
          <cell r="A17" t="str">
            <v>Day Centre</v>
          </cell>
        </row>
        <row r="18">
          <cell r="A18" t="str">
            <v>Town Hall</v>
          </cell>
        </row>
        <row r="19">
          <cell r="A19" t="str">
            <v>Library</v>
          </cell>
        </row>
        <row r="20">
          <cell r="A20" t="str">
            <v>Library (all Electric)</v>
          </cell>
        </row>
        <row r="21">
          <cell r="A21" t="str">
            <v>Depot</v>
          </cell>
        </row>
        <row r="22">
          <cell r="A22" t="str">
            <v>Community Centre</v>
          </cell>
        </row>
        <row r="23">
          <cell r="A23" t="str">
            <v xml:space="preserve">Workshop </v>
          </cell>
        </row>
        <row r="24">
          <cell r="A24" t="str">
            <v>Museums</v>
          </cell>
        </row>
        <row r="25">
          <cell r="A25" t="str">
            <v>Combined Centre</v>
          </cell>
        </row>
        <row r="26">
          <cell r="A26" t="str">
            <v>Dry Sports Centre (local)</v>
          </cell>
        </row>
        <row r="27">
          <cell r="A27" t="str">
            <v>Community Centre (all Electric)</v>
          </cell>
        </row>
        <row r="28">
          <cell r="A28" t="str">
            <v>Nurseries</v>
          </cell>
        </row>
        <row r="31">
          <cell r="A31" t="str">
            <v>Bowling Club (FF&amp;Elec)</v>
          </cell>
        </row>
        <row r="32">
          <cell r="A32" t="str">
            <v>Bowling Club (all Elec)</v>
          </cell>
        </row>
        <row r="33">
          <cell r="A33" t="str">
            <v>Bothy</v>
          </cell>
        </row>
        <row r="34">
          <cell r="A34" t="str">
            <v>Cemetery Waiting Area</v>
          </cell>
        </row>
        <row r="35">
          <cell r="A35" t="str">
            <v>2 Depots &lt;11k/yr</v>
          </cell>
        </row>
        <row r="36">
          <cell r="A36" t="str">
            <v>EE &amp; CCC (elec &amp; Gas)</v>
          </cell>
        </row>
        <row r="37">
          <cell r="A37" t="str">
            <v>EE &amp; CCC (all elec)</v>
          </cell>
        </row>
        <row r="38">
          <cell r="A38" t="str">
            <v>Sports Pavillion (elec &amp; Gas)</v>
          </cell>
        </row>
        <row r="39">
          <cell r="A39" t="str">
            <v>Sports Pavilion (all Electric)</v>
          </cell>
        </row>
        <row r="40">
          <cell r="A40" t="str">
            <v>Public Toilets (all Electric)</v>
          </cell>
        </row>
        <row r="41">
          <cell r="A41" t="str">
            <v>Waste Transfer Stations</v>
          </cell>
        </row>
        <row r="42">
          <cell r="A42" t="str">
            <v>Industrial Units Large Consumption (all Elec)</v>
          </cell>
        </row>
        <row r="43">
          <cell r="A43" t="str">
            <v>Fitness Centre</v>
          </cell>
        </row>
        <row r="44">
          <cell r="A44" t="str">
            <v>Crematorium all elect exc. process gas</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Gas CHP and sensitivity"/>
      <sheetName val="2 - WSHP"/>
      <sheetName val="Tariffs"/>
      <sheetName val="Load Cluster 1"/>
      <sheetName val="Load Cluster2"/>
      <sheetName val="1 - Gas CHP and sensitivity (2)"/>
      <sheetName val="1 - Gas CHP and sensitivity (4)"/>
      <sheetName val="1 - Gas CHP and sensitivity (3)"/>
    </sheetNames>
    <sheetDataSet>
      <sheetData sheetId="0">
        <row r="95">
          <cell r="B95" t="str">
            <v>Cumulative Cash Flow</v>
          </cell>
        </row>
      </sheetData>
      <sheetData sheetId="1"/>
      <sheetData sheetId="2">
        <row r="3">
          <cell r="C3">
            <v>1.6E-2</v>
          </cell>
        </row>
        <row r="5">
          <cell r="C5">
            <v>2.0300000000000001E-3</v>
          </cell>
        </row>
        <row r="10">
          <cell r="C10">
            <v>0.1</v>
          </cell>
        </row>
        <row r="12">
          <cell r="C12">
            <v>5.8300000000000001E-3</v>
          </cell>
        </row>
        <row r="17">
          <cell r="C17">
            <v>0.03</v>
          </cell>
        </row>
        <row r="19">
          <cell r="C19">
            <v>4.9000000000000002E-2</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fecycle Base"/>
    </sheetNames>
    <sheetDataSet>
      <sheetData sheetId="0">
        <row r="175">
          <cell r="D175" t="str">
            <v>WC's</v>
          </cell>
        </row>
        <row r="176">
          <cell r="D176" t="str">
            <v>WHB's</v>
          </cell>
        </row>
        <row r="177">
          <cell r="D177" t="str">
            <v>Baby Change</v>
          </cell>
        </row>
        <row r="178">
          <cell r="D178" t="str">
            <v>Clinical Washbasins</v>
          </cell>
        </row>
        <row r="179">
          <cell r="D179" t="str">
            <v>Accessible Showers</v>
          </cell>
        </row>
        <row r="180">
          <cell r="D180" t="str">
            <v>Accessible WC's incl Doc M pack</v>
          </cell>
        </row>
        <row r="181">
          <cell r="D181" t="str">
            <v>Sinks</v>
          </cell>
        </row>
        <row r="182">
          <cell r="D182" t="str">
            <v>Hand driers allow</v>
          </cell>
        </row>
        <row r="183">
          <cell r="D183" t="str">
            <v>Sluicemaster</v>
          </cell>
        </row>
        <row r="184">
          <cell r="D184" t="str">
            <v>installation</v>
          </cell>
        </row>
        <row r="185">
          <cell r="D185" t="str">
            <v>Kitchen equipment</v>
          </cell>
        </row>
        <row r="186">
          <cell r="D186" t="str">
            <v>Hospital equipment - allowance for hoists</v>
          </cell>
        </row>
        <row r="187">
          <cell r="D187" t="str">
            <v>Birthing pool</v>
          </cell>
        </row>
        <row r="188">
          <cell r="D188" t="str">
            <v>Foul drainage; UPVC wastes and stacks; allowance per appliance</v>
          </cell>
        </row>
        <row r="189">
          <cell r="D189" t="str">
            <v>Changing</v>
          </cell>
        </row>
        <row r="190">
          <cell r="D190" t="str">
            <v>Kitchen</v>
          </cell>
        </row>
        <row r="191">
          <cell r="D191" t="str">
            <v>Tea Prep</v>
          </cell>
        </row>
        <row r="192">
          <cell r="D192" t="str">
            <v>LDRP pool</v>
          </cell>
        </row>
        <row r="193">
          <cell r="D193" t="str">
            <v>Mains water supply</v>
          </cell>
        </row>
        <row r="194">
          <cell r="D194" t="str">
            <v>Cold water storage tanks</v>
          </cell>
        </row>
        <row r="195">
          <cell r="D195" t="str">
            <v>Booster sets</v>
          </cell>
        </row>
        <row r="196">
          <cell r="D196" t="str">
            <v>Water coolers - allowance</v>
          </cell>
        </row>
        <row r="197">
          <cell r="D197" t="str">
            <v>Cold water distribution per appliance</v>
          </cell>
        </row>
        <row r="198">
          <cell r="D198" t="str">
            <v>Hot water calorifiers</v>
          </cell>
        </row>
        <row r="199">
          <cell r="D199" t="str">
            <v>Hot water pumps</v>
          </cell>
        </row>
        <row r="200">
          <cell r="D200" t="str">
            <v>Hot water distribution</v>
          </cell>
        </row>
        <row r="201">
          <cell r="D201" t="str">
            <v>dual fuel boiler</v>
          </cell>
        </row>
        <row r="202">
          <cell r="D202" t="str">
            <v>CHP unit</v>
          </cell>
        </row>
        <row r="203">
          <cell r="D203" t="str">
            <v>CHP unit allowance</v>
          </cell>
        </row>
        <row r="204">
          <cell r="D204" t="str">
            <v>Plant room pipework &amp; valves</v>
          </cell>
        </row>
        <row r="205">
          <cell r="D205" t="str">
            <v>Plant room thermal insulation</v>
          </cell>
        </row>
        <row r="206">
          <cell r="D206" t="str">
            <v>LTHW distribution</v>
          </cell>
        </row>
        <row r="207">
          <cell r="D207" t="str">
            <v>VRV system</v>
          </cell>
        </row>
        <row r="208">
          <cell r="D208" t="str">
            <v>Underfloor heating to reception area only</v>
          </cell>
        </row>
        <row r="209">
          <cell r="D209" t="str">
            <v>Screed to underfloor heating; reception area only</v>
          </cell>
        </row>
        <row r="210">
          <cell r="D210" t="str">
            <v>Central air handling units; allowance</v>
          </cell>
        </row>
        <row r="211">
          <cell r="D211" t="str">
            <v>Supply and extract; generally</v>
          </cell>
        </row>
        <row r="212">
          <cell r="D212" t="str">
            <v>Toilet extract</v>
          </cell>
        </row>
        <row r="213">
          <cell r="D213" t="str">
            <v>Allowance for actuators to windows</v>
          </cell>
        </row>
        <row r="214">
          <cell r="D214" t="str">
            <v>Back up generator</v>
          </cell>
        </row>
        <row r="215">
          <cell r="D215" t="str">
            <v>Oil Storage</v>
          </cell>
        </row>
        <row r="216">
          <cell r="D216" t="str">
            <v>Generator earth farm</v>
          </cell>
        </row>
        <row r="217">
          <cell r="D217" t="str">
            <v>Sprinkler installations</v>
          </cell>
        </row>
        <row r="218">
          <cell r="D218" t="str">
            <v>BEMS system</v>
          </cell>
        </row>
        <row r="219">
          <cell r="D219" t="str">
            <v>Medical gases - ward &amp; resus area</v>
          </cell>
        </row>
        <row r="221">
          <cell r="D221" t="str">
            <v>LV switchgear, distribution and sub-mains</v>
          </cell>
        </row>
        <row r="222">
          <cell r="D222" t="str">
            <v>Containment -  modular</v>
          </cell>
        </row>
        <row r="223">
          <cell r="D223" t="str">
            <v>General LV power installations</v>
          </cell>
        </row>
        <row r="224">
          <cell r="D224" t="str">
            <v>Small power</v>
          </cell>
        </row>
        <row r="225">
          <cell r="D225" t="str">
            <v>Mechanical power supplies</v>
          </cell>
        </row>
        <row r="226">
          <cell r="D226" t="str">
            <v>General lighting</v>
          </cell>
        </row>
        <row r="227">
          <cell r="D227" t="str">
            <v>Examination lamps - allowance</v>
          </cell>
        </row>
        <row r="228">
          <cell r="D228" t="str">
            <v>Earthing and bonding</v>
          </cell>
        </row>
        <row r="229">
          <cell r="D229" t="str">
            <v>IPS / UPS to IT &amp; critical areas</v>
          </cell>
        </row>
        <row r="230">
          <cell r="D230" t="str">
            <v>Fire alarms</v>
          </cell>
        </row>
        <row r="231">
          <cell r="D231" t="str">
            <v>Smoke dampers &amp; fire suppression</v>
          </cell>
        </row>
        <row r="232">
          <cell r="D232" t="str">
            <v>Fire Suppression</v>
          </cell>
        </row>
        <row r="233">
          <cell r="D233" t="str">
            <v>Lightning protection</v>
          </cell>
        </row>
        <row r="234">
          <cell r="D234" t="str">
            <v>Bed lift; 1 stop including lifting beam - kone quotation</v>
          </cell>
        </row>
        <row r="235">
          <cell r="D235" t="str">
            <v>Patient Nurse call &amp; bed head trunking</v>
          </cell>
        </row>
        <row r="236">
          <cell r="D236" t="str">
            <v>Induction loop</v>
          </cell>
        </row>
        <row r="237">
          <cell r="D237" t="str">
            <v>Voice and data installations</v>
          </cell>
        </row>
        <row r="238">
          <cell r="D238" t="str">
            <v>TV Installations</v>
          </cell>
        </row>
        <row r="239">
          <cell r="D239" t="str">
            <v>Disable call system</v>
          </cell>
        </row>
        <row r="240">
          <cell r="D240" t="str">
            <v>CCTV allowance</v>
          </cell>
        </row>
        <row r="241">
          <cell r="D241" t="str">
            <v>Access control</v>
          </cell>
        </row>
        <row r="242">
          <cell r="D242" t="str">
            <v>Intruder detection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Project_Compliance_Tool"/>
      <sheetName val="Project Data Input Sheet"/>
      <sheetName val="Project_Assessment_Criteria"/>
      <sheetName val="Lookup Table"/>
      <sheetName val="Persistence_Factor_Methodology"/>
    </sheetNames>
    <sheetDataSet>
      <sheetData sheetId="0"/>
      <sheetData sheetId="1"/>
      <sheetData sheetId="2"/>
      <sheetData sheetId="3"/>
      <sheetData sheetId="4">
        <row r="16">
          <cell r="G16">
            <v>1</v>
          </cell>
        </row>
        <row r="17">
          <cell r="G17">
            <v>1.25</v>
          </cell>
        </row>
        <row r="18">
          <cell r="G18">
            <v>1.5</v>
          </cell>
        </row>
        <row r="19">
          <cell r="G19">
            <v>1.75</v>
          </cell>
        </row>
        <row r="20">
          <cell r="G20">
            <v>2</v>
          </cell>
        </row>
        <row r="21">
          <cell r="G21">
            <v>2.25</v>
          </cell>
        </row>
        <row r="22">
          <cell r="G22">
            <v>2.5</v>
          </cell>
        </row>
        <row r="23">
          <cell r="G23">
            <v>2.75</v>
          </cell>
        </row>
        <row r="24">
          <cell r="G24">
            <v>3</v>
          </cell>
        </row>
        <row r="25">
          <cell r="G25">
            <v>3.25</v>
          </cell>
        </row>
        <row r="26">
          <cell r="G26">
            <v>3.5</v>
          </cell>
        </row>
        <row r="27">
          <cell r="G27">
            <v>3.75</v>
          </cell>
        </row>
        <row r="28">
          <cell r="G28">
            <v>4</v>
          </cell>
        </row>
        <row r="29">
          <cell r="G29">
            <v>4.25</v>
          </cell>
        </row>
        <row r="30">
          <cell r="G30">
            <v>4.5</v>
          </cell>
        </row>
        <row r="31">
          <cell r="G31">
            <v>4.75</v>
          </cell>
        </row>
        <row r="32">
          <cell r="G32">
            <v>5</v>
          </cell>
        </row>
        <row r="33">
          <cell r="G33">
            <v>5.25</v>
          </cell>
        </row>
        <row r="34">
          <cell r="G34">
            <v>5.5</v>
          </cell>
        </row>
        <row r="35">
          <cell r="G35">
            <v>5.75</v>
          </cell>
        </row>
        <row r="36">
          <cell r="G36">
            <v>6</v>
          </cell>
        </row>
        <row r="37">
          <cell r="G37">
            <v>6.25</v>
          </cell>
        </row>
        <row r="38">
          <cell r="G38">
            <v>6.5</v>
          </cell>
        </row>
        <row r="39">
          <cell r="G39">
            <v>6.75</v>
          </cell>
        </row>
        <row r="40">
          <cell r="G40">
            <v>7</v>
          </cell>
        </row>
        <row r="41">
          <cell r="G41">
            <v>7.25</v>
          </cell>
        </row>
        <row r="42">
          <cell r="G42">
            <v>7.5</v>
          </cell>
        </row>
        <row r="43">
          <cell r="G43">
            <v>7.75</v>
          </cell>
        </row>
        <row r="44">
          <cell r="G44">
            <v>8</v>
          </cell>
        </row>
        <row r="45">
          <cell r="G45">
            <v>8.25</v>
          </cell>
        </row>
        <row r="46">
          <cell r="G46">
            <v>8.5</v>
          </cell>
        </row>
        <row r="47">
          <cell r="G47">
            <v>8.75</v>
          </cell>
        </row>
        <row r="48">
          <cell r="G48">
            <v>9</v>
          </cell>
        </row>
        <row r="49">
          <cell r="G49">
            <v>9.25</v>
          </cell>
        </row>
        <row r="51">
          <cell r="G51">
            <v>9.5</v>
          </cell>
        </row>
        <row r="52">
          <cell r="G52">
            <v>9.75</v>
          </cell>
        </row>
        <row r="53">
          <cell r="G53">
            <v>10</v>
          </cell>
        </row>
        <row r="54">
          <cell r="G54">
            <v>10.25</v>
          </cell>
        </row>
        <row r="55">
          <cell r="G55">
            <v>10.5</v>
          </cell>
        </row>
        <row r="56">
          <cell r="G56">
            <v>10.75</v>
          </cell>
        </row>
        <row r="57">
          <cell r="G57">
            <v>11</v>
          </cell>
        </row>
        <row r="58">
          <cell r="G58">
            <v>11.25</v>
          </cell>
        </row>
        <row r="59">
          <cell r="G59">
            <v>11.5</v>
          </cell>
        </row>
        <row r="60">
          <cell r="G60">
            <v>11.75</v>
          </cell>
        </row>
        <row r="61">
          <cell r="G61">
            <v>12</v>
          </cell>
        </row>
        <row r="62">
          <cell r="G62">
            <v>12.25</v>
          </cell>
        </row>
        <row r="63">
          <cell r="G63">
            <v>12.5</v>
          </cell>
        </row>
        <row r="64">
          <cell r="G64">
            <v>12.75</v>
          </cell>
        </row>
        <row r="65">
          <cell r="G65">
            <v>14.5</v>
          </cell>
        </row>
        <row r="66">
          <cell r="G66">
            <v>14.75</v>
          </cell>
        </row>
        <row r="67">
          <cell r="G67">
            <v>15</v>
          </cell>
        </row>
        <row r="68">
          <cell r="G68">
            <v>15.25</v>
          </cell>
        </row>
        <row r="69">
          <cell r="G69">
            <v>15.5</v>
          </cell>
        </row>
        <row r="70">
          <cell r="G70">
            <v>15.75</v>
          </cell>
        </row>
        <row r="71">
          <cell r="G71">
            <v>16</v>
          </cell>
        </row>
        <row r="72">
          <cell r="G72">
            <v>16.25</v>
          </cell>
        </row>
        <row r="73">
          <cell r="G73">
            <v>16.5</v>
          </cell>
        </row>
        <row r="74">
          <cell r="G74">
            <v>16.75</v>
          </cell>
        </row>
        <row r="75">
          <cell r="G75">
            <v>17</v>
          </cell>
        </row>
        <row r="76">
          <cell r="G76">
            <v>17.25</v>
          </cell>
        </row>
        <row r="77">
          <cell r="G77">
            <v>17.5</v>
          </cell>
        </row>
        <row r="78">
          <cell r="G78">
            <v>17.75</v>
          </cell>
        </row>
        <row r="79">
          <cell r="G79">
            <v>18</v>
          </cell>
        </row>
        <row r="80">
          <cell r="G80">
            <v>18.25</v>
          </cell>
        </row>
        <row r="81">
          <cell r="G81">
            <v>18.5</v>
          </cell>
        </row>
        <row r="82">
          <cell r="G82">
            <v>18.75</v>
          </cell>
        </row>
        <row r="83">
          <cell r="G83">
            <v>19</v>
          </cell>
        </row>
        <row r="84">
          <cell r="G84">
            <v>19.25</v>
          </cell>
        </row>
        <row r="85">
          <cell r="G85">
            <v>19.5</v>
          </cell>
        </row>
        <row r="86">
          <cell r="G86">
            <v>19.75</v>
          </cell>
        </row>
        <row r="87">
          <cell r="G87">
            <v>20</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1 Application Form"/>
      <sheetName val="Step 2 ECM 1"/>
      <sheetName val="ECM 2"/>
      <sheetName val="ECM 3"/>
      <sheetName val="ECM 4"/>
      <sheetName val="ECM 5"/>
      <sheetName val="Step 3 Business Case"/>
      <sheetName val="Step 4 Submission"/>
      <sheetName val="Technology List &amp; Con. Factors"/>
      <sheetName val="Terms and Conditions"/>
      <sheetName val="Revision History"/>
      <sheetName val="Backing sheet"/>
    </sheetNames>
    <sheetDataSet>
      <sheetData sheetId="0">
        <row r="17">
          <cell r="O17" t="str">
            <v>Completion</v>
          </cell>
        </row>
      </sheetData>
      <sheetData sheetId="1" refreshError="1"/>
      <sheetData sheetId="2" refreshError="1"/>
      <sheetData sheetId="3" refreshError="1"/>
      <sheetData sheetId="4" refreshError="1"/>
      <sheetData sheetId="5" refreshError="1"/>
      <sheetData sheetId="6" refreshError="1"/>
      <sheetData sheetId="7" refreshError="1"/>
      <sheetData sheetId="8">
        <row r="5">
          <cell r="F5" t="str">
            <v>Electricity</v>
          </cell>
        </row>
        <row r="6">
          <cell r="F6" t="str">
            <v>Gas</v>
          </cell>
        </row>
        <row r="7">
          <cell r="F7" t="str">
            <v>Gas oil</v>
          </cell>
        </row>
        <row r="8">
          <cell r="F8" t="str">
            <v>Fuel oil</v>
          </cell>
        </row>
        <row r="9">
          <cell r="F9" t="str">
            <v>Burning oil</v>
          </cell>
        </row>
        <row r="10">
          <cell r="F10" t="str">
            <v>Coal</v>
          </cell>
        </row>
        <row r="11">
          <cell r="F11" t="str">
            <v>LPG</v>
          </cell>
        </row>
        <row r="12">
          <cell r="F12" t="str">
            <v>Wood pellets</v>
          </cell>
        </row>
        <row r="13">
          <cell r="F13" t="str">
            <v>Wood chips</v>
          </cell>
        </row>
        <row r="14">
          <cell r="F14" t="str">
            <v>Biogas</v>
          </cell>
        </row>
      </sheetData>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ashboard"/>
      <sheetName val="Terms and Conditions"/>
      <sheetName val="Revision History"/>
      <sheetName val="CO2"/>
    </sheetNames>
    <sheetDataSet>
      <sheetData sheetId="0" refreshError="1"/>
      <sheetData sheetId="1">
        <row r="27">
          <cell r="D27">
            <v>0.1</v>
          </cell>
        </row>
        <row r="28">
          <cell r="D28">
            <v>-0.1</v>
          </cell>
        </row>
      </sheetData>
      <sheetData sheetId="2" refreshError="1"/>
      <sheetData sheetId="3" refreshError="1"/>
      <sheetData sheetId="4">
        <row r="2">
          <cell r="B2" t="str">
            <v>Electricity</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Guidance"/>
      <sheetName val="SOCI"/>
      <sheetName val="Project Cash Flow"/>
      <sheetName val="Borrowing consent threshold"/>
      <sheetName val="Programme"/>
      <sheetName val="Risk Register"/>
      <sheetName val="Guidance Notes"/>
      <sheetName val="Application Form"/>
      <sheetName val="Compliance Tool Phase 1"/>
      <sheetName val="Compliance Tool Phase 2"/>
      <sheetName val="Technology List"/>
      <sheetName val="Assessment Form"/>
      <sheetName val="Revision History"/>
      <sheetName val="PETREAD"/>
      <sheetName val="PETREAD Phase 2"/>
      <sheetName val="Extra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Boilers</v>
          </cell>
        </row>
        <row r="4">
          <cell r="A4" t="str">
            <v>Building management systems</v>
          </cell>
        </row>
        <row r="5">
          <cell r="A5" t="str">
            <v>Combined heat &amp; power</v>
          </cell>
        </row>
        <row r="6">
          <cell r="A6" t="str">
            <v>Compressor</v>
          </cell>
        </row>
        <row r="7">
          <cell r="A7" t="str">
            <v>Computers &amp; IT solutions</v>
          </cell>
        </row>
        <row r="8">
          <cell r="A8" t="str">
            <v>Cooling</v>
          </cell>
        </row>
        <row r="9">
          <cell r="A9" t="str">
            <v>Energy from waste</v>
          </cell>
        </row>
        <row r="10">
          <cell r="A10" t="str">
            <v>Hand Dryers</v>
          </cell>
        </row>
        <row r="11">
          <cell r="A11" t="str">
            <v>Heating</v>
          </cell>
        </row>
        <row r="12">
          <cell r="A12" t="str">
            <v>Hot water</v>
          </cell>
        </row>
        <row r="13">
          <cell r="A13" t="str">
            <v>Industrial kitchen equipment</v>
          </cell>
        </row>
        <row r="14">
          <cell r="A14" t="str">
            <v>Insulation - building fabric</v>
          </cell>
        </row>
        <row r="15">
          <cell r="A15" t="str">
            <v>Insulation - draught proofing</v>
          </cell>
        </row>
        <row r="16">
          <cell r="A16" t="str">
            <v>Insulation - other</v>
          </cell>
        </row>
        <row r="17">
          <cell r="A17" t="str">
            <v>Insulation - pipework</v>
          </cell>
        </row>
        <row r="18">
          <cell r="A18" t="str">
            <v>Lab Upgrades</v>
          </cell>
        </row>
        <row r="19">
          <cell r="A19" t="str">
            <v>LED lighting</v>
          </cell>
        </row>
        <row r="20">
          <cell r="A20" t="str">
            <v>Lighting controls</v>
          </cell>
        </row>
        <row r="21">
          <cell r="A21" t="str">
            <v>Motor controls</v>
          </cell>
        </row>
        <row r="22">
          <cell r="A22" t="str">
            <v>Motor replacement</v>
          </cell>
        </row>
        <row r="23">
          <cell r="A23" t="str">
            <v>Office equipment</v>
          </cell>
        </row>
        <row r="24">
          <cell r="A24" t="str">
            <v>Renewable energy</v>
          </cell>
        </row>
        <row r="25">
          <cell r="A25" t="str">
            <v>Street lighting</v>
          </cell>
        </row>
        <row r="26">
          <cell r="A26" t="str">
            <v>Swimming</v>
          </cell>
        </row>
        <row r="27">
          <cell r="A27" t="str">
            <v>Time switches</v>
          </cell>
        </row>
        <row r="28">
          <cell r="A28" t="str">
            <v>Traffic lights</v>
          </cell>
        </row>
        <row r="29">
          <cell r="A29" t="str">
            <v>Transformers</v>
          </cell>
        </row>
        <row r="30">
          <cell r="A30" t="str">
            <v>Ventilation</v>
          </cell>
        </row>
        <row r="31">
          <cell r="A31" t="str">
            <v>Voltage management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Example"/>
      <sheetName val="Project 1"/>
      <sheetName val="Project 2"/>
      <sheetName val="Project 3"/>
      <sheetName val="Calculation Methodology"/>
      <sheetName val="Reference Material"/>
      <sheetName val="Change Log"/>
      <sheetName val="Terms and Conditions"/>
    </sheetNames>
    <sheetDataSet>
      <sheetData sheetId="0">
        <row r="6">
          <cell r="B6" t="str">
            <v>Salix Finance: Pool Heatloss - Evaporation Tool (Version 1.0)</v>
          </cell>
        </row>
      </sheetData>
      <sheetData sheetId="1">
        <row r="12">
          <cell r="C12">
            <v>15</v>
          </cell>
        </row>
        <row r="19">
          <cell r="C19">
            <v>2000000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14B155-CDEC-4697-88D0-7BDDB5A18568}" name="Table3" displayName="Table3" ref="C5:AC15" totalsRowShown="0" headerRowDxfId="28" dataDxfId="27">
  <autoFilter ref="C5:AC15" xr:uid="{87C78625-DF7F-4185-AA1F-DBCFB8F824E1}"/>
  <tableColumns count="27">
    <tableColumn id="1" xr3:uid="{2C65A729-2BEC-4059-9FB2-671E0F8355AD}" name="Carbon Emissions by Energy Source" dataDxfId="26"/>
    <tableColumn id="2" xr3:uid="{1E31E35D-12DE-4741-9A6A-80EFC108D6F6}" name="Column1" dataDxfId="25"/>
    <tableColumn id="3" xr3:uid="{99C5BE60-9EC4-4E26-95EC-2C2CEBEF5F9E}" name="2022" dataDxfId="24"/>
    <tableColumn id="4" xr3:uid="{691F9C0B-2370-4CB0-95BC-44C9C62FA02D}" name="2023" dataDxfId="23"/>
    <tableColumn id="5" xr3:uid="{B2BBE986-6DE5-43A0-B070-A14215F99186}" name="2024" dataDxfId="22"/>
    <tableColumn id="6" xr3:uid="{E7361B8A-8B11-47E4-95A9-51F90BC4D7E6}" name="2025" dataDxfId="21"/>
    <tableColumn id="7" xr3:uid="{02982AD0-4051-445C-9FB9-1D297C7BCA57}" name="2026" dataDxfId="20"/>
    <tableColumn id="8" xr3:uid="{3B33803F-65F5-41E3-8D63-3F5368C6A74D}" name="2027" dataDxfId="19"/>
    <tableColumn id="9" xr3:uid="{85BBE932-16EA-46C8-AD11-8C95C54D7329}" name="2028" dataDxfId="18"/>
    <tableColumn id="10" xr3:uid="{1E8BFC51-2887-4168-9E8C-91F486AB5E64}" name="2029" dataDxfId="17"/>
    <tableColumn id="11" xr3:uid="{69E5B5DA-E1B1-44CF-B553-E56FD36D98A0}" name="2030" dataDxfId="16"/>
    <tableColumn id="12" xr3:uid="{3D61CC95-823A-42D3-BDCC-09EB7911DC06}" name="2031" dataDxfId="15"/>
    <tableColumn id="13" xr3:uid="{900AF3C4-9476-42AB-BFAB-8C30F8FE550F}" name="2032" dataDxfId="14"/>
    <tableColumn id="14" xr3:uid="{93DC61B2-50BF-4706-9FCF-41A242E9C528}" name="2033" dataDxfId="13"/>
    <tableColumn id="15" xr3:uid="{38F55154-1FA6-47DB-ACA0-AAABA639E792}" name="2034" dataDxfId="12"/>
    <tableColumn id="16" xr3:uid="{59588A5C-B431-4E3F-87A1-7522D09D0B8B}" name="2035" dataDxfId="11"/>
    <tableColumn id="17" xr3:uid="{71E5EC7D-1425-42A2-94F9-82301A8F8EEF}" name="2036" dataDxfId="10"/>
    <tableColumn id="18" xr3:uid="{7F14CA59-6182-4CF0-8210-49B4FCA40C8D}" name="2037" dataDxfId="9"/>
    <tableColumn id="19" xr3:uid="{CFB59EB4-88BC-4771-B3FB-2ADD8678BEE2}" name="2038" dataDxfId="8"/>
    <tableColumn id="20" xr3:uid="{E971A1AC-62AF-4F39-9E4B-368D5245A280}" name="2039" dataDxfId="7"/>
    <tableColumn id="21" xr3:uid="{4092AFF2-E7BE-41B9-BFCC-F4051CFDEDFA}" name="2040" dataDxfId="6"/>
    <tableColumn id="22" xr3:uid="{D70963E7-D57E-46AF-9559-19B82DF82388}" name="2041" dataDxfId="5"/>
    <tableColumn id="23" xr3:uid="{A13A1C17-8870-442B-9B40-4945A392CDB8}" name="2042" dataDxfId="4"/>
    <tableColumn id="24" xr3:uid="{560A2FCA-0D1B-43FB-8B4D-E7CEA208D413}" name="2043" dataDxfId="3"/>
    <tableColumn id="25" xr3:uid="{4E1C5B3A-FE16-484F-9B8E-0CEDF431940B}" name="2044" dataDxfId="2"/>
    <tableColumn id="26" xr3:uid="{DE4556B4-811E-479E-B717-621776BD8B3A}" name="2045" dataDxfId="1"/>
    <tableColumn id="27" xr3:uid="{F7C4016F-40AF-4D06-9778-9820A12D2FB8}" name="2046"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659E-876F-436D-9B82-AFC400BC2E26}">
  <sheetPr>
    <tabColor rgb="FF92D050"/>
    <pageSetUpPr fitToPage="1"/>
  </sheetPr>
  <dimension ref="C1:O61"/>
  <sheetViews>
    <sheetView tabSelected="1" zoomScale="90" zoomScaleNormal="90" workbookViewId="0">
      <selection activeCell="T16" sqref="T16"/>
    </sheetView>
  </sheetViews>
  <sheetFormatPr defaultColWidth="9.140625" defaultRowHeight="15" x14ac:dyDescent="0.2"/>
  <cols>
    <col min="1" max="1" width="9.140625" style="187"/>
    <col min="2" max="2" width="4.140625" style="187" customWidth="1"/>
    <col min="3" max="11" width="8" style="187" customWidth="1"/>
    <col min="12" max="12" width="9.5703125" style="187" customWidth="1"/>
    <col min="13" max="13" width="12" style="187" customWidth="1"/>
    <col min="14" max="14" width="9.7109375" style="187" customWidth="1"/>
    <col min="15" max="15" width="2.28515625" style="187" bestFit="1" customWidth="1"/>
    <col min="16" max="16384" width="9.140625" style="187"/>
  </cols>
  <sheetData>
    <row r="1" spans="3:15" ht="15.75" thickBot="1" x14ac:dyDescent="0.25"/>
    <row r="2" spans="3:15" s="190" customFormat="1" ht="15.75" x14ac:dyDescent="0.2">
      <c r="C2" s="652" t="s">
        <v>508</v>
      </c>
      <c r="D2" s="653"/>
      <c r="E2" s="653"/>
      <c r="F2" s="653"/>
      <c r="G2" s="653"/>
      <c r="H2" s="653"/>
      <c r="I2" s="653"/>
      <c r="J2" s="653"/>
      <c r="K2" s="653"/>
      <c r="L2" s="653"/>
      <c r="M2" s="188"/>
      <c r="N2" s="189"/>
    </row>
    <row r="3" spans="3:15" s="190" customFormat="1" ht="15.75" x14ac:dyDescent="0.25">
      <c r="C3" s="654" t="s">
        <v>505</v>
      </c>
      <c r="D3" s="645"/>
      <c r="E3" s="645"/>
      <c r="F3" s="645"/>
      <c r="G3" s="645"/>
      <c r="H3" s="645"/>
      <c r="I3" s="645"/>
      <c r="J3" s="645"/>
      <c r="K3" s="645"/>
      <c r="L3" s="645"/>
      <c r="M3" s="191"/>
      <c r="N3" s="192"/>
    </row>
    <row r="4" spans="3:15" s="190" customFormat="1" ht="16.5" thickBot="1" x14ac:dyDescent="0.3">
      <c r="C4" s="655" t="s">
        <v>507</v>
      </c>
      <c r="D4" s="656"/>
      <c r="E4" s="656"/>
      <c r="F4" s="193" t="s">
        <v>506</v>
      </c>
      <c r="G4" s="193"/>
      <c r="H4" s="193"/>
      <c r="I4" s="193"/>
      <c r="J4" s="194"/>
      <c r="K4" s="194"/>
      <c r="L4" s="194"/>
      <c r="M4" s="194"/>
      <c r="N4" s="195"/>
    </row>
    <row r="5" spans="3:15" s="190" customFormat="1" x14ac:dyDescent="0.2">
      <c r="C5" s="196"/>
      <c r="D5" s="197"/>
      <c r="E5" s="197"/>
      <c r="F5" s="197"/>
      <c r="G5" s="197"/>
      <c r="H5" s="197"/>
      <c r="I5" s="197"/>
      <c r="J5" s="197"/>
      <c r="K5" s="197"/>
      <c r="L5" s="197"/>
      <c r="M5" s="197"/>
      <c r="N5" s="198"/>
    </row>
    <row r="6" spans="3:15" s="190" customFormat="1" x14ac:dyDescent="0.2">
      <c r="C6" s="196"/>
      <c r="D6" s="197"/>
      <c r="E6" s="197"/>
      <c r="F6" s="197"/>
      <c r="G6" s="197"/>
      <c r="H6" s="197"/>
      <c r="I6" s="197"/>
      <c r="J6" s="197"/>
      <c r="K6" s="197"/>
      <c r="L6" s="197"/>
      <c r="M6" s="197"/>
      <c r="N6" s="198"/>
    </row>
    <row r="7" spans="3:15" s="190" customFormat="1" x14ac:dyDescent="0.2">
      <c r="C7" s="196"/>
      <c r="D7" s="197"/>
      <c r="E7" s="197"/>
      <c r="F7" s="197"/>
      <c r="G7" s="197"/>
      <c r="H7" s="197"/>
      <c r="I7" s="197"/>
      <c r="J7" s="197"/>
      <c r="K7" s="197"/>
      <c r="L7" s="197"/>
      <c r="M7" s="197"/>
      <c r="N7" s="198"/>
    </row>
    <row r="8" spans="3:15" s="190" customFormat="1" x14ac:dyDescent="0.2">
      <c r="C8" s="196"/>
      <c r="D8" s="197"/>
      <c r="E8" s="197"/>
      <c r="F8" s="197"/>
      <c r="G8" s="197"/>
      <c r="H8" s="197"/>
      <c r="I8" s="197"/>
      <c r="J8" s="197"/>
      <c r="K8" s="197"/>
      <c r="L8" s="197"/>
      <c r="M8" s="197"/>
      <c r="N8" s="198"/>
    </row>
    <row r="9" spans="3:15" s="190" customFormat="1" x14ac:dyDescent="0.2">
      <c r="C9" s="196"/>
      <c r="D9" s="197"/>
      <c r="E9" s="197"/>
      <c r="F9" s="197"/>
      <c r="G9" s="197"/>
      <c r="H9" s="197"/>
      <c r="I9" s="197"/>
      <c r="J9" s="197"/>
      <c r="K9" s="197"/>
      <c r="L9" s="197"/>
      <c r="M9" s="197"/>
      <c r="N9" s="198"/>
    </row>
    <row r="10" spans="3:15" s="190" customFormat="1" x14ac:dyDescent="0.2">
      <c r="C10" s="196"/>
      <c r="D10" s="197"/>
      <c r="E10" s="197"/>
      <c r="F10" s="197"/>
      <c r="G10" s="197"/>
      <c r="H10" s="197"/>
      <c r="I10" s="197"/>
      <c r="J10" s="197"/>
      <c r="K10" s="197"/>
      <c r="L10" s="197"/>
      <c r="M10" s="197"/>
      <c r="N10" s="198"/>
      <c r="O10" s="390" t="s">
        <v>498</v>
      </c>
    </row>
    <row r="11" spans="3:15" s="190" customFormat="1" x14ac:dyDescent="0.2">
      <c r="C11" s="196"/>
      <c r="D11" s="197"/>
      <c r="E11" s="197"/>
      <c r="F11" s="197"/>
      <c r="G11" s="197"/>
      <c r="H11" s="197"/>
      <c r="I11" s="197"/>
      <c r="J11" s="197"/>
      <c r="K11" s="197"/>
      <c r="L11" s="197"/>
      <c r="M11" s="197"/>
      <c r="N11" s="198"/>
      <c r="O11" s="390" t="s">
        <v>498</v>
      </c>
    </row>
    <row r="12" spans="3:15" s="190" customFormat="1" x14ac:dyDescent="0.2">
      <c r="C12" s="196"/>
      <c r="D12" s="197"/>
      <c r="E12" s="197"/>
      <c r="F12" s="197"/>
      <c r="G12" s="197"/>
      <c r="H12" s="197"/>
      <c r="I12" s="197"/>
      <c r="J12" s="197"/>
      <c r="K12" s="197"/>
      <c r="L12" s="197"/>
      <c r="M12" s="197"/>
      <c r="N12" s="198"/>
      <c r="O12" s="390"/>
    </row>
    <row r="13" spans="3:15" s="190" customFormat="1" x14ac:dyDescent="0.2">
      <c r="C13" s="196"/>
      <c r="D13" s="197"/>
      <c r="E13" s="197"/>
      <c r="F13" s="197"/>
      <c r="G13" s="197"/>
      <c r="H13" s="197"/>
      <c r="I13" s="197"/>
      <c r="J13" s="197"/>
      <c r="K13" s="197"/>
      <c r="L13" s="197"/>
      <c r="M13" s="197"/>
      <c r="N13" s="198"/>
      <c r="O13" s="390" t="s">
        <v>498</v>
      </c>
    </row>
    <row r="14" spans="3:15" s="190" customFormat="1" x14ac:dyDescent="0.2">
      <c r="C14" s="196"/>
      <c r="D14" s="197"/>
      <c r="E14" s="197"/>
      <c r="F14" s="197"/>
      <c r="G14" s="197"/>
      <c r="H14" s="197"/>
      <c r="I14" s="197"/>
      <c r="J14" s="197"/>
      <c r="K14" s="197"/>
      <c r="L14" s="197"/>
      <c r="M14" s="197"/>
      <c r="N14" s="198"/>
    </row>
    <row r="15" spans="3:15" s="190" customFormat="1" x14ac:dyDescent="0.2">
      <c r="C15" s="196"/>
      <c r="D15" s="197"/>
      <c r="E15" s="197"/>
      <c r="F15" s="197"/>
      <c r="G15" s="197"/>
      <c r="H15" s="197"/>
      <c r="I15" s="197"/>
      <c r="J15" s="197"/>
      <c r="K15" s="197"/>
      <c r="L15" s="197"/>
      <c r="M15" s="197"/>
      <c r="N15" s="198"/>
    </row>
    <row r="16" spans="3:15" s="190" customFormat="1" x14ac:dyDescent="0.2">
      <c r="C16" s="196"/>
      <c r="D16" s="197"/>
      <c r="E16" s="197"/>
      <c r="F16" s="197"/>
      <c r="G16" s="197"/>
      <c r="H16" s="197"/>
      <c r="I16" s="197"/>
      <c r="J16" s="197"/>
      <c r="K16" s="197"/>
      <c r="L16" s="197"/>
      <c r="M16" s="197"/>
      <c r="N16" s="198"/>
    </row>
    <row r="17" spans="3:14" s="190" customFormat="1" x14ac:dyDescent="0.2">
      <c r="C17" s="196"/>
      <c r="D17" s="197"/>
      <c r="E17" s="197"/>
      <c r="F17" s="197"/>
      <c r="G17" s="197"/>
      <c r="H17" s="197"/>
      <c r="I17" s="197"/>
      <c r="J17" s="197"/>
      <c r="K17" s="197"/>
      <c r="L17" s="197"/>
      <c r="M17" s="197"/>
      <c r="N17" s="198"/>
    </row>
    <row r="18" spans="3:14" s="190" customFormat="1" x14ac:dyDescent="0.2">
      <c r="C18" s="196"/>
      <c r="D18" s="197"/>
      <c r="E18" s="197"/>
      <c r="F18" s="197"/>
      <c r="G18" s="197"/>
      <c r="H18" s="197"/>
      <c r="I18" s="197"/>
      <c r="J18" s="197"/>
      <c r="K18" s="197"/>
      <c r="L18" s="197"/>
      <c r="M18" s="197"/>
      <c r="N18" s="198"/>
    </row>
    <row r="19" spans="3:14" s="190" customFormat="1" x14ac:dyDescent="0.2">
      <c r="C19" s="196"/>
      <c r="D19" s="197"/>
      <c r="E19" s="197"/>
      <c r="F19" s="197"/>
      <c r="G19" s="197"/>
      <c r="H19" s="197"/>
      <c r="I19" s="197"/>
      <c r="J19" s="197"/>
      <c r="K19" s="197"/>
      <c r="L19" s="197"/>
      <c r="M19" s="197"/>
      <c r="N19" s="198"/>
    </row>
    <row r="20" spans="3:14" s="190" customFormat="1" x14ac:dyDescent="0.2">
      <c r="C20" s="196"/>
      <c r="D20" s="197"/>
      <c r="E20" s="197"/>
      <c r="F20" s="197"/>
      <c r="G20" s="197"/>
      <c r="H20" s="197"/>
      <c r="I20" s="197"/>
      <c r="J20" s="197"/>
      <c r="K20" s="197"/>
      <c r="L20" s="197"/>
      <c r="M20" s="197"/>
      <c r="N20" s="198"/>
    </row>
    <row r="21" spans="3:14" s="190" customFormat="1" x14ac:dyDescent="0.2">
      <c r="C21" s="196"/>
      <c r="D21" s="197"/>
      <c r="E21" s="197"/>
      <c r="F21" s="197"/>
      <c r="G21" s="197"/>
      <c r="H21" s="197"/>
      <c r="I21" s="197"/>
      <c r="J21" s="197"/>
      <c r="K21" s="197"/>
      <c r="L21" s="197"/>
      <c r="M21" s="197"/>
      <c r="N21" s="198"/>
    </row>
    <row r="22" spans="3:14" s="190" customFormat="1" x14ac:dyDescent="0.2">
      <c r="C22" s="196"/>
      <c r="D22" s="197"/>
      <c r="E22" s="197"/>
      <c r="F22" s="197"/>
      <c r="G22" s="197"/>
      <c r="H22" s="197"/>
      <c r="I22" s="197"/>
      <c r="J22" s="197"/>
      <c r="K22" s="197"/>
      <c r="L22" s="197"/>
      <c r="M22" s="197"/>
      <c r="N22" s="198"/>
    </row>
    <row r="23" spans="3:14" s="190" customFormat="1" x14ac:dyDescent="0.2">
      <c r="C23" s="196"/>
      <c r="D23" s="197"/>
      <c r="E23" s="197"/>
      <c r="F23" s="197"/>
      <c r="G23" s="197"/>
      <c r="H23" s="197"/>
      <c r="I23" s="197"/>
      <c r="J23" s="197"/>
      <c r="K23" s="197"/>
      <c r="L23" s="197"/>
      <c r="M23" s="197"/>
      <c r="N23" s="198"/>
    </row>
    <row r="24" spans="3:14" x14ac:dyDescent="0.2">
      <c r="C24" s="199"/>
      <c r="D24" s="200"/>
      <c r="E24" s="200"/>
      <c r="F24" s="200"/>
      <c r="G24" s="200"/>
      <c r="H24" s="200"/>
      <c r="I24" s="200"/>
      <c r="J24" s="200"/>
      <c r="K24" s="200"/>
      <c r="L24" s="200"/>
      <c r="M24" s="200"/>
      <c r="N24" s="201"/>
    </row>
    <row r="25" spans="3:14" x14ac:dyDescent="0.2">
      <c r="C25" s="202" t="s">
        <v>5</v>
      </c>
      <c r="D25" s="200"/>
      <c r="E25" s="200"/>
      <c r="F25" s="200"/>
      <c r="G25" s="200"/>
      <c r="H25" s="200"/>
      <c r="I25" s="200"/>
      <c r="J25" s="200"/>
      <c r="K25" s="200"/>
      <c r="L25" s="200"/>
      <c r="M25" s="200"/>
      <c r="N25" s="201"/>
    </row>
    <row r="26" spans="3:14" x14ac:dyDescent="0.2">
      <c r="C26" s="202" t="s">
        <v>498</v>
      </c>
      <c r="D26" s="200"/>
      <c r="E26" s="200"/>
      <c r="F26" s="200"/>
      <c r="G26" s="200"/>
      <c r="H26" s="200"/>
      <c r="I26" s="200"/>
      <c r="J26" s="200"/>
      <c r="K26" s="200"/>
      <c r="L26" s="200"/>
      <c r="M26" s="200"/>
      <c r="N26" s="201"/>
    </row>
    <row r="27" spans="3:14" s="388" customFormat="1" ht="45" customHeight="1" x14ac:dyDescent="0.2">
      <c r="C27" s="644" t="s">
        <v>6</v>
      </c>
      <c r="D27" s="662"/>
      <c r="E27" s="662"/>
      <c r="F27" s="662"/>
      <c r="G27" s="662"/>
      <c r="H27" s="662"/>
      <c r="I27" s="662"/>
      <c r="J27" s="662"/>
      <c r="K27" s="645"/>
      <c r="L27" s="645"/>
      <c r="M27" s="645"/>
      <c r="N27" s="646"/>
    </row>
    <row r="28" spans="3:14" s="388" customFormat="1" ht="34.5" customHeight="1" x14ac:dyDescent="0.2">
      <c r="C28" s="644" t="s">
        <v>510</v>
      </c>
      <c r="D28" s="662"/>
      <c r="E28" s="662"/>
      <c r="F28" s="662"/>
      <c r="G28" s="662"/>
      <c r="H28" s="662"/>
      <c r="I28" s="662"/>
      <c r="J28" s="662"/>
      <c r="K28" s="645"/>
      <c r="L28" s="645"/>
      <c r="M28" s="645"/>
      <c r="N28" s="646"/>
    </row>
    <row r="29" spans="3:14" s="388" customFormat="1" ht="33.75" customHeight="1" x14ac:dyDescent="0.2">
      <c r="C29" s="644" t="s">
        <v>511</v>
      </c>
      <c r="D29" s="645"/>
      <c r="E29" s="645"/>
      <c r="F29" s="645"/>
      <c r="G29" s="645"/>
      <c r="H29" s="645"/>
      <c r="I29" s="645"/>
      <c r="J29" s="645"/>
      <c r="K29" s="645"/>
      <c r="L29" s="645"/>
      <c r="M29" s="645"/>
      <c r="N29" s="646"/>
    </row>
    <row r="30" spans="3:14" s="388" customFormat="1" x14ac:dyDescent="0.2">
      <c r="C30" s="644" t="s">
        <v>7</v>
      </c>
      <c r="D30" s="645"/>
      <c r="E30" s="645"/>
      <c r="F30" s="645"/>
      <c r="G30" s="645"/>
      <c r="H30" s="645"/>
      <c r="I30" s="645"/>
      <c r="J30" s="645"/>
      <c r="K30" s="645"/>
      <c r="L30" s="645"/>
      <c r="M30" s="645"/>
      <c r="N30" s="646"/>
    </row>
    <row r="31" spans="3:14" x14ac:dyDescent="0.2">
      <c r="C31" s="199"/>
      <c r="D31" s="200"/>
      <c r="E31" s="200"/>
      <c r="F31" s="200"/>
      <c r="G31" s="200"/>
      <c r="H31" s="200"/>
      <c r="I31" s="200"/>
      <c r="J31" s="200"/>
      <c r="K31" s="200"/>
      <c r="L31" s="200"/>
      <c r="M31" s="200"/>
      <c r="N31" s="201"/>
    </row>
    <row r="32" spans="3:14" x14ac:dyDescent="0.2">
      <c r="C32" s="199"/>
      <c r="D32" s="200"/>
      <c r="E32" s="200"/>
      <c r="F32" s="200"/>
      <c r="G32" s="200"/>
      <c r="H32" s="200"/>
      <c r="I32" s="200"/>
      <c r="J32" s="200"/>
      <c r="K32" s="200"/>
      <c r="L32" s="200"/>
      <c r="M32" s="200"/>
      <c r="N32" s="201"/>
    </row>
    <row r="33" spans="3:14" x14ac:dyDescent="0.2">
      <c r="C33" s="199"/>
      <c r="D33" s="200"/>
      <c r="E33" s="200"/>
      <c r="F33" s="200"/>
      <c r="G33" s="200"/>
      <c r="H33" s="200"/>
      <c r="I33" s="200"/>
      <c r="J33" s="200"/>
      <c r="K33" s="200"/>
      <c r="L33" s="200"/>
      <c r="M33" s="200"/>
      <c r="N33" s="201"/>
    </row>
    <row r="34" spans="3:14" x14ac:dyDescent="0.2">
      <c r="C34" s="199"/>
      <c r="D34" s="200"/>
      <c r="E34" s="200"/>
      <c r="F34" s="200"/>
      <c r="G34" s="200"/>
      <c r="H34" s="200"/>
      <c r="I34" s="200"/>
      <c r="J34" s="200"/>
      <c r="K34" s="200"/>
      <c r="L34" s="200"/>
      <c r="M34" s="200"/>
      <c r="N34" s="201"/>
    </row>
    <row r="35" spans="3:14" x14ac:dyDescent="0.2">
      <c r="C35" s="199"/>
      <c r="D35" s="200"/>
      <c r="E35" s="200"/>
      <c r="F35" s="200"/>
      <c r="G35" s="200"/>
      <c r="H35" s="200"/>
      <c r="I35" s="200"/>
      <c r="J35" s="200"/>
      <c r="K35" s="200"/>
      <c r="L35" s="200"/>
      <c r="M35" s="200"/>
      <c r="N35" s="201"/>
    </row>
    <row r="36" spans="3:14" x14ac:dyDescent="0.2">
      <c r="C36" s="199"/>
      <c r="D36" s="200"/>
      <c r="E36" s="200"/>
      <c r="F36" s="200"/>
      <c r="G36" s="200"/>
      <c r="H36" s="200"/>
      <c r="I36" s="200"/>
      <c r="J36" s="200"/>
      <c r="K36" s="200"/>
      <c r="L36" s="200"/>
      <c r="M36" s="200"/>
      <c r="N36" s="201"/>
    </row>
    <row r="37" spans="3:14" x14ac:dyDescent="0.2">
      <c r="C37" s="199"/>
      <c r="D37" s="200"/>
      <c r="E37" s="200"/>
      <c r="F37" s="200"/>
      <c r="G37" s="200"/>
      <c r="H37" s="200"/>
      <c r="I37" s="200"/>
      <c r="J37" s="200"/>
      <c r="K37" s="200"/>
      <c r="L37" s="200"/>
      <c r="M37" s="200"/>
      <c r="N37" s="201"/>
    </row>
    <row r="38" spans="3:14" x14ac:dyDescent="0.2">
      <c r="C38" s="199"/>
      <c r="D38" s="200"/>
      <c r="E38" s="200"/>
      <c r="F38" s="200"/>
      <c r="G38" s="200"/>
      <c r="H38" s="200"/>
      <c r="I38" s="200"/>
      <c r="J38" s="200"/>
      <c r="K38" s="200"/>
      <c r="L38" s="200"/>
      <c r="M38" s="200"/>
      <c r="N38" s="201"/>
    </row>
    <row r="39" spans="3:14" x14ac:dyDescent="0.2">
      <c r="C39" s="199"/>
      <c r="D39" s="200"/>
      <c r="E39" s="200"/>
      <c r="F39" s="200"/>
      <c r="G39" s="200"/>
      <c r="H39" s="200"/>
      <c r="I39" s="200"/>
      <c r="J39" s="200"/>
      <c r="K39" s="200"/>
      <c r="L39" s="200"/>
      <c r="M39" s="200"/>
      <c r="N39" s="201"/>
    </row>
    <row r="40" spans="3:14" x14ac:dyDescent="0.2">
      <c r="C40" s="199"/>
      <c r="D40" s="200"/>
      <c r="E40" s="200"/>
      <c r="F40" s="200"/>
      <c r="G40" s="200"/>
      <c r="H40" s="200"/>
      <c r="I40" s="200"/>
      <c r="J40" s="200"/>
      <c r="K40" s="200"/>
      <c r="L40" s="200"/>
      <c r="M40" s="200"/>
      <c r="N40" s="201"/>
    </row>
    <row r="41" spans="3:14" x14ac:dyDescent="0.2">
      <c r="C41" s="199"/>
      <c r="D41" s="200"/>
      <c r="E41" s="200"/>
      <c r="F41" s="200"/>
      <c r="G41" s="200"/>
      <c r="H41" s="200"/>
      <c r="I41" s="200"/>
      <c r="J41" s="200"/>
      <c r="K41" s="200"/>
      <c r="L41" s="200"/>
      <c r="M41" s="200"/>
      <c r="N41" s="201"/>
    </row>
    <row r="42" spans="3:14" x14ac:dyDescent="0.2">
      <c r="C42" s="199"/>
      <c r="D42" s="200"/>
      <c r="E42" s="200"/>
      <c r="F42" s="200"/>
      <c r="G42" s="200"/>
      <c r="H42" s="200"/>
      <c r="I42" s="200"/>
      <c r="J42" s="200"/>
      <c r="K42" s="200"/>
      <c r="L42" s="200"/>
      <c r="M42" s="200"/>
      <c r="N42" s="201"/>
    </row>
    <row r="43" spans="3:14" x14ac:dyDescent="0.2">
      <c r="C43" s="199"/>
      <c r="D43" s="200"/>
      <c r="E43" s="200"/>
      <c r="F43" s="200"/>
      <c r="G43" s="200"/>
      <c r="H43" s="200"/>
      <c r="I43" s="200"/>
      <c r="J43" s="200"/>
      <c r="K43" s="200"/>
      <c r="L43" s="200"/>
      <c r="M43" s="200"/>
      <c r="N43" s="201"/>
    </row>
    <row r="44" spans="3:14" x14ac:dyDescent="0.2">
      <c r="C44" s="199"/>
      <c r="D44" s="200"/>
      <c r="E44" s="200"/>
      <c r="F44" s="200"/>
      <c r="G44" s="200"/>
      <c r="H44" s="200"/>
      <c r="I44" s="200"/>
      <c r="J44" s="200"/>
      <c r="K44" s="200"/>
      <c r="L44" s="200"/>
      <c r="M44" s="200"/>
      <c r="N44" s="201"/>
    </row>
    <row r="45" spans="3:14" x14ac:dyDescent="0.2">
      <c r="C45" s="199"/>
      <c r="D45" s="200"/>
      <c r="E45" s="200"/>
      <c r="F45" s="200"/>
      <c r="G45" s="200"/>
      <c r="H45" s="200"/>
      <c r="I45" s="200"/>
      <c r="J45" s="200"/>
      <c r="K45" s="200"/>
      <c r="L45" s="200"/>
      <c r="M45" s="200"/>
      <c r="N45" s="201"/>
    </row>
    <row r="46" spans="3:14" x14ac:dyDescent="0.2">
      <c r="C46" s="199"/>
      <c r="D46" s="200"/>
      <c r="E46" s="200"/>
      <c r="F46" s="200"/>
      <c r="G46" s="200"/>
      <c r="H46" s="200"/>
      <c r="I46" s="200"/>
      <c r="J46" s="200"/>
      <c r="K46" s="200"/>
      <c r="L46" s="200"/>
      <c r="M46" s="200"/>
      <c r="N46" s="201"/>
    </row>
    <row r="47" spans="3:14" x14ac:dyDescent="0.2">
      <c r="C47" s="199"/>
      <c r="D47" s="200"/>
      <c r="E47" s="200"/>
      <c r="F47" s="200"/>
      <c r="G47" s="200"/>
      <c r="H47" s="200"/>
      <c r="I47" s="200"/>
      <c r="J47" s="200"/>
      <c r="K47" s="200"/>
      <c r="L47" s="200"/>
      <c r="M47" s="200"/>
      <c r="N47" s="201"/>
    </row>
    <row r="48" spans="3:14" x14ac:dyDescent="0.2">
      <c r="C48" s="199"/>
      <c r="D48" s="200"/>
      <c r="E48" s="200"/>
      <c r="F48" s="200"/>
      <c r="G48" s="200"/>
      <c r="H48" s="200"/>
      <c r="I48" s="200"/>
      <c r="J48" s="200"/>
      <c r="K48" s="200"/>
      <c r="L48" s="200"/>
      <c r="M48" s="200"/>
      <c r="N48" s="201"/>
    </row>
    <row r="49" spans="3:14" x14ac:dyDescent="0.2">
      <c r="C49" s="199"/>
      <c r="D49" s="200"/>
      <c r="E49" s="200"/>
      <c r="F49" s="200"/>
      <c r="G49" s="200"/>
      <c r="H49" s="200"/>
      <c r="I49" s="200"/>
      <c r="J49" s="200"/>
      <c r="K49" s="200"/>
      <c r="L49" s="200"/>
      <c r="M49" s="200"/>
      <c r="N49" s="201"/>
    </row>
    <row r="50" spans="3:14" x14ac:dyDescent="0.2">
      <c r="C50" s="199"/>
      <c r="D50" s="200"/>
      <c r="E50" s="200"/>
      <c r="F50" s="200"/>
      <c r="G50" s="200"/>
      <c r="H50" s="200"/>
      <c r="I50" s="200"/>
      <c r="J50" s="200"/>
      <c r="K50" s="200"/>
      <c r="L50" s="200"/>
      <c r="M50" s="200"/>
      <c r="N50" s="201"/>
    </row>
    <row r="51" spans="3:14" x14ac:dyDescent="0.2">
      <c r="C51" s="199"/>
      <c r="D51" s="200"/>
      <c r="E51" s="200"/>
      <c r="F51" s="200"/>
      <c r="G51" s="200"/>
      <c r="H51" s="200"/>
      <c r="I51" s="200"/>
      <c r="J51" s="200"/>
      <c r="K51" s="200"/>
      <c r="L51" s="200"/>
      <c r="M51" s="200"/>
      <c r="N51" s="201"/>
    </row>
    <row r="52" spans="3:14" x14ac:dyDescent="0.2">
      <c r="C52" s="199"/>
      <c r="D52" s="200"/>
      <c r="E52" s="200"/>
      <c r="F52" s="200"/>
      <c r="G52" s="200"/>
      <c r="H52" s="200"/>
      <c r="I52" s="200"/>
      <c r="J52" s="200"/>
      <c r="K52" s="200"/>
      <c r="L52" s="200"/>
      <c r="M52" s="200"/>
      <c r="N52" s="201"/>
    </row>
    <row r="53" spans="3:14" ht="15.75" thickBot="1" x14ac:dyDescent="0.25">
      <c r="C53" s="199"/>
      <c r="D53" s="200"/>
      <c r="E53" s="200"/>
      <c r="F53" s="200"/>
      <c r="G53" s="200"/>
      <c r="H53" s="200"/>
      <c r="I53" s="200"/>
      <c r="J53" s="200"/>
      <c r="K53" s="200"/>
      <c r="L53" s="200"/>
      <c r="M53" s="200"/>
      <c r="N53" s="201"/>
    </row>
    <row r="54" spans="3:14" x14ac:dyDescent="0.2">
      <c r="C54" s="659" t="s">
        <v>8</v>
      </c>
      <c r="D54" s="660"/>
      <c r="E54" s="660"/>
      <c r="F54" s="660"/>
      <c r="G54" s="660"/>
      <c r="H54" s="660"/>
      <c r="I54" s="660"/>
      <c r="J54" s="660"/>
      <c r="K54" s="660"/>
      <c r="L54" s="660"/>
      <c r="M54" s="660"/>
      <c r="N54" s="661"/>
    </row>
    <row r="55" spans="3:14" s="269" customFormat="1" x14ac:dyDescent="0.2">
      <c r="C55" s="389">
        <v>1</v>
      </c>
      <c r="D55" s="647" t="s">
        <v>509</v>
      </c>
      <c r="E55" s="658"/>
      <c r="F55" s="658"/>
      <c r="G55" s="658"/>
      <c r="H55" s="658"/>
      <c r="I55" s="658"/>
      <c r="J55" s="658"/>
      <c r="K55" s="658"/>
      <c r="L55" s="658"/>
      <c r="M55" s="648"/>
      <c r="N55" s="267"/>
    </row>
    <row r="56" spans="3:14" s="269" customFormat="1" ht="25.5" customHeight="1" x14ac:dyDescent="0.2">
      <c r="C56" s="389">
        <v>2</v>
      </c>
      <c r="D56" s="647" t="s">
        <v>504</v>
      </c>
      <c r="E56" s="648"/>
      <c r="F56" s="648"/>
      <c r="G56" s="648"/>
      <c r="H56" s="648"/>
      <c r="I56" s="648"/>
      <c r="J56" s="648"/>
      <c r="K56" s="648"/>
      <c r="L56" s="648"/>
      <c r="M56" s="648"/>
      <c r="N56" s="268"/>
    </row>
    <row r="57" spans="3:14" s="269" customFormat="1" x14ac:dyDescent="0.2">
      <c r="C57" s="389">
        <v>3</v>
      </c>
      <c r="D57" s="647" t="s">
        <v>9</v>
      </c>
      <c r="E57" s="648"/>
      <c r="F57" s="648"/>
      <c r="G57" s="648"/>
      <c r="H57" s="648"/>
      <c r="I57" s="648"/>
      <c r="J57" s="648"/>
      <c r="K57" s="648"/>
      <c r="L57" s="648"/>
      <c r="M57" s="648"/>
      <c r="N57" s="646"/>
    </row>
    <row r="58" spans="3:14" s="269" customFormat="1" x14ac:dyDescent="0.2">
      <c r="C58" s="389">
        <v>4</v>
      </c>
      <c r="D58" s="647" t="s">
        <v>10</v>
      </c>
      <c r="E58" s="647"/>
      <c r="F58" s="647"/>
      <c r="G58" s="647"/>
      <c r="H58" s="647"/>
      <c r="I58" s="647"/>
      <c r="J58" s="647"/>
      <c r="K58" s="647"/>
      <c r="L58" s="647"/>
      <c r="M58" s="647"/>
      <c r="N58" s="657"/>
    </row>
    <row r="59" spans="3:14" s="269" customFormat="1" x14ac:dyDescent="0.2">
      <c r="C59" s="389">
        <v>5</v>
      </c>
      <c r="D59" s="647" t="s">
        <v>11</v>
      </c>
      <c r="E59" s="647"/>
      <c r="F59" s="647"/>
      <c r="G59" s="647"/>
      <c r="H59" s="647"/>
      <c r="I59" s="647"/>
      <c r="J59" s="647"/>
      <c r="K59" s="647"/>
      <c r="L59" s="647"/>
      <c r="M59" s="647"/>
      <c r="N59" s="657"/>
    </row>
    <row r="60" spans="3:14" s="269" customFormat="1" ht="26.25" customHeight="1" x14ac:dyDescent="0.2">
      <c r="C60" s="389">
        <v>6</v>
      </c>
      <c r="D60" s="647" t="s">
        <v>12</v>
      </c>
      <c r="E60" s="647"/>
      <c r="F60" s="647"/>
      <c r="G60" s="647"/>
      <c r="H60" s="647"/>
      <c r="I60" s="647"/>
      <c r="J60" s="647"/>
      <c r="K60" s="647"/>
      <c r="L60" s="647"/>
      <c r="M60" s="647"/>
      <c r="N60" s="657"/>
    </row>
    <row r="61" spans="3:14" s="269" customFormat="1" ht="15.75" thickBot="1" x14ac:dyDescent="0.25">
      <c r="C61" s="649"/>
      <c r="D61" s="650"/>
      <c r="E61" s="650"/>
      <c r="F61" s="650"/>
      <c r="G61" s="650"/>
      <c r="H61" s="650"/>
      <c r="I61" s="650"/>
      <c r="J61" s="650"/>
      <c r="K61" s="650"/>
      <c r="L61" s="650"/>
      <c r="M61" s="650"/>
      <c r="N61" s="651"/>
    </row>
  </sheetData>
  <sheetProtection algorithmName="SHA-512" hashValue="YpMMvNCoduSCqcmoG+CcujQWIEsEg+0Qi3aGZ6bNEzHtzgrfWpwajsDXK2ePS36L5/xIgH3HsCg8MzVyLbFkKA==" saltValue="h8o0qNieC65n2FPdWxE2cQ==" spinCount="100000" sheet="1" objects="1" scenarios="1"/>
  <mergeCells count="15">
    <mergeCell ref="C30:N30"/>
    <mergeCell ref="D57:N57"/>
    <mergeCell ref="C61:N61"/>
    <mergeCell ref="C2:L2"/>
    <mergeCell ref="C3:L3"/>
    <mergeCell ref="C4:E4"/>
    <mergeCell ref="D60:N60"/>
    <mergeCell ref="D58:N58"/>
    <mergeCell ref="D59:N59"/>
    <mergeCell ref="D55:M55"/>
    <mergeCell ref="D56:M56"/>
    <mergeCell ref="C54:N54"/>
    <mergeCell ref="C28:N28"/>
    <mergeCell ref="C27:N27"/>
    <mergeCell ref="C29:N29"/>
  </mergeCells>
  <printOptions horizontalCentered="1"/>
  <pageMargins left="0.31496062992125984" right="0.31496062992125984" top="0.35433070866141736" bottom="0.74803149606299213" header="0.31496062992125984" footer="0.31496062992125984"/>
  <pageSetup paperSize="9"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AC20C-720C-4AAF-A526-BE56475EA9AF}">
  <sheetPr codeName="Sheet10">
    <tabColor rgb="FFFF0000"/>
  </sheetPr>
  <dimension ref="B3:I95"/>
  <sheetViews>
    <sheetView workbookViewId="0">
      <selection activeCell="D40" sqref="D40"/>
    </sheetView>
  </sheetViews>
  <sheetFormatPr defaultRowHeight="12.75" x14ac:dyDescent="0.2"/>
  <cols>
    <col min="1" max="2" width="8.7109375" style="422"/>
    <col min="3" max="3" width="32.5703125" style="422" bestFit="1" customWidth="1"/>
    <col min="4" max="4" width="22.140625" style="422" customWidth="1"/>
    <col min="5" max="258" width="8.7109375" style="422"/>
    <col min="259" max="259" width="32.5703125" style="422" bestFit="1" customWidth="1"/>
    <col min="260" max="260" width="22.140625" style="422" customWidth="1"/>
    <col min="261" max="514" width="8.7109375" style="422"/>
    <col min="515" max="515" width="32.5703125" style="422" bestFit="1" customWidth="1"/>
    <col min="516" max="516" width="22.140625" style="422" customWidth="1"/>
    <col min="517" max="770" width="8.7109375" style="422"/>
    <col min="771" max="771" width="32.5703125" style="422" bestFit="1" customWidth="1"/>
    <col min="772" max="772" width="22.140625" style="422" customWidth="1"/>
    <col min="773" max="1026" width="8.7109375" style="422"/>
    <col min="1027" max="1027" width="32.5703125" style="422" bestFit="1" customWidth="1"/>
    <col min="1028" max="1028" width="22.140625" style="422" customWidth="1"/>
    <col min="1029" max="1282" width="8.7109375" style="422"/>
    <col min="1283" max="1283" width="32.5703125" style="422" bestFit="1" customWidth="1"/>
    <col min="1284" max="1284" width="22.140625" style="422" customWidth="1"/>
    <col min="1285" max="1538" width="8.7109375" style="422"/>
    <col min="1539" max="1539" width="32.5703125" style="422" bestFit="1" customWidth="1"/>
    <col min="1540" max="1540" width="22.140625" style="422" customWidth="1"/>
    <col min="1541" max="1794" width="8.7109375" style="422"/>
    <col min="1795" max="1795" width="32.5703125" style="422" bestFit="1" customWidth="1"/>
    <col min="1796" max="1796" width="22.140625" style="422" customWidth="1"/>
    <col min="1797" max="2050" width="8.7109375" style="422"/>
    <col min="2051" max="2051" width="32.5703125" style="422" bestFit="1" customWidth="1"/>
    <col min="2052" max="2052" width="22.140625" style="422" customWidth="1"/>
    <col min="2053" max="2306" width="8.7109375" style="422"/>
    <col min="2307" max="2307" width="32.5703125" style="422" bestFit="1" customWidth="1"/>
    <col min="2308" max="2308" width="22.140625" style="422" customWidth="1"/>
    <col min="2309" max="2562" width="8.7109375" style="422"/>
    <col min="2563" max="2563" width="32.5703125" style="422" bestFit="1" customWidth="1"/>
    <col min="2564" max="2564" width="22.140625" style="422" customWidth="1"/>
    <col min="2565" max="2818" width="8.7109375" style="422"/>
    <col min="2819" max="2819" width="32.5703125" style="422" bestFit="1" customWidth="1"/>
    <col min="2820" max="2820" width="22.140625" style="422" customWidth="1"/>
    <col min="2821" max="3074" width="8.7109375" style="422"/>
    <col min="3075" max="3075" width="32.5703125" style="422" bestFit="1" customWidth="1"/>
    <col min="3076" max="3076" width="22.140625" style="422" customWidth="1"/>
    <col min="3077" max="3330" width="8.7109375" style="422"/>
    <col min="3331" max="3331" width="32.5703125" style="422" bestFit="1" customWidth="1"/>
    <col min="3332" max="3332" width="22.140625" style="422" customWidth="1"/>
    <col min="3333" max="3586" width="8.7109375" style="422"/>
    <col min="3587" max="3587" width="32.5703125" style="422" bestFit="1" customWidth="1"/>
    <col min="3588" max="3588" width="22.140625" style="422" customWidth="1"/>
    <col min="3589" max="3842" width="8.7109375" style="422"/>
    <col min="3843" max="3843" width="32.5703125" style="422" bestFit="1" customWidth="1"/>
    <col min="3844" max="3844" width="22.140625" style="422" customWidth="1"/>
    <col min="3845" max="4098" width="8.7109375" style="422"/>
    <col min="4099" max="4099" width="32.5703125" style="422" bestFit="1" customWidth="1"/>
    <col min="4100" max="4100" width="22.140625" style="422" customWidth="1"/>
    <col min="4101" max="4354" width="8.7109375" style="422"/>
    <col min="4355" max="4355" width="32.5703125" style="422" bestFit="1" customWidth="1"/>
    <col min="4356" max="4356" width="22.140625" style="422" customWidth="1"/>
    <col min="4357" max="4610" width="8.7109375" style="422"/>
    <col min="4611" max="4611" width="32.5703125" style="422" bestFit="1" customWidth="1"/>
    <col min="4612" max="4612" width="22.140625" style="422" customWidth="1"/>
    <col min="4613" max="4866" width="8.7109375" style="422"/>
    <col min="4867" max="4867" width="32.5703125" style="422" bestFit="1" customWidth="1"/>
    <col min="4868" max="4868" width="22.140625" style="422" customWidth="1"/>
    <col min="4869" max="5122" width="8.7109375" style="422"/>
    <col min="5123" max="5123" width="32.5703125" style="422" bestFit="1" customWidth="1"/>
    <col min="5124" max="5124" width="22.140625" style="422" customWidth="1"/>
    <col min="5125" max="5378" width="8.7109375" style="422"/>
    <col min="5379" max="5379" width="32.5703125" style="422" bestFit="1" customWidth="1"/>
    <col min="5380" max="5380" width="22.140625" style="422" customWidth="1"/>
    <col min="5381" max="5634" width="8.7109375" style="422"/>
    <col min="5635" max="5635" width="32.5703125" style="422" bestFit="1" customWidth="1"/>
    <col min="5636" max="5636" width="22.140625" style="422" customWidth="1"/>
    <col min="5637" max="5890" width="8.7109375" style="422"/>
    <col min="5891" max="5891" width="32.5703125" style="422" bestFit="1" customWidth="1"/>
    <col min="5892" max="5892" width="22.140625" style="422" customWidth="1"/>
    <col min="5893" max="6146" width="8.7109375" style="422"/>
    <col min="6147" max="6147" width="32.5703125" style="422" bestFit="1" customWidth="1"/>
    <col min="6148" max="6148" width="22.140625" style="422" customWidth="1"/>
    <col min="6149" max="6402" width="8.7109375" style="422"/>
    <col min="6403" max="6403" width="32.5703125" style="422" bestFit="1" customWidth="1"/>
    <col min="6404" max="6404" width="22.140625" style="422" customWidth="1"/>
    <col min="6405" max="6658" width="8.7109375" style="422"/>
    <col min="6659" max="6659" width="32.5703125" style="422" bestFit="1" customWidth="1"/>
    <col min="6660" max="6660" width="22.140625" style="422" customWidth="1"/>
    <col min="6661" max="6914" width="8.7109375" style="422"/>
    <col min="6915" max="6915" width="32.5703125" style="422" bestFit="1" customWidth="1"/>
    <col min="6916" max="6916" width="22.140625" style="422" customWidth="1"/>
    <col min="6917" max="7170" width="8.7109375" style="422"/>
    <col min="7171" max="7171" width="32.5703125" style="422" bestFit="1" customWidth="1"/>
    <col min="7172" max="7172" width="22.140625" style="422" customWidth="1"/>
    <col min="7173" max="7426" width="8.7109375" style="422"/>
    <col min="7427" max="7427" width="32.5703125" style="422" bestFit="1" customWidth="1"/>
    <col min="7428" max="7428" width="22.140625" style="422" customWidth="1"/>
    <col min="7429" max="7682" width="8.7109375" style="422"/>
    <col min="7683" max="7683" width="32.5703125" style="422" bestFit="1" customWidth="1"/>
    <col min="7684" max="7684" width="22.140625" style="422" customWidth="1"/>
    <col min="7685" max="7938" width="8.7109375" style="422"/>
    <col min="7939" max="7939" width="32.5703125" style="422" bestFit="1" customWidth="1"/>
    <col min="7940" max="7940" width="22.140625" style="422" customWidth="1"/>
    <col min="7941" max="8194" width="8.7109375" style="422"/>
    <col min="8195" max="8195" width="32.5703125" style="422" bestFit="1" customWidth="1"/>
    <col min="8196" max="8196" width="22.140625" style="422" customWidth="1"/>
    <col min="8197" max="8450" width="8.7109375" style="422"/>
    <col min="8451" max="8451" width="32.5703125" style="422" bestFit="1" customWidth="1"/>
    <col min="8452" max="8452" width="22.140625" style="422" customWidth="1"/>
    <col min="8453" max="8706" width="8.7109375" style="422"/>
    <col min="8707" max="8707" width="32.5703125" style="422" bestFit="1" customWidth="1"/>
    <col min="8708" max="8708" width="22.140625" style="422" customWidth="1"/>
    <col min="8709" max="8962" width="8.7109375" style="422"/>
    <col min="8963" max="8963" width="32.5703125" style="422" bestFit="1" customWidth="1"/>
    <col min="8964" max="8964" width="22.140625" style="422" customWidth="1"/>
    <col min="8965" max="9218" width="8.7109375" style="422"/>
    <col min="9219" max="9219" width="32.5703125" style="422" bestFit="1" customWidth="1"/>
    <col min="9220" max="9220" width="22.140625" style="422" customWidth="1"/>
    <col min="9221" max="9474" width="8.7109375" style="422"/>
    <col min="9475" max="9475" width="32.5703125" style="422" bestFit="1" customWidth="1"/>
    <col min="9476" max="9476" width="22.140625" style="422" customWidth="1"/>
    <col min="9477" max="9730" width="8.7109375" style="422"/>
    <col min="9731" max="9731" width="32.5703125" style="422" bestFit="1" customWidth="1"/>
    <col min="9732" max="9732" width="22.140625" style="422" customWidth="1"/>
    <col min="9733" max="9986" width="8.7109375" style="422"/>
    <col min="9987" max="9987" width="32.5703125" style="422" bestFit="1" customWidth="1"/>
    <col min="9988" max="9988" width="22.140625" style="422" customWidth="1"/>
    <col min="9989" max="10242" width="8.7109375" style="422"/>
    <col min="10243" max="10243" width="32.5703125" style="422" bestFit="1" customWidth="1"/>
    <col min="10244" max="10244" width="22.140625" style="422" customWidth="1"/>
    <col min="10245" max="10498" width="8.7109375" style="422"/>
    <col min="10499" max="10499" width="32.5703125" style="422" bestFit="1" customWidth="1"/>
    <col min="10500" max="10500" width="22.140625" style="422" customWidth="1"/>
    <col min="10501" max="10754" width="8.7109375" style="422"/>
    <col min="10755" max="10755" width="32.5703125" style="422" bestFit="1" customWidth="1"/>
    <col min="10756" max="10756" width="22.140625" style="422" customWidth="1"/>
    <col min="10757" max="11010" width="8.7109375" style="422"/>
    <col min="11011" max="11011" width="32.5703125" style="422" bestFit="1" customWidth="1"/>
    <col min="11012" max="11012" width="22.140625" style="422" customWidth="1"/>
    <col min="11013" max="11266" width="8.7109375" style="422"/>
    <col min="11267" max="11267" width="32.5703125" style="422" bestFit="1" customWidth="1"/>
    <col min="11268" max="11268" width="22.140625" style="422" customWidth="1"/>
    <col min="11269" max="11522" width="8.7109375" style="422"/>
    <col min="11523" max="11523" width="32.5703125" style="422" bestFit="1" customWidth="1"/>
    <col min="11524" max="11524" width="22.140625" style="422" customWidth="1"/>
    <col min="11525" max="11778" width="8.7109375" style="422"/>
    <col min="11779" max="11779" width="32.5703125" style="422" bestFit="1" customWidth="1"/>
    <col min="11780" max="11780" width="22.140625" style="422" customWidth="1"/>
    <col min="11781" max="12034" width="8.7109375" style="422"/>
    <col min="12035" max="12035" width="32.5703125" style="422" bestFit="1" customWidth="1"/>
    <col min="12036" max="12036" width="22.140625" style="422" customWidth="1"/>
    <col min="12037" max="12290" width="8.7109375" style="422"/>
    <col min="12291" max="12291" width="32.5703125" style="422" bestFit="1" customWidth="1"/>
    <col min="12292" max="12292" width="22.140625" style="422" customWidth="1"/>
    <col min="12293" max="12546" width="8.7109375" style="422"/>
    <col min="12547" max="12547" width="32.5703125" style="422" bestFit="1" customWidth="1"/>
    <col min="12548" max="12548" width="22.140625" style="422" customWidth="1"/>
    <col min="12549" max="12802" width="8.7109375" style="422"/>
    <col min="12803" max="12803" width="32.5703125" style="422" bestFit="1" customWidth="1"/>
    <col min="12804" max="12804" width="22.140625" style="422" customWidth="1"/>
    <col min="12805" max="13058" width="8.7109375" style="422"/>
    <col min="13059" max="13059" width="32.5703125" style="422" bestFit="1" customWidth="1"/>
    <col min="13060" max="13060" width="22.140625" style="422" customWidth="1"/>
    <col min="13061" max="13314" width="8.7109375" style="422"/>
    <col min="13315" max="13315" width="32.5703125" style="422" bestFit="1" customWidth="1"/>
    <col min="13316" max="13316" width="22.140625" style="422" customWidth="1"/>
    <col min="13317" max="13570" width="8.7109375" style="422"/>
    <col min="13571" max="13571" width="32.5703125" style="422" bestFit="1" customWidth="1"/>
    <col min="13572" max="13572" width="22.140625" style="422" customWidth="1"/>
    <col min="13573" max="13826" width="8.7109375" style="422"/>
    <col min="13827" max="13827" width="32.5703125" style="422" bestFit="1" customWidth="1"/>
    <col min="13828" max="13828" width="22.140625" style="422" customWidth="1"/>
    <col min="13829" max="14082" width="8.7109375" style="422"/>
    <col min="14083" max="14083" width="32.5703125" style="422" bestFit="1" customWidth="1"/>
    <col min="14084" max="14084" width="22.140625" style="422" customWidth="1"/>
    <col min="14085" max="14338" width="8.7109375" style="422"/>
    <col min="14339" max="14339" width="32.5703125" style="422" bestFit="1" customWidth="1"/>
    <col min="14340" max="14340" width="22.140625" style="422" customWidth="1"/>
    <col min="14341" max="14594" width="8.7109375" style="422"/>
    <col min="14595" max="14595" width="32.5703125" style="422" bestFit="1" customWidth="1"/>
    <col min="14596" max="14596" width="22.140625" style="422" customWidth="1"/>
    <col min="14597" max="14850" width="8.7109375" style="422"/>
    <col min="14851" max="14851" width="32.5703125" style="422" bestFit="1" customWidth="1"/>
    <col min="14852" max="14852" width="22.140625" style="422" customWidth="1"/>
    <col min="14853" max="15106" width="8.7109375" style="422"/>
    <col min="15107" max="15107" width="32.5703125" style="422" bestFit="1" customWidth="1"/>
    <col min="15108" max="15108" width="22.140625" style="422" customWidth="1"/>
    <col min="15109" max="15362" width="8.7109375" style="422"/>
    <col min="15363" max="15363" width="32.5703125" style="422" bestFit="1" customWidth="1"/>
    <col min="15364" max="15364" width="22.140625" style="422" customWidth="1"/>
    <col min="15365" max="15618" width="8.7109375" style="422"/>
    <col min="15619" max="15619" width="32.5703125" style="422" bestFit="1" customWidth="1"/>
    <col min="15620" max="15620" width="22.140625" style="422" customWidth="1"/>
    <col min="15621" max="15874" width="8.7109375" style="422"/>
    <col min="15875" max="15875" width="32.5703125" style="422" bestFit="1" customWidth="1"/>
    <col min="15876" max="15876" width="22.140625" style="422" customWidth="1"/>
    <col min="15877" max="16130" width="8.7109375" style="422"/>
    <col min="16131" max="16131" width="32.5703125" style="422" bestFit="1" customWidth="1"/>
    <col min="16132" max="16132" width="22.140625" style="422" customWidth="1"/>
    <col min="16133" max="16384" width="8.7109375" style="422"/>
  </cols>
  <sheetData>
    <row r="3" spans="2:9" x14ac:dyDescent="0.2">
      <c r="I3" s="416"/>
    </row>
    <row r="4" spans="2:9" x14ac:dyDescent="0.2">
      <c r="B4" s="422" t="s">
        <v>210</v>
      </c>
      <c r="C4" s="422" t="s">
        <v>211</v>
      </c>
      <c r="D4" s="416" t="s">
        <v>145</v>
      </c>
      <c r="I4" s="419"/>
    </row>
    <row r="5" spans="2:9" x14ac:dyDescent="0.2">
      <c r="B5" s="422" t="s">
        <v>212</v>
      </c>
      <c r="C5" s="423" t="s">
        <v>213</v>
      </c>
      <c r="D5" s="416" t="s">
        <v>150</v>
      </c>
      <c r="E5" s="424"/>
      <c r="I5" s="419"/>
    </row>
    <row r="6" spans="2:9" x14ac:dyDescent="0.2">
      <c r="C6" s="423" t="s">
        <v>214</v>
      </c>
      <c r="D6" s="419" t="s">
        <v>152</v>
      </c>
      <c r="E6" s="425"/>
      <c r="I6" s="419"/>
    </row>
    <row r="7" spans="2:9" x14ac:dyDescent="0.2">
      <c r="C7" s="423" t="s">
        <v>215</v>
      </c>
      <c r="D7" s="419" t="s">
        <v>157</v>
      </c>
      <c r="E7" s="424"/>
      <c r="I7" s="419"/>
    </row>
    <row r="8" spans="2:9" x14ac:dyDescent="0.2">
      <c r="C8" s="426" t="s">
        <v>503</v>
      </c>
      <c r="D8" s="419" t="s">
        <v>62</v>
      </c>
      <c r="E8" s="424"/>
      <c r="I8" s="419"/>
    </row>
    <row r="9" spans="2:9" x14ac:dyDescent="0.2">
      <c r="C9" s="426"/>
      <c r="D9" s="419" t="s">
        <v>170</v>
      </c>
      <c r="E9" s="424"/>
      <c r="I9" s="419"/>
    </row>
    <row r="10" spans="2:9" x14ac:dyDescent="0.2">
      <c r="C10" s="426"/>
      <c r="D10" s="419" t="s">
        <v>172</v>
      </c>
      <c r="E10" s="424"/>
      <c r="I10" s="419"/>
    </row>
    <row r="11" spans="2:9" x14ac:dyDescent="0.2">
      <c r="C11" s="426"/>
      <c r="D11" s="419" t="s">
        <v>175</v>
      </c>
      <c r="E11" s="424"/>
      <c r="I11" s="419"/>
    </row>
    <row r="12" spans="2:9" x14ac:dyDescent="0.2">
      <c r="C12" s="426"/>
      <c r="D12" s="419" t="s">
        <v>179</v>
      </c>
      <c r="E12" s="424"/>
      <c r="I12" s="419"/>
    </row>
    <row r="13" spans="2:9" x14ac:dyDescent="0.2">
      <c r="C13" s="426"/>
      <c r="D13" s="419" t="s">
        <v>183</v>
      </c>
      <c r="E13" s="424"/>
      <c r="I13" s="427"/>
    </row>
    <row r="14" spans="2:9" x14ac:dyDescent="0.2">
      <c r="C14" s="426"/>
      <c r="D14" s="419" t="s">
        <v>186</v>
      </c>
      <c r="E14" s="424"/>
      <c r="I14" s="427"/>
    </row>
    <row r="15" spans="2:9" x14ac:dyDescent="0.2">
      <c r="C15" s="426"/>
      <c r="D15" s="419" t="s">
        <v>190</v>
      </c>
      <c r="E15" s="424"/>
      <c r="I15" s="427"/>
    </row>
    <row r="16" spans="2:9" x14ac:dyDescent="0.2">
      <c r="C16" s="426"/>
      <c r="D16" s="419" t="s">
        <v>197</v>
      </c>
      <c r="E16" s="424"/>
      <c r="I16" s="427"/>
    </row>
    <row r="17" spans="3:9" x14ac:dyDescent="0.2">
      <c r="C17" s="426"/>
      <c r="D17" s="419" t="s">
        <v>216</v>
      </c>
      <c r="E17" s="424"/>
      <c r="I17" s="427"/>
    </row>
    <row r="18" spans="3:9" x14ac:dyDescent="0.2">
      <c r="C18" s="426"/>
      <c r="D18" s="419" t="s">
        <v>217</v>
      </c>
      <c r="E18" s="424"/>
      <c r="I18" s="427"/>
    </row>
    <row r="19" spans="3:9" x14ac:dyDescent="0.2">
      <c r="C19" s="426"/>
      <c r="E19" s="425"/>
      <c r="I19" s="427"/>
    </row>
    <row r="20" spans="3:9" x14ac:dyDescent="0.2">
      <c r="C20" s="426"/>
      <c r="E20" s="425"/>
      <c r="I20" s="427"/>
    </row>
    <row r="21" spans="3:9" x14ac:dyDescent="0.2">
      <c r="C21" s="426"/>
      <c r="E21" s="424"/>
      <c r="I21" s="427"/>
    </row>
    <row r="22" spans="3:9" x14ac:dyDescent="0.2">
      <c r="C22" s="426"/>
      <c r="D22" s="427"/>
      <c r="E22" s="424"/>
      <c r="I22" s="427"/>
    </row>
    <row r="23" spans="3:9" x14ac:dyDescent="0.2">
      <c r="C23" s="426"/>
      <c r="D23" s="427"/>
      <c r="E23" s="424"/>
      <c r="I23" s="427"/>
    </row>
    <row r="24" spans="3:9" x14ac:dyDescent="0.2">
      <c r="C24" s="426"/>
      <c r="D24" s="427"/>
      <c r="E24" s="424"/>
      <c r="I24" s="427"/>
    </row>
    <row r="25" spans="3:9" x14ac:dyDescent="0.2">
      <c r="C25" s="426"/>
      <c r="D25" s="427"/>
      <c r="E25" s="424"/>
      <c r="I25" s="427"/>
    </row>
    <row r="26" spans="3:9" x14ac:dyDescent="0.2">
      <c r="C26" s="426"/>
      <c r="D26" s="427"/>
      <c r="E26" s="424"/>
      <c r="I26" s="427"/>
    </row>
    <row r="27" spans="3:9" x14ac:dyDescent="0.2">
      <c r="C27" s="426"/>
      <c r="D27" s="427"/>
      <c r="E27" s="424"/>
      <c r="I27" s="427"/>
    </row>
    <row r="28" spans="3:9" x14ac:dyDescent="0.2">
      <c r="C28" s="426"/>
      <c r="D28" s="427"/>
      <c r="E28" s="424"/>
      <c r="I28" s="427"/>
    </row>
    <row r="29" spans="3:9" x14ac:dyDescent="0.2">
      <c r="C29" s="426"/>
      <c r="D29" s="427"/>
      <c r="E29" s="424"/>
      <c r="I29" s="427"/>
    </row>
    <row r="30" spans="3:9" x14ac:dyDescent="0.2">
      <c r="C30" s="426"/>
      <c r="D30" s="427"/>
      <c r="E30" s="424"/>
      <c r="I30" s="427"/>
    </row>
    <row r="31" spans="3:9" x14ac:dyDescent="0.2">
      <c r="D31" s="427"/>
      <c r="I31" s="427"/>
    </row>
    <row r="32" spans="3:9" x14ac:dyDescent="0.2">
      <c r="D32" s="427"/>
      <c r="I32" s="427"/>
    </row>
    <row r="33" spans="4:9" x14ac:dyDescent="0.2">
      <c r="D33" s="427"/>
      <c r="I33" s="427"/>
    </row>
    <row r="34" spans="4:9" x14ac:dyDescent="0.2">
      <c r="D34" s="427"/>
    </row>
    <row r="35" spans="4:9" x14ac:dyDescent="0.2">
      <c r="D35" s="427"/>
    </row>
    <row r="36" spans="4:9" x14ac:dyDescent="0.2">
      <c r="D36" s="427"/>
    </row>
    <row r="37" spans="4:9" x14ac:dyDescent="0.2">
      <c r="D37" s="427"/>
    </row>
    <row r="38" spans="4:9" x14ac:dyDescent="0.2">
      <c r="D38" s="427"/>
    </row>
    <row r="39" spans="4:9" x14ac:dyDescent="0.2">
      <c r="D39" s="427"/>
    </row>
    <row r="40" spans="4:9" x14ac:dyDescent="0.2">
      <c r="D40" s="427"/>
    </row>
    <row r="41" spans="4:9" x14ac:dyDescent="0.2">
      <c r="D41" s="427"/>
    </row>
    <row r="42" spans="4:9" x14ac:dyDescent="0.2">
      <c r="D42" s="427"/>
    </row>
    <row r="43" spans="4:9" x14ac:dyDescent="0.2">
      <c r="D43" s="427"/>
    </row>
    <row r="44" spans="4:9" x14ac:dyDescent="0.2">
      <c r="D44" s="427"/>
    </row>
    <row r="45" spans="4:9" x14ac:dyDescent="0.2">
      <c r="D45" s="427"/>
    </row>
    <row r="46" spans="4:9" x14ac:dyDescent="0.2">
      <c r="D46" s="427"/>
    </row>
    <row r="47" spans="4:9" x14ac:dyDescent="0.2">
      <c r="D47" s="427"/>
    </row>
    <row r="48" spans="4:9" x14ac:dyDescent="0.2">
      <c r="D48" s="427"/>
    </row>
    <row r="49" spans="4:4" x14ac:dyDescent="0.2">
      <c r="D49" s="427"/>
    </row>
    <row r="50" spans="4:4" x14ac:dyDescent="0.2">
      <c r="D50" s="427"/>
    </row>
    <row r="51" spans="4:4" x14ac:dyDescent="0.2">
      <c r="D51" s="427"/>
    </row>
    <row r="52" spans="4:4" x14ac:dyDescent="0.2">
      <c r="D52" s="427"/>
    </row>
    <row r="53" spans="4:4" x14ac:dyDescent="0.2">
      <c r="D53" s="427"/>
    </row>
    <row r="54" spans="4:4" x14ac:dyDescent="0.2">
      <c r="D54" s="427"/>
    </row>
    <row r="55" spans="4:4" x14ac:dyDescent="0.2">
      <c r="D55" s="427"/>
    </row>
    <row r="56" spans="4:4" x14ac:dyDescent="0.2">
      <c r="D56" s="427"/>
    </row>
    <row r="57" spans="4:4" x14ac:dyDescent="0.2">
      <c r="D57" s="427"/>
    </row>
    <row r="58" spans="4:4" x14ac:dyDescent="0.2">
      <c r="D58" s="427"/>
    </row>
    <row r="59" spans="4:4" x14ac:dyDescent="0.2">
      <c r="D59" s="427"/>
    </row>
    <row r="60" spans="4:4" x14ac:dyDescent="0.2">
      <c r="D60" s="427"/>
    </row>
    <row r="61" spans="4:4" x14ac:dyDescent="0.2">
      <c r="D61" s="427"/>
    </row>
    <row r="62" spans="4:4" x14ac:dyDescent="0.2">
      <c r="D62" s="427"/>
    </row>
    <row r="63" spans="4:4" x14ac:dyDescent="0.2">
      <c r="D63" s="427"/>
    </row>
    <row r="64" spans="4:4" x14ac:dyDescent="0.2">
      <c r="D64" s="427"/>
    </row>
    <row r="65" spans="4:4" x14ac:dyDescent="0.2">
      <c r="D65" s="427"/>
    </row>
    <row r="66" spans="4:4" x14ac:dyDescent="0.2">
      <c r="D66" s="427"/>
    </row>
    <row r="67" spans="4:4" x14ac:dyDescent="0.2">
      <c r="D67" s="427"/>
    </row>
    <row r="68" spans="4:4" x14ac:dyDescent="0.2">
      <c r="D68" s="427"/>
    </row>
    <row r="69" spans="4:4" x14ac:dyDescent="0.2">
      <c r="D69" s="427"/>
    </row>
    <row r="70" spans="4:4" x14ac:dyDescent="0.2">
      <c r="D70" s="427"/>
    </row>
    <row r="71" spans="4:4" x14ac:dyDescent="0.2">
      <c r="D71" s="427"/>
    </row>
    <row r="72" spans="4:4" x14ac:dyDescent="0.2">
      <c r="D72" s="427"/>
    </row>
    <row r="73" spans="4:4" x14ac:dyDescent="0.2">
      <c r="D73" s="427"/>
    </row>
    <row r="74" spans="4:4" x14ac:dyDescent="0.2">
      <c r="D74" s="427"/>
    </row>
    <row r="75" spans="4:4" x14ac:dyDescent="0.2">
      <c r="D75" s="427"/>
    </row>
    <row r="76" spans="4:4" x14ac:dyDescent="0.2">
      <c r="D76" s="427"/>
    </row>
    <row r="77" spans="4:4" x14ac:dyDescent="0.2">
      <c r="D77" s="427"/>
    </row>
    <row r="78" spans="4:4" x14ac:dyDescent="0.2">
      <c r="D78" s="427"/>
    </row>
    <row r="79" spans="4:4" x14ac:dyDescent="0.2">
      <c r="D79" s="427"/>
    </row>
    <row r="80" spans="4:4" x14ac:dyDescent="0.2">
      <c r="D80" s="427"/>
    </row>
    <row r="81" spans="4:4" x14ac:dyDescent="0.2">
      <c r="D81" s="427"/>
    </row>
    <row r="82" spans="4:4" x14ac:dyDescent="0.2">
      <c r="D82" s="427"/>
    </row>
    <row r="83" spans="4:4" x14ac:dyDescent="0.2">
      <c r="D83" s="427"/>
    </row>
    <row r="84" spans="4:4" x14ac:dyDescent="0.2">
      <c r="D84" s="427"/>
    </row>
    <row r="85" spans="4:4" x14ac:dyDescent="0.2">
      <c r="D85" s="427"/>
    </row>
    <row r="86" spans="4:4" x14ac:dyDescent="0.2">
      <c r="D86" s="427"/>
    </row>
    <row r="87" spans="4:4" x14ac:dyDescent="0.2">
      <c r="D87" s="427"/>
    </row>
    <row r="88" spans="4:4" x14ac:dyDescent="0.2">
      <c r="D88" s="427"/>
    </row>
    <row r="89" spans="4:4" x14ac:dyDescent="0.2">
      <c r="D89" s="427"/>
    </row>
    <row r="90" spans="4:4" x14ac:dyDescent="0.2">
      <c r="D90" s="427"/>
    </row>
    <row r="91" spans="4:4" x14ac:dyDescent="0.2">
      <c r="D91" s="427"/>
    </row>
    <row r="92" spans="4:4" x14ac:dyDescent="0.2">
      <c r="D92" s="427"/>
    </row>
    <row r="93" spans="4:4" x14ac:dyDescent="0.2">
      <c r="D93" s="427"/>
    </row>
    <row r="94" spans="4:4" x14ac:dyDescent="0.2">
      <c r="D94" s="427"/>
    </row>
    <row r="95" spans="4:4" x14ac:dyDescent="0.2">
      <c r="D95" s="427"/>
    </row>
  </sheetData>
  <sheetProtection algorithmName="SHA-512" hashValue="nCL18IRBO/LaKOSa1ikhKwqZE8oNJtEFqn/yrye+k/MagbhH6gjMD5DkvKZH3QiaP/A8axldKLW+ULJxqrM+5A==" saltValue="pWzK5tRT18zh5RS9TznVU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B2D9-7E9F-4777-9F14-7D0B1CD06040}">
  <sheetPr codeName="Sheet6">
    <tabColor rgb="FFFF0000"/>
  </sheetPr>
  <dimension ref="A1:AP17"/>
  <sheetViews>
    <sheetView topLeftCell="D1" zoomScale="85" zoomScaleNormal="85" workbookViewId="0">
      <selection activeCell="G37" sqref="G37"/>
    </sheetView>
  </sheetViews>
  <sheetFormatPr defaultColWidth="8.7109375" defaultRowHeight="15" x14ac:dyDescent="0.25"/>
  <cols>
    <col min="1" max="2" width="10.5703125" style="428" customWidth="1"/>
    <col min="3" max="3" width="39.140625" style="428" customWidth="1"/>
    <col min="4" max="4" width="31.7109375" style="429" customWidth="1"/>
    <col min="5" max="5" width="16.28515625" style="429" customWidth="1"/>
    <col min="6" max="6" width="17.7109375" style="429" customWidth="1"/>
    <col min="7" max="8" width="16.42578125" style="429" customWidth="1"/>
    <col min="9" max="9" width="16.5703125" style="429" customWidth="1"/>
    <col min="10" max="13" width="11" style="428" customWidth="1"/>
    <col min="14" max="14" width="9.7109375" style="428" customWidth="1"/>
    <col min="15" max="15" width="11.140625" style="428" customWidth="1"/>
    <col min="16" max="16" width="8.85546875" style="428" customWidth="1"/>
    <col min="17" max="17" width="9.85546875" style="428" customWidth="1"/>
    <col min="18" max="19" width="7" style="428" customWidth="1"/>
    <col min="20" max="20" width="8.5703125" style="428" customWidth="1"/>
    <col min="21" max="21" width="10.28515625" style="428" customWidth="1"/>
    <col min="22" max="22" width="8.5703125" style="428" customWidth="1"/>
    <col min="23" max="27" width="7" style="428" customWidth="1"/>
    <col min="28" max="29" width="8.5703125" style="428" customWidth="1"/>
    <col min="30" max="30" width="8.85546875" style="428" customWidth="1"/>
    <col min="31" max="33" width="8.5703125" style="428" customWidth="1"/>
    <col min="34" max="16384" width="8.7109375" style="428"/>
  </cols>
  <sheetData>
    <row r="1" spans="1:33" x14ac:dyDescent="0.25">
      <c r="A1" s="117" t="s">
        <v>84</v>
      </c>
    </row>
    <row r="3" spans="1:33" ht="15" customHeight="1" x14ac:dyDescent="0.25">
      <c r="A3" s="759" t="s">
        <v>218</v>
      </c>
      <c r="B3" s="760"/>
      <c r="C3" s="760"/>
      <c r="D3" s="761"/>
      <c r="E3" s="396"/>
      <c r="F3" s="396"/>
      <c r="G3" s="396"/>
      <c r="H3" s="396"/>
      <c r="I3" s="396"/>
      <c r="J3" s="755" t="s">
        <v>219</v>
      </c>
      <c r="K3" s="767" t="s">
        <v>49</v>
      </c>
      <c r="L3" s="755" t="s">
        <v>50</v>
      </c>
      <c r="M3" s="755" t="s">
        <v>51</v>
      </c>
      <c r="N3" s="770" t="s">
        <v>220</v>
      </c>
      <c r="O3" s="771"/>
      <c r="P3" s="771"/>
      <c r="Q3" s="771"/>
      <c r="R3" s="771"/>
      <c r="S3" s="771"/>
      <c r="T3" s="771"/>
      <c r="U3" s="771"/>
      <c r="V3" s="771"/>
      <c r="W3" s="771"/>
      <c r="X3" s="771"/>
      <c r="Y3" s="771"/>
      <c r="Z3" s="771"/>
      <c r="AA3" s="771"/>
      <c r="AB3" s="771"/>
      <c r="AC3" s="771"/>
      <c r="AD3" s="771"/>
      <c r="AE3" s="771"/>
      <c r="AF3" s="771"/>
      <c r="AG3" s="772"/>
    </row>
    <row r="4" spans="1:33" ht="31.5" customHeight="1" x14ac:dyDescent="0.25">
      <c r="A4" s="762"/>
      <c r="B4" s="763"/>
      <c r="C4" s="763"/>
      <c r="D4" s="764"/>
      <c r="E4" s="397"/>
      <c r="F4" s="397"/>
      <c r="G4" s="397"/>
      <c r="H4" s="397"/>
      <c r="I4" s="397"/>
      <c r="J4" s="755" t="s">
        <v>48</v>
      </c>
      <c r="K4" s="768"/>
      <c r="L4" s="755" t="s">
        <v>50</v>
      </c>
      <c r="M4" s="755"/>
      <c r="N4" s="756" t="s">
        <v>23</v>
      </c>
      <c r="O4" s="758"/>
      <c r="P4" s="756" t="s">
        <v>24</v>
      </c>
      <c r="Q4" s="758"/>
      <c r="R4" s="754" t="str">
        <f>'Project Data Input'!C16</f>
        <v>Fuel oil</v>
      </c>
      <c r="S4" s="754"/>
      <c r="T4" s="757" t="str">
        <f>'Project Data Input'!C17</f>
        <v>Burning oil</v>
      </c>
      <c r="U4" s="758"/>
      <c r="V4" s="756" t="s">
        <v>38</v>
      </c>
      <c r="W4" s="758"/>
      <c r="X4" s="756" t="s">
        <v>39</v>
      </c>
      <c r="Y4" s="757"/>
      <c r="Z4" s="757"/>
      <c r="AA4" s="758"/>
      <c r="AB4" s="757"/>
      <c r="AC4" s="757"/>
      <c r="AD4" s="757"/>
      <c r="AE4" s="757"/>
      <c r="AF4" s="757"/>
      <c r="AG4" s="758"/>
    </row>
    <row r="5" spans="1:33" ht="31.5" customHeight="1" x14ac:dyDescent="0.25">
      <c r="A5" s="754" t="s">
        <v>221</v>
      </c>
      <c r="B5" s="394" t="s">
        <v>222</v>
      </c>
      <c r="C5" s="754" t="s">
        <v>41</v>
      </c>
      <c r="D5" s="765" t="s">
        <v>80</v>
      </c>
      <c r="E5" s="398" t="s">
        <v>43</v>
      </c>
      <c r="F5" s="398" t="s">
        <v>44</v>
      </c>
      <c r="G5" s="398" t="s">
        <v>45</v>
      </c>
      <c r="H5" s="398" t="s">
        <v>46</v>
      </c>
      <c r="I5" s="398" t="s">
        <v>223</v>
      </c>
      <c r="J5" s="755"/>
      <c r="K5" s="769"/>
      <c r="L5" s="755"/>
      <c r="M5" s="755"/>
      <c r="N5" s="756" t="s">
        <v>52</v>
      </c>
      <c r="O5" s="758"/>
      <c r="P5" s="756" t="s">
        <v>52</v>
      </c>
      <c r="Q5" s="758"/>
      <c r="R5" s="756" t="s">
        <v>52</v>
      </c>
      <c r="S5" s="758"/>
      <c r="T5" s="756" t="s">
        <v>52</v>
      </c>
      <c r="U5" s="758"/>
      <c r="V5" s="756" t="s">
        <v>52</v>
      </c>
      <c r="W5" s="758"/>
      <c r="X5" s="756" t="s">
        <v>53</v>
      </c>
      <c r="Y5" s="757"/>
      <c r="Z5" s="118"/>
      <c r="AA5" s="119"/>
      <c r="AB5" s="756" t="str">
        <f>"Annual "&amp;N1&amp;" Saving"</f>
        <v>Annual  Saving</v>
      </c>
      <c r="AC5" s="758"/>
      <c r="AD5" s="120" t="s">
        <v>55</v>
      </c>
      <c r="AE5" s="120" t="s">
        <v>56</v>
      </c>
      <c r="AF5" s="400" t="s">
        <v>224</v>
      </c>
      <c r="AG5" s="773" t="s">
        <v>225</v>
      </c>
    </row>
    <row r="6" spans="1:33" x14ac:dyDescent="0.25">
      <c r="A6" s="754"/>
      <c r="B6" s="394"/>
      <c r="C6" s="754"/>
      <c r="D6" s="766"/>
      <c r="E6" s="399"/>
      <c r="F6" s="399"/>
      <c r="G6" s="399"/>
      <c r="H6" s="399"/>
      <c r="I6" s="399"/>
      <c r="J6" s="395"/>
      <c r="K6" s="395"/>
      <c r="L6" s="395"/>
      <c r="M6" s="395" t="s">
        <v>21</v>
      </c>
      <c r="N6" s="394" t="s">
        <v>59</v>
      </c>
      <c r="O6" s="394" t="s">
        <v>20</v>
      </c>
      <c r="P6" s="394" t="s">
        <v>59</v>
      </c>
      <c r="Q6" s="394" t="s">
        <v>20</v>
      </c>
      <c r="R6" s="394" t="s">
        <v>59</v>
      </c>
      <c r="S6" s="394" t="s">
        <v>20</v>
      </c>
      <c r="T6" s="394" t="s">
        <v>59</v>
      </c>
      <c r="U6" s="394" t="s">
        <v>20</v>
      </c>
      <c r="V6" s="394" t="s">
        <v>60</v>
      </c>
      <c r="W6" s="394" t="s">
        <v>59</v>
      </c>
      <c r="X6" s="394" t="s">
        <v>59</v>
      </c>
      <c r="Y6" s="394"/>
      <c r="Z6" s="394"/>
      <c r="AA6" s="394"/>
      <c r="AB6" s="394" t="s">
        <v>21</v>
      </c>
      <c r="AC6" s="394" t="s">
        <v>61</v>
      </c>
      <c r="AD6" s="120" t="s">
        <v>15</v>
      </c>
      <c r="AE6" s="120" t="s">
        <v>15</v>
      </c>
      <c r="AF6" s="401" t="s">
        <v>61</v>
      </c>
      <c r="AG6" s="774"/>
    </row>
    <row r="7" spans="1:33" ht="12" customHeight="1" x14ac:dyDescent="0.25">
      <c r="A7" s="430">
        <v>1</v>
      </c>
      <c r="B7" s="431" t="str">
        <f>'DASHBOARD '!F9</f>
        <v>x</v>
      </c>
      <c r="C7" s="432">
        <f>'ECM Options Data'!D14</f>
        <v>0</v>
      </c>
      <c r="D7" s="432">
        <f>'ECM Options Data'!E14</f>
        <v>0</v>
      </c>
      <c r="E7" s="432">
        <f>'ECM Options Data'!F14</f>
        <v>0</v>
      </c>
      <c r="F7" s="432">
        <f>'ECM Options Data'!G14</f>
        <v>0</v>
      </c>
      <c r="G7" s="432">
        <f>'ECM Options Data'!H14</f>
        <v>0</v>
      </c>
      <c r="H7" s="432">
        <f>'ECM Options Data'!I14</f>
        <v>0</v>
      </c>
      <c r="I7" s="432">
        <f>'ECM Options Data'!J14</f>
        <v>0</v>
      </c>
      <c r="J7" s="432">
        <f>'ECM Options Data'!K14</f>
        <v>0</v>
      </c>
      <c r="K7" s="432">
        <f>'ECM Options Data'!L14</f>
        <v>0</v>
      </c>
      <c r="L7" s="432">
        <f>'ECM Options Data'!M14</f>
        <v>0</v>
      </c>
      <c r="M7" s="432">
        <f>'ECM Options Data'!N14</f>
        <v>0</v>
      </c>
      <c r="N7" s="433"/>
      <c r="O7" s="434">
        <f>IF($B7="x", 'ECM Options Data'!P14, 0)</f>
        <v>0</v>
      </c>
      <c r="P7" s="433"/>
      <c r="Q7" s="434">
        <f>IF(B7="x",'ECM Options Data'!R14, 0)</f>
        <v>0</v>
      </c>
      <c r="R7" s="435"/>
      <c r="S7" s="434">
        <f>IF(B7="x",'ECM Options Data'!T14,0)</f>
        <v>0</v>
      </c>
      <c r="T7" s="433"/>
      <c r="U7" s="434">
        <f>IF(B7="x",'ECM Options Data'!V14,0)</f>
        <v>0</v>
      </c>
      <c r="V7" s="436">
        <f>'ECM Options Data'!W14</f>
        <v>0</v>
      </c>
      <c r="W7" s="437"/>
      <c r="X7" s="437"/>
      <c r="Y7" s="437"/>
      <c r="Z7" s="437"/>
      <c r="AA7" s="437"/>
      <c r="AB7" s="438">
        <f>(O7*'Project Data Input'!$F$14)+('Option A'!Q7*'Project Data Input'!$F$15)+('Project Data Input'!$F$16*'Option A'!S7)+('Project Data Input'!$F$17*'Option A'!U7)</f>
        <v>0</v>
      </c>
      <c r="AC7" s="439">
        <f>((O7*'Technology Inputs'!$E$6)+('Technology Inputs'!$E$7*'Option A'!Q7)+('Option A'!S7*(VLOOKUP('Option A'!$R$4,'Technology Inputs'!$C$8:$E$15,3,FALSE)))+(U7*(VLOOKUP($T$4,'Technology Inputs'!$C$8:$E$15,3,FALSE))))/1000</f>
        <v>0</v>
      </c>
      <c r="AD7" s="440" t="e">
        <f t="shared" ref="AD7:AD15" si="0">M7/AB7</f>
        <v>#DIV/0!</v>
      </c>
      <c r="AE7" s="441" t="e">
        <f>VLOOKUP(D7, 'Technology Inputs'!$D$44:$E$172, 2, FALSE)</f>
        <v>#N/A</v>
      </c>
      <c r="AF7" s="441" t="e">
        <f>AC7*AE7</f>
        <v>#N/A</v>
      </c>
      <c r="AG7" s="442" t="e">
        <f>M7/(AC7*AE7)</f>
        <v>#N/A</v>
      </c>
    </row>
    <row r="8" spans="1:33" ht="12" customHeight="1" x14ac:dyDescent="0.25">
      <c r="A8" s="430">
        <v>2</v>
      </c>
      <c r="B8" s="431" t="str">
        <f>'DASHBOARD '!F10</f>
        <v>x</v>
      </c>
      <c r="C8" s="432">
        <f>'ECM Options Data'!D15</f>
        <v>0</v>
      </c>
      <c r="D8" s="432">
        <f>'ECM Options Data'!E15</f>
        <v>0</v>
      </c>
      <c r="E8" s="432">
        <f>'ECM Options Data'!F15</f>
        <v>0</v>
      </c>
      <c r="F8" s="432">
        <f>'ECM Options Data'!G15</f>
        <v>0</v>
      </c>
      <c r="G8" s="432">
        <f>'ECM Options Data'!H15</f>
        <v>0</v>
      </c>
      <c r="H8" s="432">
        <f>'ECM Options Data'!I15</f>
        <v>0</v>
      </c>
      <c r="I8" s="432">
        <f>'ECM Options Data'!J15</f>
        <v>0</v>
      </c>
      <c r="J8" s="432">
        <f>'ECM Options Data'!K15</f>
        <v>0</v>
      </c>
      <c r="K8" s="432">
        <f>'ECM Options Data'!L15</f>
        <v>0</v>
      </c>
      <c r="L8" s="432">
        <f>'ECM Options Data'!M15</f>
        <v>0</v>
      </c>
      <c r="M8" s="432">
        <f>'ECM Options Data'!N15</f>
        <v>0</v>
      </c>
      <c r="N8" s="433"/>
      <c r="O8" s="434">
        <f>IF($B8="x", 'ECM Options Data'!P15, 0)</f>
        <v>0</v>
      </c>
      <c r="P8" s="433"/>
      <c r="Q8" s="434">
        <f>IF(B8="x",'ECM Options Data'!R15, 0)</f>
        <v>0</v>
      </c>
      <c r="R8" s="435"/>
      <c r="S8" s="434">
        <f>IF(B8="x",'ECM Options Data'!T15,0)</f>
        <v>0</v>
      </c>
      <c r="T8" s="433"/>
      <c r="U8" s="434">
        <f>IF(B8="x",'ECM Options Data'!V15,0)</f>
        <v>0</v>
      </c>
      <c r="V8" s="436">
        <f>'ECM Options Data'!W15</f>
        <v>0</v>
      </c>
      <c r="W8" s="437"/>
      <c r="X8" s="437"/>
      <c r="Y8" s="437"/>
      <c r="Z8" s="437"/>
      <c r="AA8" s="437"/>
      <c r="AB8" s="438">
        <f>(O8*'Project Data Input'!$F$14)+('Option A'!Q8*'Project Data Input'!$F$15)+('Project Data Input'!$F$16*'Option A'!S8)+('Project Data Input'!$F$17*'Option A'!U8)</f>
        <v>0</v>
      </c>
      <c r="AC8" s="439">
        <f>((O8*'Technology Inputs'!$E$6)+('Technology Inputs'!$E$7*'Option A'!Q8)+('Option A'!S8*(VLOOKUP('Option A'!$R$4,'Technology Inputs'!$C$8:$E$15,3,FALSE)))+(U8*(VLOOKUP($T$4,'Technology Inputs'!$C$8:$E$15,3,FALSE))))/1000</f>
        <v>0</v>
      </c>
      <c r="AD8" s="440" t="e">
        <f t="shared" si="0"/>
        <v>#DIV/0!</v>
      </c>
      <c r="AE8" s="441" t="e">
        <f>VLOOKUP(D8, 'Technology Inputs'!$D$44:$E$172, 2, FALSE)</f>
        <v>#N/A</v>
      </c>
      <c r="AF8" s="441" t="e">
        <f t="shared" ref="AF8:AF11" si="1">AC8*AE8</f>
        <v>#N/A</v>
      </c>
      <c r="AG8" s="442" t="e">
        <f>M8/(AC8*AE8)</f>
        <v>#N/A</v>
      </c>
    </row>
    <row r="9" spans="1:33" ht="12" customHeight="1" x14ac:dyDescent="0.25">
      <c r="A9" s="430">
        <v>3</v>
      </c>
      <c r="B9" s="431" t="str">
        <f>'DASHBOARD '!F11</f>
        <v>x</v>
      </c>
      <c r="C9" s="432">
        <f>'ECM Options Data'!D16</f>
        <v>0</v>
      </c>
      <c r="D9" s="432">
        <f>'ECM Options Data'!E16</f>
        <v>0</v>
      </c>
      <c r="E9" s="432">
        <f>'ECM Options Data'!F16</f>
        <v>0</v>
      </c>
      <c r="F9" s="432">
        <f>'ECM Options Data'!G16</f>
        <v>0</v>
      </c>
      <c r="G9" s="432">
        <f>'ECM Options Data'!H16</f>
        <v>0</v>
      </c>
      <c r="H9" s="432">
        <f>'ECM Options Data'!I16</f>
        <v>0</v>
      </c>
      <c r="I9" s="432">
        <f>'ECM Options Data'!J16</f>
        <v>0</v>
      </c>
      <c r="J9" s="432">
        <f>'ECM Options Data'!K16</f>
        <v>0</v>
      </c>
      <c r="K9" s="432">
        <f>'ECM Options Data'!L16</f>
        <v>0</v>
      </c>
      <c r="L9" s="432">
        <f>'ECM Options Data'!M16</f>
        <v>0</v>
      </c>
      <c r="M9" s="432">
        <f>'ECM Options Data'!N16</f>
        <v>0</v>
      </c>
      <c r="N9" s="433"/>
      <c r="O9" s="434">
        <f>IF($B9="x", 'ECM Options Data'!P16, 0)</f>
        <v>0</v>
      </c>
      <c r="P9" s="433"/>
      <c r="Q9" s="434">
        <f>IF(B9="x",'ECM Options Data'!R16, 0)</f>
        <v>0</v>
      </c>
      <c r="R9" s="435"/>
      <c r="S9" s="434">
        <f>IF(B9="x",'ECM Options Data'!T16,0)</f>
        <v>0</v>
      </c>
      <c r="T9" s="433"/>
      <c r="U9" s="434">
        <f>IF(B9="x",'ECM Options Data'!V16,0)</f>
        <v>0</v>
      </c>
      <c r="V9" s="436">
        <f>'ECM Options Data'!W16</f>
        <v>0</v>
      </c>
      <c r="W9" s="437"/>
      <c r="X9" s="437"/>
      <c r="Y9" s="437"/>
      <c r="Z9" s="437"/>
      <c r="AA9" s="437"/>
      <c r="AB9" s="438">
        <f>(O9*'Project Data Input'!$F$14)+('Option A'!Q9*'Project Data Input'!$F$15)+('Project Data Input'!$F$16*'Option A'!S9)+('Project Data Input'!$F$17*'Option A'!U9)</f>
        <v>0</v>
      </c>
      <c r="AC9" s="439">
        <f>((O9*'Technology Inputs'!$E$6)+('Technology Inputs'!$E$7*'Option A'!Q9)+('Option A'!S9*(VLOOKUP('Option A'!$R$4,'Technology Inputs'!$C$8:$E$15,3,FALSE)))+(U9*(VLOOKUP($T$4,'Technology Inputs'!$C$8:$E$15,3,FALSE))))/1000</f>
        <v>0</v>
      </c>
      <c r="AD9" s="440" t="e">
        <f t="shared" si="0"/>
        <v>#DIV/0!</v>
      </c>
      <c r="AE9" s="441" t="e">
        <f>VLOOKUP(D9, 'Technology Inputs'!$D$44:$E$172, 2, FALSE)</f>
        <v>#N/A</v>
      </c>
      <c r="AF9" s="441" t="e">
        <f t="shared" si="1"/>
        <v>#N/A</v>
      </c>
      <c r="AG9" s="442" t="e">
        <f>M9/(AC9*AE9)</f>
        <v>#N/A</v>
      </c>
    </row>
    <row r="10" spans="1:33" ht="12" customHeight="1" x14ac:dyDescent="0.25">
      <c r="A10" s="430">
        <v>4</v>
      </c>
      <c r="B10" s="431" t="str">
        <f>'DASHBOARD '!F12</f>
        <v>x</v>
      </c>
      <c r="C10" s="432">
        <f>'ECM Options Data'!D17</f>
        <v>0</v>
      </c>
      <c r="D10" s="432">
        <f>'ECM Options Data'!E17</f>
        <v>0</v>
      </c>
      <c r="E10" s="432">
        <f>'ECM Options Data'!F17</f>
        <v>0</v>
      </c>
      <c r="F10" s="432">
        <f>'ECM Options Data'!G17</f>
        <v>0</v>
      </c>
      <c r="G10" s="432">
        <f>'ECM Options Data'!H17</f>
        <v>0</v>
      </c>
      <c r="H10" s="432">
        <f>'ECM Options Data'!I17</f>
        <v>0</v>
      </c>
      <c r="I10" s="432">
        <f>'ECM Options Data'!J17</f>
        <v>0</v>
      </c>
      <c r="J10" s="432">
        <f>'ECM Options Data'!K17</f>
        <v>0</v>
      </c>
      <c r="K10" s="432">
        <f>'ECM Options Data'!L17</f>
        <v>0</v>
      </c>
      <c r="L10" s="432">
        <f>'ECM Options Data'!M17</f>
        <v>0</v>
      </c>
      <c r="M10" s="432">
        <f>'ECM Options Data'!N17</f>
        <v>0</v>
      </c>
      <c r="N10" s="433"/>
      <c r="O10" s="434">
        <f>IF($B10="x", 'ECM Options Data'!P17, 0)</f>
        <v>0</v>
      </c>
      <c r="P10" s="433"/>
      <c r="Q10" s="434">
        <f>IF(B10="x",'ECM Options Data'!R17, 0)</f>
        <v>0</v>
      </c>
      <c r="R10" s="435"/>
      <c r="S10" s="434">
        <f>IF(B10="x",'ECM Options Data'!T17,0)</f>
        <v>0</v>
      </c>
      <c r="T10" s="433"/>
      <c r="U10" s="434">
        <f>IF(B10="x",'ECM Options Data'!V17,0)</f>
        <v>0</v>
      </c>
      <c r="V10" s="436">
        <f>'ECM Options Data'!W17</f>
        <v>0</v>
      </c>
      <c r="W10" s="437"/>
      <c r="X10" s="437"/>
      <c r="Y10" s="437"/>
      <c r="Z10" s="437"/>
      <c r="AA10" s="437"/>
      <c r="AB10" s="438">
        <f>(O10*'Project Data Input'!$F$14)+('Option A'!Q10*'Project Data Input'!$F$15)+('Project Data Input'!$F$16*'Option A'!S10)+('Project Data Input'!$F$17*'Option A'!U10)</f>
        <v>0</v>
      </c>
      <c r="AC10" s="439">
        <f>((O10*'Technology Inputs'!$E$6)+('Technology Inputs'!$E$7*'Option A'!Q10)+('Option A'!S10*(VLOOKUP('Option A'!$R$4,'Technology Inputs'!$C$8:$E$15,3,FALSE)))+(U10*(VLOOKUP($T$4,'Technology Inputs'!$C$8:$E$15,3,FALSE))))/1000</f>
        <v>0</v>
      </c>
      <c r="AD10" s="440" t="e">
        <f t="shared" si="0"/>
        <v>#DIV/0!</v>
      </c>
      <c r="AE10" s="441" t="e">
        <f>VLOOKUP(D10, 'Technology Inputs'!$D$44:$E$172, 2, FALSE)</f>
        <v>#N/A</v>
      </c>
      <c r="AF10" s="441" t="e">
        <f t="shared" si="1"/>
        <v>#N/A</v>
      </c>
      <c r="AG10" s="442" t="e">
        <f>M10/(AC10*AE10)</f>
        <v>#N/A</v>
      </c>
    </row>
    <row r="11" spans="1:33" ht="12" customHeight="1" x14ac:dyDescent="0.25">
      <c r="A11" s="430">
        <v>5</v>
      </c>
      <c r="B11" s="431" t="str">
        <f>'DASHBOARD '!F13</f>
        <v>x</v>
      </c>
      <c r="C11" s="432">
        <f>'ECM Options Data'!D18</f>
        <v>0</v>
      </c>
      <c r="D11" s="432">
        <f>'ECM Options Data'!E18</f>
        <v>0</v>
      </c>
      <c r="E11" s="432">
        <f>'ECM Options Data'!F18</f>
        <v>0</v>
      </c>
      <c r="F11" s="432">
        <f>'ECM Options Data'!G18</f>
        <v>0</v>
      </c>
      <c r="G11" s="432">
        <f>'ECM Options Data'!H18</f>
        <v>0</v>
      </c>
      <c r="H11" s="432">
        <f>'ECM Options Data'!I18</f>
        <v>0</v>
      </c>
      <c r="I11" s="432">
        <f>'ECM Options Data'!J18</f>
        <v>0</v>
      </c>
      <c r="J11" s="432">
        <f>'ECM Options Data'!K18</f>
        <v>0</v>
      </c>
      <c r="K11" s="432">
        <f>'ECM Options Data'!L18</f>
        <v>0</v>
      </c>
      <c r="L11" s="432">
        <f>'ECM Options Data'!M18</f>
        <v>0</v>
      </c>
      <c r="M11" s="432">
        <f>'ECM Options Data'!N18</f>
        <v>0</v>
      </c>
      <c r="N11" s="433"/>
      <c r="O11" s="434">
        <f>IF($B11="x", 'ECM Options Data'!P18, 0)</f>
        <v>0</v>
      </c>
      <c r="P11" s="433"/>
      <c r="Q11" s="434">
        <f>IF(B11="x",'ECM Options Data'!R18, 0)</f>
        <v>0</v>
      </c>
      <c r="R11" s="435"/>
      <c r="S11" s="434">
        <f>IF(B11="x",'ECM Options Data'!T18,0)</f>
        <v>0</v>
      </c>
      <c r="T11" s="433"/>
      <c r="U11" s="434">
        <f>IF(B11="x",'ECM Options Data'!V18,0)</f>
        <v>0</v>
      </c>
      <c r="V11" s="436">
        <f>'ECM Options Data'!W18</f>
        <v>0</v>
      </c>
      <c r="W11" s="437"/>
      <c r="X11" s="437"/>
      <c r="Y11" s="437"/>
      <c r="Z11" s="437"/>
      <c r="AA11" s="437"/>
      <c r="AB11" s="438">
        <f>(O11*'Project Data Input'!$F$14)+('Option A'!Q11*'Project Data Input'!$F$15)+('Project Data Input'!$F$16*'Option A'!S11)+('Project Data Input'!$F$17*'Option A'!U11)</f>
        <v>0</v>
      </c>
      <c r="AC11" s="439">
        <f>((O11*'Technology Inputs'!$E$6)+('Technology Inputs'!$E$7*'Option A'!Q11)+('Option A'!S11*(VLOOKUP('Option A'!$R$4,'Technology Inputs'!$C$8:$E$15,3,FALSE)))+(U11*(VLOOKUP($T$4,'Technology Inputs'!$C$8:$E$15,3,FALSE))))/1000</f>
        <v>0</v>
      </c>
      <c r="AD11" s="440" t="e">
        <f t="shared" si="0"/>
        <v>#DIV/0!</v>
      </c>
      <c r="AE11" s="441" t="e">
        <f>VLOOKUP(D11, 'Technology Inputs'!$D$44:$E$172, 2, FALSE)</f>
        <v>#N/A</v>
      </c>
      <c r="AF11" s="441" t="e">
        <f t="shared" si="1"/>
        <v>#N/A</v>
      </c>
      <c r="AG11" s="442" t="e">
        <f>M11/(AC11*AE11)</f>
        <v>#N/A</v>
      </c>
    </row>
    <row r="12" spans="1:33" ht="12" customHeight="1" x14ac:dyDescent="0.25">
      <c r="A12" s="430">
        <v>6</v>
      </c>
      <c r="B12" s="431" t="str">
        <f>'DASHBOARD '!F14</f>
        <v>x</v>
      </c>
      <c r="C12" s="432">
        <f>'ECM Options Data'!D19</f>
        <v>0</v>
      </c>
      <c r="D12" s="432">
        <f>'ECM Options Data'!E19</f>
        <v>0</v>
      </c>
      <c r="E12" s="432">
        <f>'ECM Options Data'!F19</f>
        <v>0</v>
      </c>
      <c r="F12" s="432">
        <f>'ECM Options Data'!G19</f>
        <v>0</v>
      </c>
      <c r="G12" s="432">
        <f>'ECM Options Data'!H19</f>
        <v>0</v>
      </c>
      <c r="H12" s="432">
        <f>'ECM Options Data'!I19</f>
        <v>0</v>
      </c>
      <c r="I12" s="432">
        <f>'ECM Options Data'!J19</f>
        <v>0</v>
      </c>
      <c r="J12" s="432">
        <f>'ECM Options Data'!K19</f>
        <v>0</v>
      </c>
      <c r="K12" s="432">
        <f>'ECM Options Data'!L19</f>
        <v>0</v>
      </c>
      <c r="L12" s="432">
        <f>'ECM Options Data'!M19</f>
        <v>0</v>
      </c>
      <c r="M12" s="432">
        <f>'ECM Options Data'!N19</f>
        <v>0</v>
      </c>
      <c r="N12" s="433"/>
      <c r="O12" s="434">
        <f>IF($B12="x", 'ECM Options Data'!P19, 0)</f>
        <v>0</v>
      </c>
      <c r="P12" s="433"/>
      <c r="Q12" s="434">
        <f>IF(B12="x",'ECM Options Data'!R19, 0)</f>
        <v>0</v>
      </c>
      <c r="R12" s="435"/>
      <c r="S12" s="434">
        <f>IF(B12="x",'ECM Options Data'!T19,0)</f>
        <v>0</v>
      </c>
      <c r="T12" s="433"/>
      <c r="U12" s="434">
        <f>IF(B12="x",'ECM Options Data'!V19,0)</f>
        <v>0</v>
      </c>
      <c r="V12" s="436">
        <f>'ECM Options Data'!W19</f>
        <v>0</v>
      </c>
      <c r="W12" s="437"/>
      <c r="X12" s="437"/>
      <c r="Y12" s="437"/>
      <c r="Z12" s="437"/>
      <c r="AA12" s="437"/>
      <c r="AB12" s="438">
        <f>(O12*'Project Data Input'!$F$14)+('Option A'!Q12*'Project Data Input'!$F$15)+('Project Data Input'!$F$16*'Option A'!S12)+('Project Data Input'!$F$17*'Option A'!U12)</f>
        <v>0</v>
      </c>
      <c r="AC12" s="439">
        <f>((O12*'Technology Inputs'!$E$6)+('Technology Inputs'!$E$7*'Option A'!Q12)+('Option A'!S12*(VLOOKUP('Option A'!$R$4,'Technology Inputs'!$C$8:$E$15,3,FALSE)))+(U12*(VLOOKUP($T$4,'Technology Inputs'!$C$8:$E$15,3,FALSE))))/1000</f>
        <v>0</v>
      </c>
      <c r="AD12" s="440" t="e">
        <f t="shared" si="0"/>
        <v>#DIV/0!</v>
      </c>
      <c r="AE12" s="441" t="e">
        <f>VLOOKUP(D12, 'Technology Inputs'!$D$44:$E$172, 2, FALSE)</f>
        <v>#N/A</v>
      </c>
      <c r="AF12" s="441">
        <f>IF(AC12&lt;0, AC12*AE12, 0)</f>
        <v>0</v>
      </c>
      <c r="AG12" s="442" t="e">
        <f t="shared" ref="AG12:AG15" si="2">M12/(AC12*AE12)</f>
        <v>#N/A</v>
      </c>
    </row>
    <row r="13" spans="1:33" ht="12" customHeight="1" x14ac:dyDescent="0.25">
      <c r="A13" s="430">
        <v>7</v>
      </c>
      <c r="B13" s="431" t="str">
        <f>'DASHBOARD '!F15</f>
        <v>x</v>
      </c>
      <c r="C13" s="432">
        <f>'ECM Options Data'!D20</f>
        <v>0</v>
      </c>
      <c r="D13" s="432">
        <f>'ECM Options Data'!E20</f>
        <v>0</v>
      </c>
      <c r="E13" s="432">
        <f>'ECM Options Data'!F20</f>
        <v>0</v>
      </c>
      <c r="F13" s="432">
        <f>'ECM Options Data'!G20</f>
        <v>0</v>
      </c>
      <c r="G13" s="432">
        <f>'ECM Options Data'!H20</f>
        <v>0</v>
      </c>
      <c r="H13" s="432">
        <f>'ECM Options Data'!I20</f>
        <v>0</v>
      </c>
      <c r="I13" s="432">
        <f>'ECM Options Data'!J20</f>
        <v>0</v>
      </c>
      <c r="J13" s="432">
        <f>'ECM Options Data'!K20</f>
        <v>0</v>
      </c>
      <c r="K13" s="432">
        <f>'ECM Options Data'!L20</f>
        <v>0</v>
      </c>
      <c r="L13" s="432">
        <f>'ECM Options Data'!M20</f>
        <v>0</v>
      </c>
      <c r="M13" s="432">
        <f>'ECM Options Data'!N20</f>
        <v>0</v>
      </c>
      <c r="N13" s="433"/>
      <c r="O13" s="434">
        <f>IF($B13="x", 'ECM Options Data'!P20, 0)</f>
        <v>0</v>
      </c>
      <c r="P13" s="433"/>
      <c r="Q13" s="434">
        <f>IF(B13="x",'ECM Options Data'!R20, 0)</f>
        <v>0</v>
      </c>
      <c r="R13" s="435"/>
      <c r="S13" s="434">
        <f>IF(B13="x",'ECM Options Data'!T20,0)</f>
        <v>0</v>
      </c>
      <c r="T13" s="433"/>
      <c r="U13" s="434">
        <f>IF(B13="x",'ECM Options Data'!V20,0)</f>
        <v>0</v>
      </c>
      <c r="V13" s="436">
        <f>'ECM Options Data'!W20</f>
        <v>0</v>
      </c>
      <c r="W13" s="437"/>
      <c r="X13" s="437"/>
      <c r="Y13" s="437"/>
      <c r="Z13" s="437"/>
      <c r="AA13" s="437"/>
      <c r="AB13" s="438">
        <f>(O13*'Project Data Input'!$F$14)+('Option A'!Q13*'Project Data Input'!$F$15)+('Project Data Input'!$F$16*'Option A'!S13)+('Project Data Input'!$F$17*'Option A'!U13)</f>
        <v>0</v>
      </c>
      <c r="AC13" s="439">
        <f>((O13*'Technology Inputs'!$E$6)+('Technology Inputs'!$E$7*'Option A'!Q13)+('Option A'!S13*(VLOOKUP('Option A'!$R$4,'Technology Inputs'!$C$8:$E$15,3,FALSE)))+(U13*(VLOOKUP($T$4,'Technology Inputs'!$C$8:$E$15,3,FALSE))))/1000</f>
        <v>0</v>
      </c>
      <c r="AD13" s="440" t="e">
        <f t="shared" si="0"/>
        <v>#DIV/0!</v>
      </c>
      <c r="AE13" s="441" t="e">
        <f>VLOOKUP(D13, 'Technology Inputs'!$D$44:$E$172, 2, FALSE)</f>
        <v>#N/A</v>
      </c>
      <c r="AF13" s="441">
        <f t="shared" ref="AF13:AF15" si="3">IF(AC13&lt;0, AC13*AE13, 0)</f>
        <v>0</v>
      </c>
      <c r="AG13" s="442" t="e">
        <f t="shared" si="2"/>
        <v>#N/A</v>
      </c>
    </row>
    <row r="14" spans="1:33" ht="12" customHeight="1" x14ac:dyDescent="0.25">
      <c r="A14" s="430">
        <v>8</v>
      </c>
      <c r="B14" s="431" t="str">
        <f>'DASHBOARD '!F16</f>
        <v>x</v>
      </c>
      <c r="C14" s="432">
        <f>'ECM Options Data'!D21</f>
        <v>0</v>
      </c>
      <c r="D14" s="432">
        <f>'ECM Options Data'!E21</f>
        <v>0</v>
      </c>
      <c r="E14" s="432">
        <f>'ECM Options Data'!F21</f>
        <v>0</v>
      </c>
      <c r="F14" s="432">
        <f>'ECM Options Data'!G21</f>
        <v>0</v>
      </c>
      <c r="G14" s="432">
        <f>'ECM Options Data'!H21</f>
        <v>0</v>
      </c>
      <c r="H14" s="432">
        <f>'ECM Options Data'!I21</f>
        <v>0</v>
      </c>
      <c r="I14" s="432">
        <f>'ECM Options Data'!J21</f>
        <v>0</v>
      </c>
      <c r="J14" s="432">
        <f>'ECM Options Data'!K21</f>
        <v>0</v>
      </c>
      <c r="K14" s="432">
        <f>'ECM Options Data'!L21</f>
        <v>0</v>
      </c>
      <c r="L14" s="432">
        <f>'ECM Options Data'!M21</f>
        <v>0</v>
      </c>
      <c r="M14" s="432">
        <f>'ECM Options Data'!N21</f>
        <v>0</v>
      </c>
      <c r="N14" s="433"/>
      <c r="O14" s="434">
        <f>IF($B14="x", 'ECM Options Data'!P21, 0)</f>
        <v>0</v>
      </c>
      <c r="P14" s="433"/>
      <c r="Q14" s="434">
        <f>IF(B14="x",'ECM Options Data'!R21, 0)</f>
        <v>0</v>
      </c>
      <c r="R14" s="435"/>
      <c r="S14" s="434">
        <f>IF(B14="x",'ECM Options Data'!T21,0)</f>
        <v>0</v>
      </c>
      <c r="T14" s="433"/>
      <c r="U14" s="434">
        <f>IF(B14="x",'ECM Options Data'!V21,0)</f>
        <v>0</v>
      </c>
      <c r="V14" s="436">
        <f>'ECM Options Data'!W21</f>
        <v>0</v>
      </c>
      <c r="W14" s="437"/>
      <c r="X14" s="437"/>
      <c r="Y14" s="437"/>
      <c r="Z14" s="437"/>
      <c r="AA14" s="437"/>
      <c r="AB14" s="438">
        <f>(O14*'Project Data Input'!$F$14)+('Option A'!Q14*'Project Data Input'!$F$15)+('Project Data Input'!$F$16*'Option A'!S14)+('Project Data Input'!$F$17*'Option A'!U14)</f>
        <v>0</v>
      </c>
      <c r="AC14" s="439">
        <f>((O14*'Technology Inputs'!$E$6)+('Technology Inputs'!$E$7*'Option A'!Q14)+('Option A'!S14*(VLOOKUP('Option A'!$R$4,'Technology Inputs'!$C$8:$E$15,3,FALSE)))+(U14*(VLOOKUP($T$4,'Technology Inputs'!$C$8:$E$15,3,FALSE))))/1000</f>
        <v>0</v>
      </c>
      <c r="AD14" s="440" t="e">
        <f t="shared" si="0"/>
        <v>#DIV/0!</v>
      </c>
      <c r="AE14" s="441" t="e">
        <f>VLOOKUP(D14, 'Technology Inputs'!$D$44:$E$172, 2, FALSE)</f>
        <v>#N/A</v>
      </c>
      <c r="AF14" s="441">
        <f t="shared" si="3"/>
        <v>0</v>
      </c>
      <c r="AG14" s="442" t="e">
        <f t="shared" si="2"/>
        <v>#N/A</v>
      </c>
    </row>
    <row r="15" spans="1:33" ht="12" customHeight="1" x14ac:dyDescent="0.25">
      <c r="A15" s="430">
        <v>9</v>
      </c>
      <c r="B15" s="431" t="str">
        <f>'DASHBOARD '!F17</f>
        <v>x</v>
      </c>
      <c r="C15" s="432">
        <f>'ECM Options Data'!D22</f>
        <v>0</v>
      </c>
      <c r="D15" s="432">
        <f>'ECM Options Data'!E22</f>
        <v>0</v>
      </c>
      <c r="E15" s="432">
        <f>'ECM Options Data'!F22</f>
        <v>0</v>
      </c>
      <c r="F15" s="432">
        <f>'ECM Options Data'!G22</f>
        <v>0</v>
      </c>
      <c r="G15" s="432">
        <f>'ECM Options Data'!H22</f>
        <v>0</v>
      </c>
      <c r="H15" s="432">
        <f>'ECM Options Data'!I22</f>
        <v>0</v>
      </c>
      <c r="I15" s="432">
        <f>'ECM Options Data'!J22</f>
        <v>0</v>
      </c>
      <c r="J15" s="432">
        <f>'ECM Options Data'!K22</f>
        <v>0</v>
      </c>
      <c r="K15" s="432">
        <f>'ECM Options Data'!L22</f>
        <v>0</v>
      </c>
      <c r="L15" s="432">
        <f>'ECM Options Data'!M22</f>
        <v>0</v>
      </c>
      <c r="M15" s="432">
        <f>'ECM Options Data'!N22</f>
        <v>0</v>
      </c>
      <c r="N15" s="433"/>
      <c r="O15" s="434">
        <f>IF($B15="x", 'ECM Options Data'!P22, 0)</f>
        <v>0</v>
      </c>
      <c r="P15" s="433"/>
      <c r="Q15" s="434">
        <f>IF(B15="x",'ECM Options Data'!R22, 0)</f>
        <v>0</v>
      </c>
      <c r="R15" s="435"/>
      <c r="S15" s="434">
        <f>IF(B15="x",'ECM Options Data'!T22,0)</f>
        <v>0</v>
      </c>
      <c r="T15" s="433"/>
      <c r="U15" s="434">
        <f>IF(B15="x",'ECM Options Data'!V22,0)</f>
        <v>0</v>
      </c>
      <c r="V15" s="436">
        <f>'ECM Options Data'!W22</f>
        <v>0</v>
      </c>
      <c r="W15" s="437"/>
      <c r="X15" s="437"/>
      <c r="Y15" s="437"/>
      <c r="Z15" s="437"/>
      <c r="AA15" s="437"/>
      <c r="AB15" s="438">
        <f>(O15*'Project Data Input'!$F$14)+('Option A'!Q15*'Project Data Input'!$F$15)+('Project Data Input'!$F$16*'Option A'!S15)+('Project Data Input'!$F$17*'Option A'!U15)</f>
        <v>0</v>
      </c>
      <c r="AC15" s="439">
        <f>((O15*'Technology Inputs'!$E$6)+('Technology Inputs'!$E$7*'Option A'!Q15)+('Option A'!S15*(VLOOKUP('Option A'!$R$4,'Technology Inputs'!$C$8:$E$15,3,FALSE)))+(U15*(VLOOKUP($T$4,'Technology Inputs'!$C$8:$E$15,3,FALSE))))/1000</f>
        <v>0</v>
      </c>
      <c r="AD15" s="440" t="e">
        <f t="shared" si="0"/>
        <v>#DIV/0!</v>
      </c>
      <c r="AE15" s="441" t="e">
        <f>VLOOKUP(D15, 'Technology Inputs'!$D$44:$E$172, 2, FALSE)</f>
        <v>#N/A</v>
      </c>
      <c r="AF15" s="441">
        <f t="shared" si="3"/>
        <v>0</v>
      </c>
      <c r="AG15" s="442" t="e">
        <f t="shared" si="2"/>
        <v>#N/A</v>
      </c>
    </row>
    <row r="16" spans="1:33" ht="12" customHeight="1" x14ac:dyDescent="0.25">
      <c r="A16" s="428" t="s">
        <v>63</v>
      </c>
      <c r="C16" s="443"/>
      <c r="D16" s="444"/>
      <c r="E16" s="444"/>
      <c r="F16" s="444"/>
      <c r="G16" s="444"/>
      <c r="H16" s="444"/>
      <c r="I16" s="444"/>
      <c r="J16" s="445"/>
      <c r="K16" s="445"/>
      <c r="L16" s="445"/>
      <c r="M16" s="446">
        <f>SUMIF(B7:B15, "x", M7:M15)</f>
        <v>0</v>
      </c>
      <c r="N16" s="447"/>
      <c r="O16" s="446">
        <f>IF(SUM(O7:O15)&gt;'Project Data Input'!D14, 'Project Data Input'!D14, SUM(O7:O15))</f>
        <v>0</v>
      </c>
      <c r="P16" s="448"/>
      <c r="Q16" s="446">
        <f>IF(SUM(Q7:Q15)&gt;'Project Data Input'!D15,'Project Data Input'!D15,SUM('Option A'!Q7:Q15))</f>
        <v>0</v>
      </c>
      <c r="R16" s="448"/>
      <c r="S16" s="446">
        <f>IF(SUM(S7:S15)&gt;'Project Data Input'!D16, 'Project Data Input'!D16, SUM(S7:S15))</f>
        <v>0</v>
      </c>
      <c r="T16" s="447"/>
      <c r="U16" s="446">
        <f>IF(SUM(U7:U15)&gt;'Project Data Input'!D17, 'Project Data Input'!D17, SUM(U7:U15))</f>
        <v>0</v>
      </c>
      <c r="V16" s="447"/>
      <c r="W16" s="448"/>
      <c r="X16" s="448"/>
      <c r="Y16" s="448"/>
      <c r="Z16" s="448"/>
      <c r="AA16" s="448"/>
      <c r="AB16" s="446">
        <f t="shared" ref="AB16:AC16" si="4">SUM(AB7:AB15)</f>
        <v>0</v>
      </c>
      <c r="AC16" s="446">
        <f t="shared" si="4"/>
        <v>0</v>
      </c>
      <c r="AD16" s="449" t="e">
        <f>M16/AB16</f>
        <v>#DIV/0!</v>
      </c>
      <c r="AE16" s="446"/>
      <c r="AF16" s="446" t="e">
        <f>SUM(AF7:AF15)</f>
        <v>#N/A</v>
      </c>
      <c r="AG16" s="446" t="e">
        <f>M16/AF16</f>
        <v>#N/A</v>
      </c>
    </row>
    <row r="17" spans="1:42" x14ac:dyDescent="0.25">
      <c r="A17" s="450"/>
      <c r="B17" s="450"/>
      <c r="C17" s="450"/>
      <c r="D17" s="451"/>
      <c r="E17" s="451"/>
      <c r="F17" s="451"/>
      <c r="G17" s="451"/>
      <c r="H17" s="451"/>
      <c r="I17" s="451"/>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row>
  </sheetData>
  <sheetProtection algorithmName="SHA-512" hashValue="aN0WmCp38U6HGB3Khb0VNPgnKRgQOYGkYgokkOswNMUOhOnfAY8hYpC9aYLxBSBdFQRQIu9Hi+Cwjkkk77BIOQ==" saltValue="8x0O1meVgsJsgtBbf4TBfw==" spinCount="100000" sheet="1" objects="1" scenarios="1"/>
  <mergeCells count="24">
    <mergeCell ref="K3:K5"/>
    <mergeCell ref="M3:M5"/>
    <mergeCell ref="N3:AG3"/>
    <mergeCell ref="N4:O4"/>
    <mergeCell ref="V4:W4"/>
    <mergeCell ref="AB4:AG4"/>
    <mergeCell ref="AB5:AC5"/>
    <mergeCell ref="AG5:AG6"/>
    <mergeCell ref="A5:A6"/>
    <mergeCell ref="J3:J5"/>
    <mergeCell ref="L3:L5"/>
    <mergeCell ref="X4:AA4"/>
    <mergeCell ref="X5:Y5"/>
    <mergeCell ref="A3:D4"/>
    <mergeCell ref="D5:D6"/>
    <mergeCell ref="P4:Q4"/>
    <mergeCell ref="P5:Q5"/>
    <mergeCell ref="T4:U4"/>
    <mergeCell ref="R4:S4"/>
    <mergeCell ref="R5:S5"/>
    <mergeCell ref="C5:C6"/>
    <mergeCell ref="N5:O5"/>
    <mergeCell ref="T5:U5"/>
    <mergeCell ref="V5:W5"/>
  </mergeCells>
  <dataValidations count="1">
    <dataValidation type="list" allowBlank="1" showInputMessage="1" showErrorMessage="1" sqref="C7:D15" xr:uid="{C173AEE8-7EEB-4527-A27F-EC0EDD2489D5}">
      <formula1>Category</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081D-6523-4635-82AA-43867388E973}">
  <sheetPr codeName="Sheet7">
    <tabColor rgb="FFFF0000"/>
  </sheetPr>
  <dimension ref="A1:AS36"/>
  <sheetViews>
    <sheetView zoomScaleNormal="100" workbookViewId="0">
      <pane xSplit="4" ySplit="6" topLeftCell="E7" activePane="bottomRight" state="frozen"/>
      <selection activeCell="AH14" sqref="AH14"/>
      <selection pane="topRight" activeCell="AH14" sqref="AH14"/>
      <selection pane="bottomLeft" activeCell="AH14" sqref="AH14"/>
      <selection pane="bottomRight" activeCell="D29" sqref="D29"/>
    </sheetView>
  </sheetViews>
  <sheetFormatPr defaultColWidth="9.140625" defaultRowHeight="12" x14ac:dyDescent="0.2"/>
  <cols>
    <col min="1" max="1" width="9.140625" style="452"/>
    <col min="2" max="2" width="10.85546875" style="452" customWidth="1"/>
    <col min="3" max="3" width="24.140625" style="452" customWidth="1"/>
    <col min="4" max="4" width="38.42578125" style="452" bestFit="1" customWidth="1"/>
    <col min="5" max="6" width="10.140625" style="559" customWidth="1"/>
    <col min="7" max="7" width="10.85546875" style="452" customWidth="1"/>
    <col min="8" max="8" width="12.140625" style="560" customWidth="1"/>
    <col min="9" max="9" width="11.140625" style="560" customWidth="1"/>
    <col min="10" max="10" width="9.85546875" style="452" bestFit="1" customWidth="1"/>
    <col min="11" max="11" width="9.42578125" style="452" bestFit="1" customWidth="1"/>
    <col min="12" max="12" width="11" style="452" customWidth="1"/>
    <col min="13" max="13" width="8.85546875" style="452" customWidth="1"/>
    <col min="14" max="16" width="11.85546875" style="452" customWidth="1"/>
    <col min="17" max="18" width="12.85546875" style="452" customWidth="1"/>
    <col min="19" max="19" width="12.140625" style="457" customWidth="1"/>
    <col min="20" max="20" width="11.85546875" style="452" customWidth="1"/>
    <col min="21" max="21" width="11" style="452" bestFit="1" customWidth="1"/>
    <col min="22" max="22" width="10" style="452" bestFit="1" customWidth="1"/>
    <col min="23" max="23" width="9.5703125" style="452" bestFit="1" customWidth="1"/>
    <col min="24" max="25" width="10" style="452" bestFit="1" customWidth="1"/>
    <col min="26" max="26" width="10.5703125" style="452" bestFit="1" customWidth="1"/>
    <col min="27" max="27" width="10" style="452" bestFit="1" customWidth="1"/>
    <col min="28" max="28" width="9.140625" style="452"/>
    <col min="29" max="29" width="12.85546875" style="452" customWidth="1"/>
    <col min="30" max="30" width="9.140625" style="452"/>
    <col min="31" max="31" width="10" style="452" bestFit="1" customWidth="1"/>
    <col min="32" max="32" width="9.5703125" style="452" bestFit="1" customWidth="1"/>
    <col min="33" max="34" width="10.5703125" style="452" bestFit="1" customWidth="1"/>
    <col min="35" max="35" width="10" style="452" bestFit="1" customWidth="1"/>
    <col min="36" max="36" width="9.140625" style="452"/>
    <col min="37" max="38" width="10" style="452" bestFit="1" customWidth="1"/>
    <col min="39" max="39" width="12.28515625" style="452" customWidth="1"/>
    <col min="40" max="40" width="10.42578125" style="452" bestFit="1" customWidth="1"/>
    <col min="41" max="41" width="9.140625" style="452"/>
    <col min="42" max="42" width="9.5703125" style="452" bestFit="1" customWidth="1"/>
    <col min="43" max="43" width="10.42578125" style="452" bestFit="1" customWidth="1"/>
    <col min="44" max="44" width="10" style="452" bestFit="1" customWidth="1"/>
    <col min="45" max="45" width="12.42578125" style="452" bestFit="1" customWidth="1"/>
    <col min="46" max="262" width="9.140625" style="452"/>
    <col min="263" max="263" width="16.5703125" style="452" bestFit="1" customWidth="1"/>
    <col min="264" max="264" width="38.42578125" style="452" bestFit="1" customWidth="1"/>
    <col min="265" max="265" width="0" style="452" hidden="1" customWidth="1"/>
    <col min="266" max="266" width="36.5703125" style="452" customWidth="1"/>
    <col min="267" max="267" width="12.140625" style="452" customWidth="1"/>
    <col min="268" max="268" width="7.5703125" style="452" bestFit="1" customWidth="1"/>
    <col min="269" max="269" width="4.42578125" style="452" bestFit="1" customWidth="1"/>
    <col min="270" max="270" width="9.85546875" style="452" bestFit="1" customWidth="1"/>
    <col min="271" max="271" width="9.42578125" style="452" bestFit="1" customWidth="1"/>
    <col min="272" max="272" width="8.85546875" style="452" customWidth="1"/>
    <col min="273" max="273" width="9.140625" style="452"/>
    <col min="274" max="274" width="12.85546875" style="452" customWidth="1"/>
    <col min="275" max="275" width="9.140625" style="452"/>
    <col min="276" max="276" width="11.85546875" style="452" customWidth="1"/>
    <col min="277" max="277" width="11" style="452" bestFit="1" customWidth="1"/>
    <col min="278" max="278" width="10" style="452" bestFit="1" customWidth="1"/>
    <col min="279" max="279" width="9.5703125" style="452" bestFit="1" customWidth="1"/>
    <col min="280" max="281" width="10" style="452" bestFit="1" customWidth="1"/>
    <col min="282" max="282" width="10.5703125" style="452" bestFit="1" customWidth="1"/>
    <col min="283" max="283" width="10" style="452" bestFit="1" customWidth="1"/>
    <col min="284" max="284" width="9.140625" style="452"/>
    <col min="285" max="285" width="11" style="452" bestFit="1" customWidth="1"/>
    <col min="286" max="286" width="9.140625" style="452"/>
    <col min="287" max="287" width="10" style="452" bestFit="1" customWidth="1"/>
    <col min="288" max="288" width="9.5703125" style="452" bestFit="1" customWidth="1"/>
    <col min="289" max="290" width="10.5703125" style="452" bestFit="1" customWidth="1"/>
    <col min="291" max="291" width="10" style="452" bestFit="1" customWidth="1"/>
    <col min="292" max="292" width="9.140625" style="452"/>
    <col min="293" max="294" width="10" style="452" bestFit="1" customWidth="1"/>
    <col min="295" max="295" width="10.5703125" style="452" bestFit="1" customWidth="1"/>
    <col min="296" max="296" width="10.42578125" style="452" bestFit="1" customWidth="1"/>
    <col min="297" max="297" width="9.140625" style="452"/>
    <col min="298" max="298" width="9.5703125" style="452" bestFit="1" customWidth="1"/>
    <col min="299" max="299" width="10.42578125" style="452" bestFit="1" customWidth="1"/>
    <col min="300" max="300" width="10" style="452" bestFit="1" customWidth="1"/>
    <col min="301" max="301" width="12.42578125" style="452" bestFit="1" customWidth="1"/>
    <col min="302" max="518" width="9.140625" style="452"/>
    <col min="519" max="519" width="16.5703125" style="452" bestFit="1" customWidth="1"/>
    <col min="520" max="520" width="38.42578125" style="452" bestFit="1" customWidth="1"/>
    <col min="521" max="521" width="0" style="452" hidden="1" customWidth="1"/>
    <col min="522" max="522" width="36.5703125" style="452" customWidth="1"/>
    <col min="523" max="523" width="12.140625" style="452" customWidth="1"/>
    <col min="524" max="524" width="7.5703125" style="452" bestFit="1" customWidth="1"/>
    <col min="525" max="525" width="4.42578125" style="452" bestFit="1" customWidth="1"/>
    <col min="526" max="526" width="9.85546875" style="452" bestFit="1" customWidth="1"/>
    <col min="527" max="527" width="9.42578125" style="452" bestFit="1" customWidth="1"/>
    <col min="528" max="528" width="8.85546875" style="452" customWidth="1"/>
    <col min="529" max="529" width="9.140625" style="452"/>
    <col min="530" max="530" width="12.85546875" style="452" customWidth="1"/>
    <col min="531" max="531" width="9.140625" style="452"/>
    <col min="532" max="532" width="11.85546875" style="452" customWidth="1"/>
    <col min="533" max="533" width="11" style="452" bestFit="1" customWidth="1"/>
    <col min="534" max="534" width="10" style="452" bestFit="1" customWidth="1"/>
    <col min="535" max="535" width="9.5703125" style="452" bestFit="1" customWidth="1"/>
    <col min="536" max="537" width="10" style="452" bestFit="1" customWidth="1"/>
    <col min="538" max="538" width="10.5703125" style="452" bestFit="1" customWidth="1"/>
    <col min="539" max="539" width="10" style="452" bestFit="1" customWidth="1"/>
    <col min="540" max="540" width="9.140625" style="452"/>
    <col min="541" max="541" width="11" style="452" bestFit="1" customWidth="1"/>
    <col min="542" max="542" width="9.140625" style="452"/>
    <col min="543" max="543" width="10" style="452" bestFit="1" customWidth="1"/>
    <col min="544" max="544" width="9.5703125" style="452" bestFit="1" customWidth="1"/>
    <col min="545" max="546" width="10.5703125" style="452" bestFit="1" customWidth="1"/>
    <col min="547" max="547" width="10" style="452" bestFit="1" customWidth="1"/>
    <col min="548" max="548" width="9.140625" style="452"/>
    <col min="549" max="550" width="10" style="452" bestFit="1" customWidth="1"/>
    <col min="551" max="551" width="10.5703125" style="452" bestFit="1" customWidth="1"/>
    <col min="552" max="552" width="10.42578125" style="452" bestFit="1" customWidth="1"/>
    <col min="553" max="553" width="9.140625" style="452"/>
    <col min="554" max="554" width="9.5703125" style="452" bestFit="1" customWidth="1"/>
    <col min="555" max="555" width="10.42578125" style="452" bestFit="1" customWidth="1"/>
    <col min="556" max="556" width="10" style="452" bestFit="1" customWidth="1"/>
    <col min="557" max="557" width="12.42578125" style="452" bestFit="1" customWidth="1"/>
    <col min="558" max="774" width="9.140625" style="452"/>
    <col min="775" max="775" width="16.5703125" style="452" bestFit="1" customWidth="1"/>
    <col min="776" max="776" width="38.42578125" style="452" bestFit="1" customWidth="1"/>
    <col min="777" max="777" width="0" style="452" hidden="1" customWidth="1"/>
    <col min="778" max="778" width="36.5703125" style="452" customWidth="1"/>
    <col min="779" max="779" width="12.140625" style="452" customWidth="1"/>
    <col min="780" max="780" width="7.5703125" style="452" bestFit="1" customWidth="1"/>
    <col min="781" max="781" width="4.42578125" style="452" bestFit="1" customWidth="1"/>
    <col min="782" max="782" width="9.85546875" style="452" bestFit="1" customWidth="1"/>
    <col min="783" max="783" width="9.42578125" style="452" bestFit="1" customWidth="1"/>
    <col min="784" max="784" width="8.85546875" style="452" customWidth="1"/>
    <col min="785" max="785" width="9.140625" style="452"/>
    <col min="786" max="786" width="12.85546875" style="452" customWidth="1"/>
    <col min="787" max="787" width="9.140625" style="452"/>
    <col min="788" max="788" width="11.85546875" style="452" customWidth="1"/>
    <col min="789" max="789" width="11" style="452" bestFit="1" customWidth="1"/>
    <col min="790" max="790" width="10" style="452" bestFit="1" customWidth="1"/>
    <col min="791" max="791" width="9.5703125" style="452" bestFit="1" customWidth="1"/>
    <col min="792" max="793" width="10" style="452" bestFit="1" customWidth="1"/>
    <col min="794" max="794" width="10.5703125" style="452" bestFit="1" customWidth="1"/>
    <col min="795" max="795" width="10" style="452" bestFit="1" customWidth="1"/>
    <col min="796" max="796" width="9.140625" style="452"/>
    <col min="797" max="797" width="11" style="452" bestFit="1" customWidth="1"/>
    <col min="798" max="798" width="9.140625" style="452"/>
    <col min="799" max="799" width="10" style="452" bestFit="1" customWidth="1"/>
    <col min="800" max="800" width="9.5703125" style="452" bestFit="1" customWidth="1"/>
    <col min="801" max="802" width="10.5703125" style="452" bestFit="1" customWidth="1"/>
    <col min="803" max="803" width="10" style="452" bestFit="1" customWidth="1"/>
    <col min="804" max="804" width="9.140625" style="452"/>
    <col min="805" max="806" width="10" style="452" bestFit="1" customWidth="1"/>
    <col min="807" max="807" width="10.5703125" style="452" bestFit="1" customWidth="1"/>
    <col min="808" max="808" width="10.42578125" style="452" bestFit="1" customWidth="1"/>
    <col min="809" max="809" width="9.140625" style="452"/>
    <col min="810" max="810" width="9.5703125" style="452" bestFit="1" customWidth="1"/>
    <col min="811" max="811" width="10.42578125" style="452" bestFit="1" customWidth="1"/>
    <col min="812" max="812" width="10" style="452" bestFit="1" customWidth="1"/>
    <col min="813" max="813" width="12.42578125" style="452" bestFit="1" customWidth="1"/>
    <col min="814" max="1030" width="9.140625" style="452"/>
    <col min="1031" max="1031" width="16.5703125" style="452" bestFit="1" customWidth="1"/>
    <col min="1032" max="1032" width="38.42578125" style="452" bestFit="1" customWidth="1"/>
    <col min="1033" max="1033" width="0" style="452" hidden="1" customWidth="1"/>
    <col min="1034" max="1034" width="36.5703125" style="452" customWidth="1"/>
    <col min="1035" max="1035" width="12.140625" style="452" customWidth="1"/>
    <col min="1036" max="1036" width="7.5703125" style="452" bestFit="1" customWidth="1"/>
    <col min="1037" max="1037" width="4.42578125" style="452" bestFit="1" customWidth="1"/>
    <col min="1038" max="1038" width="9.85546875" style="452" bestFit="1" customWidth="1"/>
    <col min="1039" max="1039" width="9.42578125" style="452" bestFit="1" customWidth="1"/>
    <col min="1040" max="1040" width="8.85546875" style="452" customWidth="1"/>
    <col min="1041" max="1041" width="9.140625" style="452"/>
    <col min="1042" max="1042" width="12.85546875" style="452" customWidth="1"/>
    <col min="1043" max="1043" width="9.140625" style="452"/>
    <col min="1044" max="1044" width="11.85546875" style="452" customWidth="1"/>
    <col min="1045" max="1045" width="11" style="452" bestFit="1" customWidth="1"/>
    <col min="1046" max="1046" width="10" style="452" bestFit="1" customWidth="1"/>
    <col min="1047" max="1047" width="9.5703125" style="452" bestFit="1" customWidth="1"/>
    <col min="1048" max="1049" width="10" style="452" bestFit="1" customWidth="1"/>
    <col min="1050" max="1050" width="10.5703125" style="452" bestFit="1" customWidth="1"/>
    <col min="1051" max="1051" width="10" style="452" bestFit="1" customWidth="1"/>
    <col min="1052" max="1052" width="9.140625" style="452"/>
    <col min="1053" max="1053" width="11" style="452" bestFit="1" customWidth="1"/>
    <col min="1054" max="1054" width="9.140625" style="452"/>
    <col min="1055" max="1055" width="10" style="452" bestFit="1" customWidth="1"/>
    <col min="1056" max="1056" width="9.5703125" style="452" bestFit="1" customWidth="1"/>
    <col min="1057" max="1058" width="10.5703125" style="452" bestFit="1" customWidth="1"/>
    <col min="1059" max="1059" width="10" style="452" bestFit="1" customWidth="1"/>
    <col min="1060" max="1060" width="9.140625" style="452"/>
    <col min="1061" max="1062" width="10" style="452" bestFit="1" customWidth="1"/>
    <col min="1063" max="1063" width="10.5703125" style="452" bestFit="1" customWidth="1"/>
    <col min="1064" max="1064" width="10.42578125" style="452" bestFit="1" customWidth="1"/>
    <col min="1065" max="1065" width="9.140625" style="452"/>
    <col min="1066" max="1066" width="9.5703125" style="452" bestFit="1" customWidth="1"/>
    <col min="1067" max="1067" width="10.42578125" style="452" bestFit="1" customWidth="1"/>
    <col min="1068" max="1068" width="10" style="452" bestFit="1" customWidth="1"/>
    <col min="1069" max="1069" width="12.42578125" style="452" bestFit="1" customWidth="1"/>
    <col min="1070" max="1286" width="9.140625" style="452"/>
    <col min="1287" max="1287" width="16.5703125" style="452" bestFit="1" customWidth="1"/>
    <col min="1288" max="1288" width="38.42578125" style="452" bestFit="1" customWidth="1"/>
    <col min="1289" max="1289" width="0" style="452" hidden="1" customWidth="1"/>
    <col min="1290" max="1290" width="36.5703125" style="452" customWidth="1"/>
    <col min="1291" max="1291" width="12.140625" style="452" customWidth="1"/>
    <col min="1292" max="1292" width="7.5703125" style="452" bestFit="1" customWidth="1"/>
    <col min="1293" max="1293" width="4.42578125" style="452" bestFit="1" customWidth="1"/>
    <col min="1294" max="1294" width="9.85546875" style="452" bestFit="1" customWidth="1"/>
    <col min="1295" max="1295" width="9.42578125" style="452" bestFit="1" customWidth="1"/>
    <col min="1296" max="1296" width="8.85546875" style="452" customWidth="1"/>
    <col min="1297" max="1297" width="9.140625" style="452"/>
    <col min="1298" max="1298" width="12.85546875" style="452" customWidth="1"/>
    <col min="1299" max="1299" width="9.140625" style="452"/>
    <col min="1300" max="1300" width="11.85546875" style="452" customWidth="1"/>
    <col min="1301" max="1301" width="11" style="452" bestFit="1" customWidth="1"/>
    <col min="1302" max="1302" width="10" style="452" bestFit="1" customWidth="1"/>
    <col min="1303" max="1303" width="9.5703125" style="452" bestFit="1" customWidth="1"/>
    <col min="1304" max="1305" width="10" style="452" bestFit="1" customWidth="1"/>
    <col min="1306" max="1306" width="10.5703125" style="452" bestFit="1" customWidth="1"/>
    <col min="1307" max="1307" width="10" style="452" bestFit="1" customWidth="1"/>
    <col min="1308" max="1308" width="9.140625" style="452"/>
    <col min="1309" max="1309" width="11" style="452" bestFit="1" customWidth="1"/>
    <col min="1310" max="1310" width="9.140625" style="452"/>
    <col min="1311" max="1311" width="10" style="452" bestFit="1" customWidth="1"/>
    <col min="1312" max="1312" width="9.5703125" style="452" bestFit="1" customWidth="1"/>
    <col min="1313" max="1314" width="10.5703125" style="452" bestFit="1" customWidth="1"/>
    <col min="1315" max="1315" width="10" style="452" bestFit="1" customWidth="1"/>
    <col min="1316" max="1316" width="9.140625" style="452"/>
    <col min="1317" max="1318" width="10" style="452" bestFit="1" customWidth="1"/>
    <col min="1319" max="1319" width="10.5703125" style="452" bestFit="1" customWidth="1"/>
    <col min="1320" max="1320" width="10.42578125" style="452" bestFit="1" customWidth="1"/>
    <col min="1321" max="1321" width="9.140625" style="452"/>
    <col min="1322" max="1322" width="9.5703125" style="452" bestFit="1" customWidth="1"/>
    <col min="1323" max="1323" width="10.42578125" style="452" bestFit="1" customWidth="1"/>
    <col min="1324" max="1324" width="10" style="452" bestFit="1" customWidth="1"/>
    <col min="1325" max="1325" width="12.42578125" style="452" bestFit="1" customWidth="1"/>
    <col min="1326" max="1542" width="9.140625" style="452"/>
    <col min="1543" max="1543" width="16.5703125" style="452" bestFit="1" customWidth="1"/>
    <col min="1544" max="1544" width="38.42578125" style="452" bestFit="1" customWidth="1"/>
    <col min="1545" max="1545" width="0" style="452" hidden="1" customWidth="1"/>
    <col min="1546" max="1546" width="36.5703125" style="452" customWidth="1"/>
    <col min="1547" max="1547" width="12.140625" style="452" customWidth="1"/>
    <col min="1548" max="1548" width="7.5703125" style="452" bestFit="1" customWidth="1"/>
    <col min="1549" max="1549" width="4.42578125" style="452" bestFit="1" customWidth="1"/>
    <col min="1550" max="1550" width="9.85546875" style="452" bestFit="1" customWidth="1"/>
    <col min="1551" max="1551" width="9.42578125" style="452" bestFit="1" customWidth="1"/>
    <col min="1552" max="1552" width="8.85546875" style="452" customWidth="1"/>
    <col min="1553" max="1553" width="9.140625" style="452"/>
    <col min="1554" max="1554" width="12.85546875" style="452" customWidth="1"/>
    <col min="1555" max="1555" width="9.140625" style="452"/>
    <col min="1556" max="1556" width="11.85546875" style="452" customWidth="1"/>
    <col min="1557" max="1557" width="11" style="452" bestFit="1" customWidth="1"/>
    <col min="1558" max="1558" width="10" style="452" bestFit="1" customWidth="1"/>
    <col min="1559" max="1559" width="9.5703125" style="452" bestFit="1" customWidth="1"/>
    <col min="1560" max="1561" width="10" style="452" bestFit="1" customWidth="1"/>
    <col min="1562" max="1562" width="10.5703125" style="452" bestFit="1" customWidth="1"/>
    <col min="1563" max="1563" width="10" style="452" bestFit="1" customWidth="1"/>
    <col min="1564" max="1564" width="9.140625" style="452"/>
    <col min="1565" max="1565" width="11" style="452" bestFit="1" customWidth="1"/>
    <col min="1566" max="1566" width="9.140625" style="452"/>
    <col min="1567" max="1567" width="10" style="452" bestFit="1" customWidth="1"/>
    <col min="1568" max="1568" width="9.5703125" style="452" bestFit="1" customWidth="1"/>
    <col min="1569" max="1570" width="10.5703125" style="452" bestFit="1" customWidth="1"/>
    <col min="1571" max="1571" width="10" style="452" bestFit="1" customWidth="1"/>
    <col min="1572" max="1572" width="9.140625" style="452"/>
    <col min="1573" max="1574" width="10" style="452" bestFit="1" customWidth="1"/>
    <col min="1575" max="1575" width="10.5703125" style="452" bestFit="1" customWidth="1"/>
    <col min="1576" max="1576" width="10.42578125" style="452" bestFit="1" customWidth="1"/>
    <col min="1577" max="1577" width="9.140625" style="452"/>
    <col min="1578" max="1578" width="9.5703125" style="452" bestFit="1" customWidth="1"/>
    <col min="1579" max="1579" width="10.42578125" style="452" bestFit="1" customWidth="1"/>
    <col min="1580" max="1580" width="10" style="452" bestFit="1" customWidth="1"/>
    <col min="1581" max="1581" width="12.42578125" style="452" bestFit="1" customWidth="1"/>
    <col min="1582" max="1798" width="9.140625" style="452"/>
    <col min="1799" max="1799" width="16.5703125" style="452" bestFit="1" customWidth="1"/>
    <col min="1800" max="1800" width="38.42578125" style="452" bestFit="1" customWidth="1"/>
    <col min="1801" max="1801" width="0" style="452" hidden="1" customWidth="1"/>
    <col min="1802" max="1802" width="36.5703125" style="452" customWidth="1"/>
    <col min="1803" max="1803" width="12.140625" style="452" customWidth="1"/>
    <col min="1804" max="1804" width="7.5703125" style="452" bestFit="1" customWidth="1"/>
    <col min="1805" max="1805" width="4.42578125" style="452" bestFit="1" customWidth="1"/>
    <col min="1806" max="1806" width="9.85546875" style="452" bestFit="1" customWidth="1"/>
    <col min="1807" max="1807" width="9.42578125" style="452" bestFit="1" customWidth="1"/>
    <col min="1808" max="1808" width="8.85546875" style="452" customWidth="1"/>
    <col min="1809" max="1809" width="9.140625" style="452"/>
    <col min="1810" max="1810" width="12.85546875" style="452" customWidth="1"/>
    <col min="1811" max="1811" width="9.140625" style="452"/>
    <col min="1812" max="1812" width="11.85546875" style="452" customWidth="1"/>
    <col min="1813" max="1813" width="11" style="452" bestFit="1" customWidth="1"/>
    <col min="1814" max="1814" width="10" style="452" bestFit="1" customWidth="1"/>
    <col min="1815" max="1815" width="9.5703125" style="452" bestFit="1" customWidth="1"/>
    <col min="1816" max="1817" width="10" style="452" bestFit="1" customWidth="1"/>
    <col min="1818" max="1818" width="10.5703125" style="452" bestFit="1" customWidth="1"/>
    <col min="1819" max="1819" width="10" style="452" bestFit="1" customWidth="1"/>
    <col min="1820" max="1820" width="9.140625" style="452"/>
    <col min="1821" max="1821" width="11" style="452" bestFit="1" customWidth="1"/>
    <col min="1822" max="1822" width="9.140625" style="452"/>
    <col min="1823" max="1823" width="10" style="452" bestFit="1" customWidth="1"/>
    <col min="1824" max="1824" width="9.5703125" style="452" bestFit="1" customWidth="1"/>
    <col min="1825" max="1826" width="10.5703125" style="452" bestFit="1" customWidth="1"/>
    <col min="1827" max="1827" width="10" style="452" bestFit="1" customWidth="1"/>
    <col min="1828" max="1828" width="9.140625" style="452"/>
    <col min="1829" max="1830" width="10" style="452" bestFit="1" customWidth="1"/>
    <col min="1831" max="1831" width="10.5703125" style="452" bestFit="1" customWidth="1"/>
    <col min="1832" max="1832" width="10.42578125" style="452" bestFit="1" customWidth="1"/>
    <col min="1833" max="1833" width="9.140625" style="452"/>
    <col min="1834" max="1834" width="9.5703125" style="452" bestFit="1" customWidth="1"/>
    <col min="1835" max="1835" width="10.42578125" style="452" bestFit="1" customWidth="1"/>
    <col min="1836" max="1836" width="10" style="452" bestFit="1" customWidth="1"/>
    <col min="1837" max="1837" width="12.42578125" style="452" bestFit="1" customWidth="1"/>
    <col min="1838" max="2054" width="9.140625" style="452"/>
    <col min="2055" max="2055" width="16.5703125" style="452" bestFit="1" customWidth="1"/>
    <col min="2056" max="2056" width="38.42578125" style="452" bestFit="1" customWidth="1"/>
    <col min="2057" max="2057" width="0" style="452" hidden="1" customWidth="1"/>
    <col min="2058" max="2058" width="36.5703125" style="452" customWidth="1"/>
    <col min="2059" max="2059" width="12.140625" style="452" customWidth="1"/>
    <col min="2060" max="2060" width="7.5703125" style="452" bestFit="1" customWidth="1"/>
    <col min="2061" max="2061" width="4.42578125" style="452" bestFit="1" customWidth="1"/>
    <col min="2062" max="2062" width="9.85546875" style="452" bestFit="1" customWidth="1"/>
    <col min="2063" max="2063" width="9.42578125" style="452" bestFit="1" customWidth="1"/>
    <col min="2064" max="2064" width="8.85546875" style="452" customWidth="1"/>
    <col min="2065" max="2065" width="9.140625" style="452"/>
    <col min="2066" max="2066" width="12.85546875" style="452" customWidth="1"/>
    <col min="2067" max="2067" width="9.140625" style="452"/>
    <col min="2068" max="2068" width="11.85546875" style="452" customWidth="1"/>
    <col min="2069" max="2069" width="11" style="452" bestFit="1" customWidth="1"/>
    <col min="2070" max="2070" width="10" style="452" bestFit="1" customWidth="1"/>
    <col min="2071" max="2071" width="9.5703125" style="452" bestFit="1" customWidth="1"/>
    <col min="2072" max="2073" width="10" style="452" bestFit="1" customWidth="1"/>
    <col min="2074" max="2074" width="10.5703125" style="452" bestFit="1" customWidth="1"/>
    <col min="2075" max="2075" width="10" style="452" bestFit="1" customWidth="1"/>
    <col min="2076" max="2076" width="9.140625" style="452"/>
    <col min="2077" max="2077" width="11" style="452" bestFit="1" customWidth="1"/>
    <col min="2078" max="2078" width="9.140625" style="452"/>
    <col min="2079" max="2079" width="10" style="452" bestFit="1" customWidth="1"/>
    <col min="2080" max="2080" width="9.5703125" style="452" bestFit="1" customWidth="1"/>
    <col min="2081" max="2082" width="10.5703125" style="452" bestFit="1" customWidth="1"/>
    <col min="2083" max="2083" width="10" style="452" bestFit="1" customWidth="1"/>
    <col min="2084" max="2084" width="9.140625" style="452"/>
    <col min="2085" max="2086" width="10" style="452" bestFit="1" customWidth="1"/>
    <col min="2087" max="2087" width="10.5703125" style="452" bestFit="1" customWidth="1"/>
    <col min="2088" max="2088" width="10.42578125" style="452" bestFit="1" customWidth="1"/>
    <col min="2089" max="2089" width="9.140625" style="452"/>
    <col min="2090" max="2090" width="9.5703125" style="452" bestFit="1" customWidth="1"/>
    <col min="2091" max="2091" width="10.42578125" style="452" bestFit="1" customWidth="1"/>
    <col min="2092" max="2092" width="10" style="452" bestFit="1" customWidth="1"/>
    <col min="2093" max="2093" width="12.42578125" style="452" bestFit="1" customWidth="1"/>
    <col min="2094" max="2310" width="9.140625" style="452"/>
    <col min="2311" max="2311" width="16.5703125" style="452" bestFit="1" customWidth="1"/>
    <col min="2312" max="2312" width="38.42578125" style="452" bestFit="1" customWidth="1"/>
    <col min="2313" max="2313" width="0" style="452" hidden="1" customWidth="1"/>
    <col min="2314" max="2314" width="36.5703125" style="452" customWidth="1"/>
    <col min="2315" max="2315" width="12.140625" style="452" customWidth="1"/>
    <col min="2316" max="2316" width="7.5703125" style="452" bestFit="1" customWidth="1"/>
    <col min="2317" max="2317" width="4.42578125" style="452" bestFit="1" customWidth="1"/>
    <col min="2318" max="2318" width="9.85546875" style="452" bestFit="1" customWidth="1"/>
    <col min="2319" max="2319" width="9.42578125" style="452" bestFit="1" customWidth="1"/>
    <col min="2320" max="2320" width="8.85546875" style="452" customWidth="1"/>
    <col min="2321" max="2321" width="9.140625" style="452"/>
    <col min="2322" max="2322" width="12.85546875" style="452" customWidth="1"/>
    <col min="2323" max="2323" width="9.140625" style="452"/>
    <col min="2324" max="2324" width="11.85546875" style="452" customWidth="1"/>
    <col min="2325" max="2325" width="11" style="452" bestFit="1" customWidth="1"/>
    <col min="2326" max="2326" width="10" style="452" bestFit="1" customWidth="1"/>
    <col min="2327" max="2327" width="9.5703125" style="452" bestFit="1" customWidth="1"/>
    <col min="2328" max="2329" width="10" style="452" bestFit="1" customWidth="1"/>
    <col min="2330" max="2330" width="10.5703125" style="452" bestFit="1" customWidth="1"/>
    <col min="2331" max="2331" width="10" style="452" bestFit="1" customWidth="1"/>
    <col min="2332" max="2332" width="9.140625" style="452"/>
    <col min="2333" max="2333" width="11" style="452" bestFit="1" customWidth="1"/>
    <col min="2334" max="2334" width="9.140625" style="452"/>
    <col min="2335" max="2335" width="10" style="452" bestFit="1" customWidth="1"/>
    <col min="2336" max="2336" width="9.5703125" style="452" bestFit="1" customWidth="1"/>
    <col min="2337" max="2338" width="10.5703125" style="452" bestFit="1" customWidth="1"/>
    <col min="2339" max="2339" width="10" style="452" bestFit="1" customWidth="1"/>
    <col min="2340" max="2340" width="9.140625" style="452"/>
    <col min="2341" max="2342" width="10" style="452" bestFit="1" customWidth="1"/>
    <col min="2343" max="2343" width="10.5703125" style="452" bestFit="1" customWidth="1"/>
    <col min="2344" max="2344" width="10.42578125" style="452" bestFit="1" customWidth="1"/>
    <col min="2345" max="2345" width="9.140625" style="452"/>
    <col min="2346" max="2346" width="9.5703125" style="452" bestFit="1" customWidth="1"/>
    <col min="2347" max="2347" width="10.42578125" style="452" bestFit="1" customWidth="1"/>
    <col min="2348" max="2348" width="10" style="452" bestFit="1" customWidth="1"/>
    <col min="2349" max="2349" width="12.42578125" style="452" bestFit="1" customWidth="1"/>
    <col min="2350" max="2566" width="9.140625" style="452"/>
    <col min="2567" max="2567" width="16.5703125" style="452" bestFit="1" customWidth="1"/>
    <col min="2568" max="2568" width="38.42578125" style="452" bestFit="1" customWidth="1"/>
    <col min="2569" max="2569" width="0" style="452" hidden="1" customWidth="1"/>
    <col min="2570" max="2570" width="36.5703125" style="452" customWidth="1"/>
    <col min="2571" max="2571" width="12.140625" style="452" customWidth="1"/>
    <col min="2572" max="2572" width="7.5703125" style="452" bestFit="1" customWidth="1"/>
    <col min="2573" max="2573" width="4.42578125" style="452" bestFit="1" customWidth="1"/>
    <col min="2574" max="2574" width="9.85546875" style="452" bestFit="1" customWidth="1"/>
    <col min="2575" max="2575" width="9.42578125" style="452" bestFit="1" customWidth="1"/>
    <col min="2576" max="2576" width="8.85546875" style="452" customWidth="1"/>
    <col min="2577" max="2577" width="9.140625" style="452"/>
    <col min="2578" max="2578" width="12.85546875" style="452" customWidth="1"/>
    <col min="2579" max="2579" width="9.140625" style="452"/>
    <col min="2580" max="2580" width="11.85546875" style="452" customWidth="1"/>
    <col min="2581" max="2581" width="11" style="452" bestFit="1" customWidth="1"/>
    <col min="2582" max="2582" width="10" style="452" bestFit="1" customWidth="1"/>
    <col min="2583" max="2583" width="9.5703125" style="452" bestFit="1" customWidth="1"/>
    <col min="2584" max="2585" width="10" style="452" bestFit="1" customWidth="1"/>
    <col min="2586" max="2586" width="10.5703125" style="452" bestFit="1" customWidth="1"/>
    <col min="2587" max="2587" width="10" style="452" bestFit="1" customWidth="1"/>
    <col min="2588" max="2588" width="9.140625" style="452"/>
    <col min="2589" max="2589" width="11" style="452" bestFit="1" customWidth="1"/>
    <col min="2590" max="2590" width="9.140625" style="452"/>
    <col min="2591" max="2591" width="10" style="452" bestFit="1" customWidth="1"/>
    <col min="2592" max="2592" width="9.5703125" style="452" bestFit="1" customWidth="1"/>
    <col min="2593" max="2594" width="10.5703125" style="452" bestFit="1" customWidth="1"/>
    <col min="2595" max="2595" width="10" style="452" bestFit="1" customWidth="1"/>
    <col min="2596" max="2596" width="9.140625" style="452"/>
    <col min="2597" max="2598" width="10" style="452" bestFit="1" customWidth="1"/>
    <col min="2599" max="2599" width="10.5703125" style="452" bestFit="1" customWidth="1"/>
    <col min="2600" max="2600" width="10.42578125" style="452" bestFit="1" customWidth="1"/>
    <col min="2601" max="2601" width="9.140625" style="452"/>
    <col min="2602" max="2602" width="9.5703125" style="452" bestFit="1" customWidth="1"/>
    <col min="2603" max="2603" width="10.42578125" style="452" bestFit="1" customWidth="1"/>
    <col min="2604" max="2604" width="10" style="452" bestFit="1" customWidth="1"/>
    <col min="2605" max="2605" width="12.42578125" style="452" bestFit="1" customWidth="1"/>
    <col min="2606" max="2822" width="9.140625" style="452"/>
    <col min="2823" max="2823" width="16.5703125" style="452" bestFit="1" customWidth="1"/>
    <col min="2824" max="2824" width="38.42578125" style="452" bestFit="1" customWidth="1"/>
    <col min="2825" max="2825" width="0" style="452" hidden="1" customWidth="1"/>
    <col min="2826" max="2826" width="36.5703125" style="452" customWidth="1"/>
    <col min="2827" max="2827" width="12.140625" style="452" customWidth="1"/>
    <col min="2828" max="2828" width="7.5703125" style="452" bestFit="1" customWidth="1"/>
    <col min="2829" max="2829" width="4.42578125" style="452" bestFit="1" customWidth="1"/>
    <col min="2830" max="2830" width="9.85546875" style="452" bestFit="1" customWidth="1"/>
    <col min="2831" max="2831" width="9.42578125" style="452" bestFit="1" customWidth="1"/>
    <col min="2832" max="2832" width="8.85546875" style="452" customWidth="1"/>
    <col min="2833" max="2833" width="9.140625" style="452"/>
    <col min="2834" max="2834" width="12.85546875" style="452" customWidth="1"/>
    <col min="2835" max="2835" width="9.140625" style="452"/>
    <col min="2836" max="2836" width="11.85546875" style="452" customWidth="1"/>
    <col min="2837" max="2837" width="11" style="452" bestFit="1" customWidth="1"/>
    <col min="2838" max="2838" width="10" style="452" bestFit="1" customWidth="1"/>
    <col min="2839" max="2839" width="9.5703125" style="452" bestFit="1" customWidth="1"/>
    <col min="2840" max="2841" width="10" style="452" bestFit="1" customWidth="1"/>
    <col min="2842" max="2842" width="10.5703125" style="452" bestFit="1" customWidth="1"/>
    <col min="2843" max="2843" width="10" style="452" bestFit="1" customWidth="1"/>
    <col min="2844" max="2844" width="9.140625" style="452"/>
    <col min="2845" max="2845" width="11" style="452" bestFit="1" customWidth="1"/>
    <col min="2846" max="2846" width="9.140625" style="452"/>
    <col min="2847" max="2847" width="10" style="452" bestFit="1" customWidth="1"/>
    <col min="2848" max="2848" width="9.5703125" style="452" bestFit="1" customWidth="1"/>
    <col min="2849" max="2850" width="10.5703125" style="452" bestFit="1" customWidth="1"/>
    <col min="2851" max="2851" width="10" style="452" bestFit="1" customWidth="1"/>
    <col min="2852" max="2852" width="9.140625" style="452"/>
    <col min="2853" max="2854" width="10" style="452" bestFit="1" customWidth="1"/>
    <col min="2855" max="2855" width="10.5703125" style="452" bestFit="1" customWidth="1"/>
    <col min="2856" max="2856" width="10.42578125" style="452" bestFit="1" customWidth="1"/>
    <col min="2857" max="2857" width="9.140625" style="452"/>
    <col min="2858" max="2858" width="9.5703125" style="452" bestFit="1" customWidth="1"/>
    <col min="2859" max="2859" width="10.42578125" style="452" bestFit="1" customWidth="1"/>
    <col min="2860" max="2860" width="10" style="452" bestFit="1" customWidth="1"/>
    <col min="2861" max="2861" width="12.42578125" style="452" bestFit="1" customWidth="1"/>
    <col min="2862" max="3078" width="9.140625" style="452"/>
    <col min="3079" max="3079" width="16.5703125" style="452" bestFit="1" customWidth="1"/>
    <col min="3080" max="3080" width="38.42578125" style="452" bestFit="1" customWidth="1"/>
    <col min="3081" max="3081" width="0" style="452" hidden="1" customWidth="1"/>
    <col min="3082" max="3082" width="36.5703125" style="452" customWidth="1"/>
    <col min="3083" max="3083" width="12.140625" style="452" customWidth="1"/>
    <col min="3084" max="3084" width="7.5703125" style="452" bestFit="1" customWidth="1"/>
    <col min="3085" max="3085" width="4.42578125" style="452" bestFit="1" customWidth="1"/>
    <col min="3086" max="3086" width="9.85546875" style="452" bestFit="1" customWidth="1"/>
    <col min="3087" max="3087" width="9.42578125" style="452" bestFit="1" customWidth="1"/>
    <col min="3088" max="3088" width="8.85546875" style="452" customWidth="1"/>
    <col min="3089" max="3089" width="9.140625" style="452"/>
    <col min="3090" max="3090" width="12.85546875" style="452" customWidth="1"/>
    <col min="3091" max="3091" width="9.140625" style="452"/>
    <col min="3092" max="3092" width="11.85546875" style="452" customWidth="1"/>
    <col min="3093" max="3093" width="11" style="452" bestFit="1" customWidth="1"/>
    <col min="3094" max="3094" width="10" style="452" bestFit="1" customWidth="1"/>
    <col min="3095" max="3095" width="9.5703125" style="452" bestFit="1" customWidth="1"/>
    <col min="3096" max="3097" width="10" style="452" bestFit="1" customWidth="1"/>
    <col min="3098" max="3098" width="10.5703125" style="452" bestFit="1" customWidth="1"/>
    <col min="3099" max="3099" width="10" style="452" bestFit="1" customWidth="1"/>
    <col min="3100" max="3100" width="9.140625" style="452"/>
    <col min="3101" max="3101" width="11" style="452" bestFit="1" customWidth="1"/>
    <col min="3102" max="3102" width="9.140625" style="452"/>
    <col min="3103" max="3103" width="10" style="452" bestFit="1" customWidth="1"/>
    <col min="3104" max="3104" width="9.5703125" style="452" bestFit="1" customWidth="1"/>
    <col min="3105" max="3106" width="10.5703125" style="452" bestFit="1" customWidth="1"/>
    <col min="3107" max="3107" width="10" style="452" bestFit="1" customWidth="1"/>
    <col min="3108" max="3108" width="9.140625" style="452"/>
    <col min="3109" max="3110" width="10" style="452" bestFit="1" customWidth="1"/>
    <col min="3111" max="3111" width="10.5703125" style="452" bestFit="1" customWidth="1"/>
    <col min="3112" max="3112" width="10.42578125" style="452" bestFit="1" customWidth="1"/>
    <col min="3113" max="3113" width="9.140625" style="452"/>
    <col min="3114" max="3114" width="9.5703125" style="452" bestFit="1" customWidth="1"/>
    <col min="3115" max="3115" width="10.42578125" style="452" bestFit="1" customWidth="1"/>
    <col min="3116" max="3116" width="10" style="452" bestFit="1" customWidth="1"/>
    <col min="3117" max="3117" width="12.42578125" style="452" bestFit="1" customWidth="1"/>
    <col min="3118" max="3334" width="9.140625" style="452"/>
    <col min="3335" max="3335" width="16.5703125" style="452" bestFit="1" customWidth="1"/>
    <col min="3336" max="3336" width="38.42578125" style="452" bestFit="1" customWidth="1"/>
    <col min="3337" max="3337" width="0" style="452" hidden="1" customWidth="1"/>
    <col min="3338" max="3338" width="36.5703125" style="452" customWidth="1"/>
    <col min="3339" max="3339" width="12.140625" style="452" customWidth="1"/>
    <col min="3340" max="3340" width="7.5703125" style="452" bestFit="1" customWidth="1"/>
    <col min="3341" max="3341" width="4.42578125" style="452" bestFit="1" customWidth="1"/>
    <col min="3342" max="3342" width="9.85546875" style="452" bestFit="1" customWidth="1"/>
    <col min="3343" max="3343" width="9.42578125" style="452" bestFit="1" customWidth="1"/>
    <col min="3344" max="3344" width="8.85546875" style="452" customWidth="1"/>
    <col min="3345" max="3345" width="9.140625" style="452"/>
    <col min="3346" max="3346" width="12.85546875" style="452" customWidth="1"/>
    <col min="3347" max="3347" width="9.140625" style="452"/>
    <col min="3348" max="3348" width="11.85546875" style="452" customWidth="1"/>
    <col min="3349" max="3349" width="11" style="452" bestFit="1" customWidth="1"/>
    <col min="3350" max="3350" width="10" style="452" bestFit="1" customWidth="1"/>
    <col min="3351" max="3351" width="9.5703125" style="452" bestFit="1" customWidth="1"/>
    <col min="3352" max="3353" width="10" style="452" bestFit="1" customWidth="1"/>
    <col min="3354" max="3354" width="10.5703125" style="452" bestFit="1" customWidth="1"/>
    <col min="3355" max="3355" width="10" style="452" bestFit="1" customWidth="1"/>
    <col min="3356" max="3356" width="9.140625" style="452"/>
    <col min="3357" max="3357" width="11" style="452" bestFit="1" customWidth="1"/>
    <col min="3358" max="3358" width="9.140625" style="452"/>
    <col min="3359" max="3359" width="10" style="452" bestFit="1" customWidth="1"/>
    <col min="3360" max="3360" width="9.5703125" style="452" bestFit="1" customWidth="1"/>
    <col min="3361" max="3362" width="10.5703125" style="452" bestFit="1" customWidth="1"/>
    <col min="3363" max="3363" width="10" style="452" bestFit="1" customWidth="1"/>
    <col min="3364" max="3364" width="9.140625" style="452"/>
    <col min="3365" max="3366" width="10" style="452" bestFit="1" customWidth="1"/>
    <col min="3367" max="3367" width="10.5703125" style="452" bestFit="1" customWidth="1"/>
    <col min="3368" max="3368" width="10.42578125" style="452" bestFit="1" customWidth="1"/>
    <col min="3369" max="3369" width="9.140625" style="452"/>
    <col min="3370" max="3370" width="9.5703125" style="452" bestFit="1" customWidth="1"/>
    <col min="3371" max="3371" width="10.42578125" style="452" bestFit="1" customWidth="1"/>
    <col min="3372" max="3372" width="10" style="452" bestFit="1" customWidth="1"/>
    <col min="3373" max="3373" width="12.42578125" style="452" bestFit="1" customWidth="1"/>
    <col min="3374" max="3590" width="9.140625" style="452"/>
    <col min="3591" max="3591" width="16.5703125" style="452" bestFit="1" customWidth="1"/>
    <col min="3592" max="3592" width="38.42578125" style="452" bestFit="1" customWidth="1"/>
    <col min="3593" max="3593" width="0" style="452" hidden="1" customWidth="1"/>
    <col min="3594" max="3594" width="36.5703125" style="452" customWidth="1"/>
    <col min="3595" max="3595" width="12.140625" style="452" customWidth="1"/>
    <col min="3596" max="3596" width="7.5703125" style="452" bestFit="1" customWidth="1"/>
    <col min="3597" max="3597" width="4.42578125" style="452" bestFit="1" customWidth="1"/>
    <col min="3598" max="3598" width="9.85546875" style="452" bestFit="1" customWidth="1"/>
    <col min="3599" max="3599" width="9.42578125" style="452" bestFit="1" customWidth="1"/>
    <col min="3600" max="3600" width="8.85546875" style="452" customWidth="1"/>
    <col min="3601" max="3601" width="9.140625" style="452"/>
    <col min="3602" max="3602" width="12.85546875" style="452" customWidth="1"/>
    <col min="3603" max="3603" width="9.140625" style="452"/>
    <col min="3604" max="3604" width="11.85546875" style="452" customWidth="1"/>
    <col min="3605" max="3605" width="11" style="452" bestFit="1" customWidth="1"/>
    <col min="3606" max="3606" width="10" style="452" bestFit="1" customWidth="1"/>
    <col min="3607" max="3607" width="9.5703125" style="452" bestFit="1" customWidth="1"/>
    <col min="3608" max="3609" width="10" style="452" bestFit="1" customWidth="1"/>
    <col min="3610" max="3610" width="10.5703125" style="452" bestFit="1" customWidth="1"/>
    <col min="3611" max="3611" width="10" style="452" bestFit="1" customWidth="1"/>
    <col min="3612" max="3612" width="9.140625" style="452"/>
    <col min="3613" max="3613" width="11" style="452" bestFit="1" customWidth="1"/>
    <col min="3614" max="3614" width="9.140625" style="452"/>
    <col min="3615" max="3615" width="10" style="452" bestFit="1" customWidth="1"/>
    <col min="3616" max="3616" width="9.5703125" style="452" bestFit="1" customWidth="1"/>
    <col min="3617" max="3618" width="10.5703125" style="452" bestFit="1" customWidth="1"/>
    <col min="3619" max="3619" width="10" style="452" bestFit="1" customWidth="1"/>
    <col min="3620" max="3620" width="9.140625" style="452"/>
    <col min="3621" max="3622" width="10" style="452" bestFit="1" customWidth="1"/>
    <col min="3623" max="3623" width="10.5703125" style="452" bestFit="1" customWidth="1"/>
    <col min="3624" max="3624" width="10.42578125" style="452" bestFit="1" customWidth="1"/>
    <col min="3625" max="3625" width="9.140625" style="452"/>
    <col min="3626" max="3626" width="9.5703125" style="452" bestFit="1" customWidth="1"/>
    <col min="3627" max="3627" width="10.42578125" style="452" bestFit="1" customWidth="1"/>
    <col min="3628" max="3628" width="10" style="452" bestFit="1" customWidth="1"/>
    <col min="3629" max="3629" width="12.42578125" style="452" bestFit="1" customWidth="1"/>
    <col min="3630" max="3846" width="9.140625" style="452"/>
    <col min="3847" max="3847" width="16.5703125" style="452" bestFit="1" customWidth="1"/>
    <col min="3848" max="3848" width="38.42578125" style="452" bestFit="1" customWidth="1"/>
    <col min="3849" max="3849" width="0" style="452" hidden="1" customWidth="1"/>
    <col min="3850" max="3850" width="36.5703125" style="452" customWidth="1"/>
    <col min="3851" max="3851" width="12.140625" style="452" customWidth="1"/>
    <col min="3852" max="3852" width="7.5703125" style="452" bestFit="1" customWidth="1"/>
    <col min="3853" max="3853" width="4.42578125" style="452" bestFit="1" customWidth="1"/>
    <col min="3854" max="3854" width="9.85546875" style="452" bestFit="1" customWidth="1"/>
    <col min="3855" max="3855" width="9.42578125" style="452" bestFit="1" customWidth="1"/>
    <col min="3856" max="3856" width="8.85546875" style="452" customWidth="1"/>
    <col min="3857" max="3857" width="9.140625" style="452"/>
    <col min="3858" max="3858" width="12.85546875" style="452" customWidth="1"/>
    <col min="3859" max="3859" width="9.140625" style="452"/>
    <col min="3860" max="3860" width="11.85546875" style="452" customWidth="1"/>
    <col min="3861" max="3861" width="11" style="452" bestFit="1" customWidth="1"/>
    <col min="3862" max="3862" width="10" style="452" bestFit="1" customWidth="1"/>
    <col min="3863" max="3863" width="9.5703125" style="452" bestFit="1" customWidth="1"/>
    <col min="3864" max="3865" width="10" style="452" bestFit="1" customWidth="1"/>
    <col min="3866" max="3866" width="10.5703125" style="452" bestFit="1" customWidth="1"/>
    <col min="3867" max="3867" width="10" style="452" bestFit="1" customWidth="1"/>
    <col min="3868" max="3868" width="9.140625" style="452"/>
    <col min="3869" max="3869" width="11" style="452" bestFit="1" customWidth="1"/>
    <col min="3870" max="3870" width="9.140625" style="452"/>
    <col min="3871" max="3871" width="10" style="452" bestFit="1" customWidth="1"/>
    <col min="3872" max="3872" width="9.5703125" style="452" bestFit="1" customWidth="1"/>
    <col min="3873" max="3874" width="10.5703125" style="452" bestFit="1" customWidth="1"/>
    <col min="3875" max="3875" width="10" style="452" bestFit="1" customWidth="1"/>
    <col min="3876" max="3876" width="9.140625" style="452"/>
    <col min="3877" max="3878" width="10" style="452" bestFit="1" customWidth="1"/>
    <col min="3879" max="3879" width="10.5703125" style="452" bestFit="1" customWidth="1"/>
    <col min="3880" max="3880" width="10.42578125" style="452" bestFit="1" customWidth="1"/>
    <col min="3881" max="3881" width="9.140625" style="452"/>
    <col min="3882" max="3882" width="9.5703125" style="452" bestFit="1" customWidth="1"/>
    <col min="3883" max="3883" width="10.42578125" style="452" bestFit="1" customWidth="1"/>
    <col min="3884" max="3884" width="10" style="452" bestFit="1" customWidth="1"/>
    <col min="3885" max="3885" width="12.42578125" style="452" bestFit="1" customWidth="1"/>
    <col min="3886" max="4102" width="9.140625" style="452"/>
    <col min="4103" max="4103" width="16.5703125" style="452" bestFit="1" customWidth="1"/>
    <col min="4104" max="4104" width="38.42578125" style="452" bestFit="1" customWidth="1"/>
    <col min="4105" max="4105" width="0" style="452" hidden="1" customWidth="1"/>
    <col min="4106" max="4106" width="36.5703125" style="452" customWidth="1"/>
    <col min="4107" max="4107" width="12.140625" style="452" customWidth="1"/>
    <col min="4108" max="4108" width="7.5703125" style="452" bestFit="1" customWidth="1"/>
    <col min="4109" max="4109" width="4.42578125" style="452" bestFit="1" customWidth="1"/>
    <col min="4110" max="4110" width="9.85546875" style="452" bestFit="1" customWidth="1"/>
    <col min="4111" max="4111" width="9.42578125" style="452" bestFit="1" customWidth="1"/>
    <col min="4112" max="4112" width="8.85546875" style="452" customWidth="1"/>
    <col min="4113" max="4113" width="9.140625" style="452"/>
    <col min="4114" max="4114" width="12.85546875" style="452" customWidth="1"/>
    <col min="4115" max="4115" width="9.140625" style="452"/>
    <col min="4116" max="4116" width="11.85546875" style="452" customWidth="1"/>
    <col min="4117" max="4117" width="11" style="452" bestFit="1" customWidth="1"/>
    <col min="4118" max="4118" width="10" style="452" bestFit="1" customWidth="1"/>
    <col min="4119" max="4119" width="9.5703125" style="452" bestFit="1" customWidth="1"/>
    <col min="4120" max="4121" width="10" style="452" bestFit="1" customWidth="1"/>
    <col min="4122" max="4122" width="10.5703125" style="452" bestFit="1" customWidth="1"/>
    <col min="4123" max="4123" width="10" style="452" bestFit="1" customWidth="1"/>
    <col min="4124" max="4124" width="9.140625" style="452"/>
    <col min="4125" max="4125" width="11" style="452" bestFit="1" customWidth="1"/>
    <col min="4126" max="4126" width="9.140625" style="452"/>
    <col min="4127" max="4127" width="10" style="452" bestFit="1" customWidth="1"/>
    <col min="4128" max="4128" width="9.5703125" style="452" bestFit="1" customWidth="1"/>
    <col min="4129" max="4130" width="10.5703125" style="452" bestFit="1" customWidth="1"/>
    <col min="4131" max="4131" width="10" style="452" bestFit="1" customWidth="1"/>
    <col min="4132" max="4132" width="9.140625" style="452"/>
    <col min="4133" max="4134" width="10" style="452" bestFit="1" customWidth="1"/>
    <col min="4135" max="4135" width="10.5703125" style="452" bestFit="1" customWidth="1"/>
    <col min="4136" max="4136" width="10.42578125" style="452" bestFit="1" customWidth="1"/>
    <col min="4137" max="4137" width="9.140625" style="452"/>
    <col min="4138" max="4138" width="9.5703125" style="452" bestFit="1" customWidth="1"/>
    <col min="4139" max="4139" width="10.42578125" style="452" bestFit="1" customWidth="1"/>
    <col min="4140" max="4140" width="10" style="452" bestFit="1" customWidth="1"/>
    <col min="4141" max="4141" width="12.42578125" style="452" bestFit="1" customWidth="1"/>
    <col min="4142" max="4358" width="9.140625" style="452"/>
    <col min="4359" max="4359" width="16.5703125" style="452" bestFit="1" customWidth="1"/>
    <col min="4360" max="4360" width="38.42578125" style="452" bestFit="1" customWidth="1"/>
    <col min="4361" max="4361" width="0" style="452" hidden="1" customWidth="1"/>
    <col min="4362" max="4362" width="36.5703125" style="452" customWidth="1"/>
    <col min="4363" max="4363" width="12.140625" style="452" customWidth="1"/>
    <col min="4364" max="4364" width="7.5703125" style="452" bestFit="1" customWidth="1"/>
    <col min="4365" max="4365" width="4.42578125" style="452" bestFit="1" customWidth="1"/>
    <col min="4366" max="4366" width="9.85546875" style="452" bestFit="1" customWidth="1"/>
    <col min="4367" max="4367" width="9.42578125" style="452" bestFit="1" customWidth="1"/>
    <col min="4368" max="4368" width="8.85546875" style="452" customWidth="1"/>
    <col min="4369" max="4369" width="9.140625" style="452"/>
    <col min="4370" max="4370" width="12.85546875" style="452" customWidth="1"/>
    <col min="4371" max="4371" width="9.140625" style="452"/>
    <col min="4372" max="4372" width="11.85546875" style="452" customWidth="1"/>
    <col min="4373" max="4373" width="11" style="452" bestFit="1" customWidth="1"/>
    <col min="4374" max="4374" width="10" style="452" bestFit="1" customWidth="1"/>
    <col min="4375" max="4375" width="9.5703125" style="452" bestFit="1" customWidth="1"/>
    <col min="4376" max="4377" width="10" style="452" bestFit="1" customWidth="1"/>
    <col min="4378" max="4378" width="10.5703125" style="452" bestFit="1" customWidth="1"/>
    <col min="4379" max="4379" width="10" style="452" bestFit="1" customWidth="1"/>
    <col min="4380" max="4380" width="9.140625" style="452"/>
    <col min="4381" max="4381" width="11" style="452" bestFit="1" customWidth="1"/>
    <col min="4382" max="4382" width="9.140625" style="452"/>
    <col min="4383" max="4383" width="10" style="452" bestFit="1" customWidth="1"/>
    <col min="4384" max="4384" width="9.5703125" style="452" bestFit="1" customWidth="1"/>
    <col min="4385" max="4386" width="10.5703125" style="452" bestFit="1" customWidth="1"/>
    <col min="4387" max="4387" width="10" style="452" bestFit="1" customWidth="1"/>
    <col min="4388" max="4388" width="9.140625" style="452"/>
    <col min="4389" max="4390" width="10" style="452" bestFit="1" customWidth="1"/>
    <col min="4391" max="4391" width="10.5703125" style="452" bestFit="1" customWidth="1"/>
    <col min="4392" max="4392" width="10.42578125" style="452" bestFit="1" customWidth="1"/>
    <col min="4393" max="4393" width="9.140625" style="452"/>
    <col min="4394" max="4394" width="9.5703125" style="452" bestFit="1" customWidth="1"/>
    <col min="4395" max="4395" width="10.42578125" style="452" bestFit="1" customWidth="1"/>
    <col min="4396" max="4396" width="10" style="452" bestFit="1" customWidth="1"/>
    <col min="4397" max="4397" width="12.42578125" style="452" bestFit="1" customWidth="1"/>
    <col min="4398" max="4614" width="9.140625" style="452"/>
    <col min="4615" max="4615" width="16.5703125" style="452" bestFit="1" customWidth="1"/>
    <col min="4616" max="4616" width="38.42578125" style="452" bestFit="1" customWidth="1"/>
    <col min="4617" max="4617" width="0" style="452" hidden="1" customWidth="1"/>
    <col min="4618" max="4618" width="36.5703125" style="452" customWidth="1"/>
    <col min="4619" max="4619" width="12.140625" style="452" customWidth="1"/>
    <col min="4620" max="4620" width="7.5703125" style="452" bestFit="1" customWidth="1"/>
    <col min="4621" max="4621" width="4.42578125" style="452" bestFit="1" customWidth="1"/>
    <col min="4622" max="4622" width="9.85546875" style="452" bestFit="1" customWidth="1"/>
    <col min="4623" max="4623" width="9.42578125" style="452" bestFit="1" customWidth="1"/>
    <col min="4624" max="4624" width="8.85546875" style="452" customWidth="1"/>
    <col min="4625" max="4625" width="9.140625" style="452"/>
    <col min="4626" max="4626" width="12.85546875" style="452" customWidth="1"/>
    <col min="4627" max="4627" width="9.140625" style="452"/>
    <col min="4628" max="4628" width="11.85546875" style="452" customWidth="1"/>
    <col min="4629" max="4629" width="11" style="452" bestFit="1" customWidth="1"/>
    <col min="4630" max="4630" width="10" style="452" bestFit="1" customWidth="1"/>
    <col min="4631" max="4631" width="9.5703125" style="452" bestFit="1" customWidth="1"/>
    <col min="4632" max="4633" width="10" style="452" bestFit="1" customWidth="1"/>
    <col min="4634" max="4634" width="10.5703125" style="452" bestFit="1" customWidth="1"/>
    <col min="4635" max="4635" width="10" style="452" bestFit="1" customWidth="1"/>
    <col min="4636" max="4636" width="9.140625" style="452"/>
    <col min="4637" max="4637" width="11" style="452" bestFit="1" customWidth="1"/>
    <col min="4638" max="4638" width="9.140625" style="452"/>
    <col min="4639" max="4639" width="10" style="452" bestFit="1" customWidth="1"/>
    <col min="4640" max="4640" width="9.5703125" style="452" bestFit="1" customWidth="1"/>
    <col min="4641" max="4642" width="10.5703125" style="452" bestFit="1" customWidth="1"/>
    <col min="4643" max="4643" width="10" style="452" bestFit="1" customWidth="1"/>
    <col min="4644" max="4644" width="9.140625" style="452"/>
    <col min="4645" max="4646" width="10" style="452" bestFit="1" customWidth="1"/>
    <col min="4647" max="4647" width="10.5703125" style="452" bestFit="1" customWidth="1"/>
    <col min="4648" max="4648" width="10.42578125" style="452" bestFit="1" customWidth="1"/>
    <col min="4649" max="4649" width="9.140625" style="452"/>
    <col min="4650" max="4650" width="9.5703125" style="452" bestFit="1" customWidth="1"/>
    <col min="4651" max="4651" width="10.42578125" style="452" bestFit="1" customWidth="1"/>
    <col min="4652" max="4652" width="10" style="452" bestFit="1" customWidth="1"/>
    <col min="4653" max="4653" width="12.42578125" style="452" bestFit="1" customWidth="1"/>
    <col min="4654" max="4870" width="9.140625" style="452"/>
    <col min="4871" max="4871" width="16.5703125" style="452" bestFit="1" customWidth="1"/>
    <col min="4872" max="4872" width="38.42578125" style="452" bestFit="1" customWidth="1"/>
    <col min="4873" max="4873" width="0" style="452" hidden="1" customWidth="1"/>
    <col min="4874" max="4874" width="36.5703125" style="452" customWidth="1"/>
    <col min="4875" max="4875" width="12.140625" style="452" customWidth="1"/>
    <col min="4876" max="4876" width="7.5703125" style="452" bestFit="1" customWidth="1"/>
    <col min="4877" max="4877" width="4.42578125" style="452" bestFit="1" customWidth="1"/>
    <col min="4878" max="4878" width="9.85546875" style="452" bestFit="1" customWidth="1"/>
    <col min="4879" max="4879" width="9.42578125" style="452" bestFit="1" customWidth="1"/>
    <col min="4880" max="4880" width="8.85546875" style="452" customWidth="1"/>
    <col min="4881" max="4881" width="9.140625" style="452"/>
    <col min="4882" max="4882" width="12.85546875" style="452" customWidth="1"/>
    <col min="4883" max="4883" width="9.140625" style="452"/>
    <col min="4884" max="4884" width="11.85546875" style="452" customWidth="1"/>
    <col min="4885" max="4885" width="11" style="452" bestFit="1" customWidth="1"/>
    <col min="4886" max="4886" width="10" style="452" bestFit="1" customWidth="1"/>
    <col min="4887" max="4887" width="9.5703125" style="452" bestFit="1" customWidth="1"/>
    <col min="4888" max="4889" width="10" style="452" bestFit="1" customWidth="1"/>
    <col min="4890" max="4890" width="10.5703125" style="452" bestFit="1" customWidth="1"/>
    <col min="4891" max="4891" width="10" style="452" bestFit="1" customWidth="1"/>
    <col min="4892" max="4892" width="9.140625" style="452"/>
    <col min="4893" max="4893" width="11" style="452" bestFit="1" customWidth="1"/>
    <col min="4894" max="4894" width="9.140625" style="452"/>
    <col min="4895" max="4895" width="10" style="452" bestFit="1" customWidth="1"/>
    <col min="4896" max="4896" width="9.5703125" style="452" bestFit="1" customWidth="1"/>
    <col min="4897" max="4898" width="10.5703125" style="452" bestFit="1" customWidth="1"/>
    <col min="4899" max="4899" width="10" style="452" bestFit="1" customWidth="1"/>
    <col min="4900" max="4900" width="9.140625" style="452"/>
    <col min="4901" max="4902" width="10" style="452" bestFit="1" customWidth="1"/>
    <col min="4903" max="4903" width="10.5703125" style="452" bestFit="1" customWidth="1"/>
    <col min="4904" max="4904" width="10.42578125" style="452" bestFit="1" customWidth="1"/>
    <col min="4905" max="4905" width="9.140625" style="452"/>
    <col min="4906" max="4906" width="9.5703125" style="452" bestFit="1" customWidth="1"/>
    <col min="4907" max="4907" width="10.42578125" style="452" bestFit="1" customWidth="1"/>
    <col min="4908" max="4908" width="10" style="452" bestFit="1" customWidth="1"/>
    <col min="4909" max="4909" width="12.42578125" style="452" bestFit="1" customWidth="1"/>
    <col min="4910" max="5126" width="9.140625" style="452"/>
    <col min="5127" max="5127" width="16.5703125" style="452" bestFit="1" customWidth="1"/>
    <col min="5128" max="5128" width="38.42578125" style="452" bestFit="1" customWidth="1"/>
    <col min="5129" max="5129" width="0" style="452" hidden="1" customWidth="1"/>
    <col min="5130" max="5130" width="36.5703125" style="452" customWidth="1"/>
    <col min="5131" max="5131" width="12.140625" style="452" customWidth="1"/>
    <col min="5132" max="5132" width="7.5703125" style="452" bestFit="1" customWidth="1"/>
    <col min="5133" max="5133" width="4.42578125" style="452" bestFit="1" customWidth="1"/>
    <col min="5134" max="5134" width="9.85546875" style="452" bestFit="1" customWidth="1"/>
    <col min="5135" max="5135" width="9.42578125" style="452" bestFit="1" customWidth="1"/>
    <col min="5136" max="5136" width="8.85546875" style="452" customWidth="1"/>
    <col min="5137" max="5137" width="9.140625" style="452"/>
    <col min="5138" max="5138" width="12.85546875" style="452" customWidth="1"/>
    <col min="5139" max="5139" width="9.140625" style="452"/>
    <col min="5140" max="5140" width="11.85546875" style="452" customWidth="1"/>
    <col min="5141" max="5141" width="11" style="452" bestFit="1" customWidth="1"/>
    <col min="5142" max="5142" width="10" style="452" bestFit="1" customWidth="1"/>
    <col min="5143" max="5143" width="9.5703125" style="452" bestFit="1" customWidth="1"/>
    <col min="5144" max="5145" width="10" style="452" bestFit="1" customWidth="1"/>
    <col min="5146" max="5146" width="10.5703125" style="452" bestFit="1" customWidth="1"/>
    <col min="5147" max="5147" width="10" style="452" bestFit="1" customWidth="1"/>
    <col min="5148" max="5148" width="9.140625" style="452"/>
    <col min="5149" max="5149" width="11" style="452" bestFit="1" customWidth="1"/>
    <col min="5150" max="5150" width="9.140625" style="452"/>
    <col min="5151" max="5151" width="10" style="452" bestFit="1" customWidth="1"/>
    <col min="5152" max="5152" width="9.5703125" style="452" bestFit="1" customWidth="1"/>
    <col min="5153" max="5154" width="10.5703125" style="452" bestFit="1" customWidth="1"/>
    <col min="5155" max="5155" width="10" style="452" bestFit="1" customWidth="1"/>
    <col min="5156" max="5156" width="9.140625" style="452"/>
    <col min="5157" max="5158" width="10" style="452" bestFit="1" customWidth="1"/>
    <col min="5159" max="5159" width="10.5703125" style="452" bestFit="1" customWidth="1"/>
    <col min="5160" max="5160" width="10.42578125" style="452" bestFit="1" customWidth="1"/>
    <col min="5161" max="5161" width="9.140625" style="452"/>
    <col min="5162" max="5162" width="9.5703125" style="452" bestFit="1" customWidth="1"/>
    <col min="5163" max="5163" width="10.42578125" style="452" bestFit="1" customWidth="1"/>
    <col min="5164" max="5164" width="10" style="452" bestFit="1" customWidth="1"/>
    <col min="5165" max="5165" width="12.42578125" style="452" bestFit="1" customWidth="1"/>
    <col min="5166" max="5382" width="9.140625" style="452"/>
    <col min="5383" max="5383" width="16.5703125" style="452" bestFit="1" customWidth="1"/>
    <col min="5384" max="5384" width="38.42578125" style="452" bestFit="1" customWidth="1"/>
    <col min="5385" max="5385" width="0" style="452" hidden="1" customWidth="1"/>
    <col min="5386" max="5386" width="36.5703125" style="452" customWidth="1"/>
    <col min="5387" max="5387" width="12.140625" style="452" customWidth="1"/>
    <col min="5388" max="5388" width="7.5703125" style="452" bestFit="1" customWidth="1"/>
    <col min="5389" max="5389" width="4.42578125" style="452" bestFit="1" customWidth="1"/>
    <col min="5390" max="5390" width="9.85546875" style="452" bestFit="1" customWidth="1"/>
    <col min="5391" max="5391" width="9.42578125" style="452" bestFit="1" customWidth="1"/>
    <col min="5392" max="5392" width="8.85546875" style="452" customWidth="1"/>
    <col min="5393" max="5393" width="9.140625" style="452"/>
    <col min="5394" max="5394" width="12.85546875" style="452" customWidth="1"/>
    <col min="5395" max="5395" width="9.140625" style="452"/>
    <col min="5396" max="5396" width="11.85546875" style="452" customWidth="1"/>
    <col min="5397" max="5397" width="11" style="452" bestFit="1" customWidth="1"/>
    <col min="5398" max="5398" width="10" style="452" bestFit="1" customWidth="1"/>
    <col min="5399" max="5399" width="9.5703125" style="452" bestFit="1" customWidth="1"/>
    <col min="5400" max="5401" width="10" style="452" bestFit="1" customWidth="1"/>
    <col min="5402" max="5402" width="10.5703125" style="452" bestFit="1" customWidth="1"/>
    <col min="5403" max="5403" width="10" style="452" bestFit="1" customWidth="1"/>
    <col min="5404" max="5404" width="9.140625" style="452"/>
    <col min="5405" max="5405" width="11" style="452" bestFit="1" customWidth="1"/>
    <col min="5406" max="5406" width="9.140625" style="452"/>
    <col min="5407" max="5407" width="10" style="452" bestFit="1" customWidth="1"/>
    <col min="5408" max="5408" width="9.5703125" style="452" bestFit="1" customWidth="1"/>
    <col min="5409" max="5410" width="10.5703125" style="452" bestFit="1" customWidth="1"/>
    <col min="5411" max="5411" width="10" style="452" bestFit="1" customWidth="1"/>
    <col min="5412" max="5412" width="9.140625" style="452"/>
    <col min="5413" max="5414" width="10" style="452" bestFit="1" customWidth="1"/>
    <col min="5415" max="5415" width="10.5703125" style="452" bestFit="1" customWidth="1"/>
    <col min="5416" max="5416" width="10.42578125" style="452" bestFit="1" customWidth="1"/>
    <col min="5417" max="5417" width="9.140625" style="452"/>
    <col min="5418" max="5418" width="9.5703125" style="452" bestFit="1" customWidth="1"/>
    <col min="5419" max="5419" width="10.42578125" style="452" bestFit="1" customWidth="1"/>
    <col min="5420" max="5420" width="10" style="452" bestFit="1" customWidth="1"/>
    <col min="5421" max="5421" width="12.42578125" style="452" bestFit="1" customWidth="1"/>
    <col min="5422" max="5638" width="9.140625" style="452"/>
    <col min="5639" max="5639" width="16.5703125" style="452" bestFit="1" customWidth="1"/>
    <col min="5640" max="5640" width="38.42578125" style="452" bestFit="1" customWidth="1"/>
    <col min="5641" max="5641" width="0" style="452" hidden="1" customWidth="1"/>
    <col min="5642" max="5642" width="36.5703125" style="452" customWidth="1"/>
    <col min="5643" max="5643" width="12.140625" style="452" customWidth="1"/>
    <col min="5644" max="5644" width="7.5703125" style="452" bestFit="1" customWidth="1"/>
    <col min="5645" max="5645" width="4.42578125" style="452" bestFit="1" customWidth="1"/>
    <col min="5646" max="5646" width="9.85546875" style="452" bestFit="1" customWidth="1"/>
    <col min="5647" max="5647" width="9.42578125" style="452" bestFit="1" customWidth="1"/>
    <col min="5648" max="5648" width="8.85546875" style="452" customWidth="1"/>
    <col min="5649" max="5649" width="9.140625" style="452"/>
    <col min="5650" max="5650" width="12.85546875" style="452" customWidth="1"/>
    <col min="5651" max="5651" width="9.140625" style="452"/>
    <col min="5652" max="5652" width="11.85546875" style="452" customWidth="1"/>
    <col min="5653" max="5653" width="11" style="452" bestFit="1" customWidth="1"/>
    <col min="5654" max="5654" width="10" style="452" bestFit="1" customWidth="1"/>
    <col min="5655" max="5655" width="9.5703125" style="452" bestFit="1" customWidth="1"/>
    <col min="5656" max="5657" width="10" style="452" bestFit="1" customWidth="1"/>
    <col min="5658" max="5658" width="10.5703125" style="452" bestFit="1" customWidth="1"/>
    <col min="5659" max="5659" width="10" style="452" bestFit="1" customWidth="1"/>
    <col min="5660" max="5660" width="9.140625" style="452"/>
    <col min="5661" max="5661" width="11" style="452" bestFit="1" customWidth="1"/>
    <col min="5662" max="5662" width="9.140625" style="452"/>
    <col min="5663" max="5663" width="10" style="452" bestFit="1" customWidth="1"/>
    <col min="5664" max="5664" width="9.5703125" style="452" bestFit="1" customWidth="1"/>
    <col min="5665" max="5666" width="10.5703125" style="452" bestFit="1" customWidth="1"/>
    <col min="5667" max="5667" width="10" style="452" bestFit="1" customWidth="1"/>
    <col min="5668" max="5668" width="9.140625" style="452"/>
    <col min="5669" max="5670" width="10" style="452" bestFit="1" customWidth="1"/>
    <col min="5671" max="5671" width="10.5703125" style="452" bestFit="1" customWidth="1"/>
    <col min="5672" max="5672" width="10.42578125" style="452" bestFit="1" customWidth="1"/>
    <col min="5673" max="5673" width="9.140625" style="452"/>
    <col min="5674" max="5674" width="9.5703125" style="452" bestFit="1" customWidth="1"/>
    <col min="5675" max="5675" width="10.42578125" style="452" bestFit="1" customWidth="1"/>
    <col min="5676" max="5676" width="10" style="452" bestFit="1" customWidth="1"/>
    <col min="5677" max="5677" width="12.42578125" style="452" bestFit="1" customWidth="1"/>
    <col min="5678" max="5894" width="9.140625" style="452"/>
    <col min="5895" max="5895" width="16.5703125" style="452" bestFit="1" customWidth="1"/>
    <col min="5896" max="5896" width="38.42578125" style="452" bestFit="1" customWidth="1"/>
    <col min="5897" max="5897" width="0" style="452" hidden="1" customWidth="1"/>
    <col min="5898" max="5898" width="36.5703125" style="452" customWidth="1"/>
    <col min="5899" max="5899" width="12.140625" style="452" customWidth="1"/>
    <col min="5900" max="5900" width="7.5703125" style="452" bestFit="1" customWidth="1"/>
    <col min="5901" max="5901" width="4.42578125" style="452" bestFit="1" customWidth="1"/>
    <col min="5902" max="5902" width="9.85546875" style="452" bestFit="1" customWidth="1"/>
    <col min="5903" max="5903" width="9.42578125" style="452" bestFit="1" customWidth="1"/>
    <col min="5904" max="5904" width="8.85546875" style="452" customWidth="1"/>
    <col min="5905" max="5905" width="9.140625" style="452"/>
    <col min="5906" max="5906" width="12.85546875" style="452" customWidth="1"/>
    <col min="5907" max="5907" width="9.140625" style="452"/>
    <col min="5908" max="5908" width="11.85546875" style="452" customWidth="1"/>
    <col min="5909" max="5909" width="11" style="452" bestFit="1" customWidth="1"/>
    <col min="5910" max="5910" width="10" style="452" bestFit="1" customWidth="1"/>
    <col min="5911" max="5911" width="9.5703125" style="452" bestFit="1" customWidth="1"/>
    <col min="5912" max="5913" width="10" style="452" bestFit="1" customWidth="1"/>
    <col min="5914" max="5914" width="10.5703125" style="452" bestFit="1" customWidth="1"/>
    <col min="5915" max="5915" width="10" style="452" bestFit="1" customWidth="1"/>
    <col min="5916" max="5916" width="9.140625" style="452"/>
    <col min="5917" max="5917" width="11" style="452" bestFit="1" customWidth="1"/>
    <col min="5918" max="5918" width="9.140625" style="452"/>
    <col min="5919" max="5919" width="10" style="452" bestFit="1" customWidth="1"/>
    <col min="5920" max="5920" width="9.5703125" style="452" bestFit="1" customWidth="1"/>
    <col min="5921" max="5922" width="10.5703125" style="452" bestFit="1" customWidth="1"/>
    <col min="5923" max="5923" width="10" style="452" bestFit="1" customWidth="1"/>
    <col min="5924" max="5924" width="9.140625" style="452"/>
    <col min="5925" max="5926" width="10" style="452" bestFit="1" customWidth="1"/>
    <col min="5927" max="5927" width="10.5703125" style="452" bestFit="1" customWidth="1"/>
    <col min="5928" max="5928" width="10.42578125" style="452" bestFit="1" customWidth="1"/>
    <col min="5929" max="5929" width="9.140625" style="452"/>
    <col min="5930" max="5930" width="9.5703125" style="452" bestFit="1" customWidth="1"/>
    <col min="5931" max="5931" width="10.42578125" style="452" bestFit="1" customWidth="1"/>
    <col min="5932" max="5932" width="10" style="452" bestFit="1" customWidth="1"/>
    <col min="5933" max="5933" width="12.42578125" style="452" bestFit="1" customWidth="1"/>
    <col min="5934" max="6150" width="9.140625" style="452"/>
    <col min="6151" max="6151" width="16.5703125" style="452" bestFit="1" customWidth="1"/>
    <col min="6152" max="6152" width="38.42578125" style="452" bestFit="1" customWidth="1"/>
    <col min="6153" max="6153" width="0" style="452" hidden="1" customWidth="1"/>
    <col min="6154" max="6154" width="36.5703125" style="452" customWidth="1"/>
    <col min="6155" max="6155" width="12.140625" style="452" customWidth="1"/>
    <col min="6156" max="6156" width="7.5703125" style="452" bestFit="1" customWidth="1"/>
    <col min="6157" max="6157" width="4.42578125" style="452" bestFit="1" customWidth="1"/>
    <col min="6158" max="6158" width="9.85546875" style="452" bestFit="1" customWidth="1"/>
    <col min="6159" max="6159" width="9.42578125" style="452" bestFit="1" customWidth="1"/>
    <col min="6160" max="6160" width="8.85546875" style="452" customWidth="1"/>
    <col min="6161" max="6161" width="9.140625" style="452"/>
    <col min="6162" max="6162" width="12.85546875" style="452" customWidth="1"/>
    <col min="6163" max="6163" width="9.140625" style="452"/>
    <col min="6164" max="6164" width="11.85546875" style="452" customWidth="1"/>
    <col min="6165" max="6165" width="11" style="452" bestFit="1" customWidth="1"/>
    <col min="6166" max="6166" width="10" style="452" bestFit="1" customWidth="1"/>
    <col min="6167" max="6167" width="9.5703125" style="452" bestFit="1" customWidth="1"/>
    <col min="6168" max="6169" width="10" style="452" bestFit="1" customWidth="1"/>
    <col min="6170" max="6170" width="10.5703125" style="452" bestFit="1" customWidth="1"/>
    <col min="6171" max="6171" width="10" style="452" bestFit="1" customWidth="1"/>
    <col min="6172" max="6172" width="9.140625" style="452"/>
    <col min="6173" max="6173" width="11" style="452" bestFit="1" customWidth="1"/>
    <col min="6174" max="6174" width="9.140625" style="452"/>
    <col min="6175" max="6175" width="10" style="452" bestFit="1" customWidth="1"/>
    <col min="6176" max="6176" width="9.5703125" style="452" bestFit="1" customWidth="1"/>
    <col min="6177" max="6178" width="10.5703125" style="452" bestFit="1" customWidth="1"/>
    <col min="6179" max="6179" width="10" style="452" bestFit="1" customWidth="1"/>
    <col min="6180" max="6180" width="9.140625" style="452"/>
    <col min="6181" max="6182" width="10" style="452" bestFit="1" customWidth="1"/>
    <col min="6183" max="6183" width="10.5703125" style="452" bestFit="1" customWidth="1"/>
    <col min="6184" max="6184" width="10.42578125" style="452" bestFit="1" customWidth="1"/>
    <col min="6185" max="6185" width="9.140625" style="452"/>
    <col min="6186" max="6186" width="9.5703125" style="452" bestFit="1" customWidth="1"/>
    <col min="6187" max="6187" width="10.42578125" style="452" bestFit="1" customWidth="1"/>
    <col min="6188" max="6188" width="10" style="452" bestFit="1" customWidth="1"/>
    <col min="6189" max="6189" width="12.42578125" style="452" bestFit="1" customWidth="1"/>
    <col min="6190" max="6406" width="9.140625" style="452"/>
    <col min="6407" max="6407" width="16.5703125" style="452" bestFit="1" customWidth="1"/>
    <col min="6408" max="6408" width="38.42578125" style="452" bestFit="1" customWidth="1"/>
    <col min="6409" max="6409" width="0" style="452" hidden="1" customWidth="1"/>
    <col min="6410" max="6410" width="36.5703125" style="452" customWidth="1"/>
    <col min="6411" max="6411" width="12.140625" style="452" customWidth="1"/>
    <col min="6412" max="6412" width="7.5703125" style="452" bestFit="1" customWidth="1"/>
    <col min="6413" max="6413" width="4.42578125" style="452" bestFit="1" customWidth="1"/>
    <col min="6414" max="6414" width="9.85546875" style="452" bestFit="1" customWidth="1"/>
    <col min="6415" max="6415" width="9.42578125" style="452" bestFit="1" customWidth="1"/>
    <col min="6416" max="6416" width="8.85546875" style="452" customWidth="1"/>
    <col min="6417" max="6417" width="9.140625" style="452"/>
    <col min="6418" max="6418" width="12.85546875" style="452" customWidth="1"/>
    <col min="6419" max="6419" width="9.140625" style="452"/>
    <col min="6420" max="6420" width="11.85546875" style="452" customWidth="1"/>
    <col min="6421" max="6421" width="11" style="452" bestFit="1" customWidth="1"/>
    <col min="6422" max="6422" width="10" style="452" bestFit="1" customWidth="1"/>
    <col min="6423" max="6423" width="9.5703125" style="452" bestFit="1" customWidth="1"/>
    <col min="6424" max="6425" width="10" style="452" bestFit="1" customWidth="1"/>
    <col min="6426" max="6426" width="10.5703125" style="452" bestFit="1" customWidth="1"/>
    <col min="6427" max="6427" width="10" style="452" bestFit="1" customWidth="1"/>
    <col min="6428" max="6428" width="9.140625" style="452"/>
    <col min="6429" max="6429" width="11" style="452" bestFit="1" customWidth="1"/>
    <col min="6430" max="6430" width="9.140625" style="452"/>
    <col min="6431" max="6431" width="10" style="452" bestFit="1" customWidth="1"/>
    <col min="6432" max="6432" width="9.5703125" style="452" bestFit="1" customWidth="1"/>
    <col min="6433" max="6434" width="10.5703125" style="452" bestFit="1" customWidth="1"/>
    <col min="6435" max="6435" width="10" style="452" bestFit="1" customWidth="1"/>
    <col min="6436" max="6436" width="9.140625" style="452"/>
    <col min="6437" max="6438" width="10" style="452" bestFit="1" customWidth="1"/>
    <col min="6439" max="6439" width="10.5703125" style="452" bestFit="1" customWidth="1"/>
    <col min="6440" max="6440" width="10.42578125" style="452" bestFit="1" customWidth="1"/>
    <col min="6441" max="6441" width="9.140625" style="452"/>
    <col min="6442" max="6442" width="9.5703125" style="452" bestFit="1" customWidth="1"/>
    <col min="6443" max="6443" width="10.42578125" style="452" bestFit="1" customWidth="1"/>
    <col min="6444" max="6444" width="10" style="452" bestFit="1" customWidth="1"/>
    <col min="6445" max="6445" width="12.42578125" style="452" bestFit="1" customWidth="1"/>
    <col min="6446" max="6662" width="9.140625" style="452"/>
    <col min="6663" max="6663" width="16.5703125" style="452" bestFit="1" customWidth="1"/>
    <col min="6664" max="6664" width="38.42578125" style="452" bestFit="1" customWidth="1"/>
    <col min="6665" max="6665" width="0" style="452" hidden="1" customWidth="1"/>
    <col min="6666" max="6666" width="36.5703125" style="452" customWidth="1"/>
    <col min="6667" max="6667" width="12.140625" style="452" customWidth="1"/>
    <col min="6668" max="6668" width="7.5703125" style="452" bestFit="1" customWidth="1"/>
    <col min="6669" max="6669" width="4.42578125" style="452" bestFit="1" customWidth="1"/>
    <col min="6670" max="6670" width="9.85546875" style="452" bestFit="1" customWidth="1"/>
    <col min="6671" max="6671" width="9.42578125" style="452" bestFit="1" customWidth="1"/>
    <col min="6672" max="6672" width="8.85546875" style="452" customWidth="1"/>
    <col min="6673" max="6673" width="9.140625" style="452"/>
    <col min="6674" max="6674" width="12.85546875" style="452" customWidth="1"/>
    <col min="6675" max="6675" width="9.140625" style="452"/>
    <col min="6676" max="6676" width="11.85546875" style="452" customWidth="1"/>
    <col min="6677" max="6677" width="11" style="452" bestFit="1" customWidth="1"/>
    <col min="6678" max="6678" width="10" style="452" bestFit="1" customWidth="1"/>
    <col min="6679" max="6679" width="9.5703125" style="452" bestFit="1" customWidth="1"/>
    <col min="6680" max="6681" width="10" style="452" bestFit="1" customWidth="1"/>
    <col min="6682" max="6682" width="10.5703125" style="452" bestFit="1" customWidth="1"/>
    <col min="6683" max="6683" width="10" style="452" bestFit="1" customWidth="1"/>
    <col min="6684" max="6684" width="9.140625" style="452"/>
    <col min="6685" max="6685" width="11" style="452" bestFit="1" customWidth="1"/>
    <col min="6686" max="6686" width="9.140625" style="452"/>
    <col min="6687" max="6687" width="10" style="452" bestFit="1" customWidth="1"/>
    <col min="6688" max="6688" width="9.5703125" style="452" bestFit="1" customWidth="1"/>
    <col min="6689" max="6690" width="10.5703125" style="452" bestFit="1" customWidth="1"/>
    <col min="6691" max="6691" width="10" style="452" bestFit="1" customWidth="1"/>
    <col min="6692" max="6692" width="9.140625" style="452"/>
    <col min="6693" max="6694" width="10" style="452" bestFit="1" customWidth="1"/>
    <col min="6695" max="6695" width="10.5703125" style="452" bestFit="1" customWidth="1"/>
    <col min="6696" max="6696" width="10.42578125" style="452" bestFit="1" customWidth="1"/>
    <col min="6697" max="6697" width="9.140625" style="452"/>
    <col min="6698" max="6698" width="9.5703125" style="452" bestFit="1" customWidth="1"/>
    <col min="6699" max="6699" width="10.42578125" style="452" bestFit="1" customWidth="1"/>
    <col min="6700" max="6700" width="10" style="452" bestFit="1" customWidth="1"/>
    <col min="6701" max="6701" width="12.42578125" style="452" bestFit="1" customWidth="1"/>
    <col min="6702" max="6918" width="9.140625" style="452"/>
    <col min="6919" max="6919" width="16.5703125" style="452" bestFit="1" customWidth="1"/>
    <col min="6920" max="6920" width="38.42578125" style="452" bestFit="1" customWidth="1"/>
    <col min="6921" max="6921" width="0" style="452" hidden="1" customWidth="1"/>
    <col min="6922" max="6922" width="36.5703125" style="452" customWidth="1"/>
    <col min="6923" max="6923" width="12.140625" style="452" customWidth="1"/>
    <col min="6924" max="6924" width="7.5703125" style="452" bestFit="1" customWidth="1"/>
    <col min="6925" max="6925" width="4.42578125" style="452" bestFit="1" customWidth="1"/>
    <col min="6926" max="6926" width="9.85546875" style="452" bestFit="1" customWidth="1"/>
    <col min="6927" max="6927" width="9.42578125" style="452" bestFit="1" customWidth="1"/>
    <col min="6928" max="6928" width="8.85546875" style="452" customWidth="1"/>
    <col min="6929" max="6929" width="9.140625" style="452"/>
    <col min="6930" max="6930" width="12.85546875" style="452" customWidth="1"/>
    <col min="6931" max="6931" width="9.140625" style="452"/>
    <col min="6932" max="6932" width="11.85546875" style="452" customWidth="1"/>
    <col min="6933" max="6933" width="11" style="452" bestFit="1" customWidth="1"/>
    <col min="6934" max="6934" width="10" style="452" bestFit="1" customWidth="1"/>
    <col min="6935" max="6935" width="9.5703125" style="452" bestFit="1" customWidth="1"/>
    <col min="6936" max="6937" width="10" style="452" bestFit="1" customWidth="1"/>
    <col min="6938" max="6938" width="10.5703125" style="452" bestFit="1" customWidth="1"/>
    <col min="6939" max="6939" width="10" style="452" bestFit="1" customWidth="1"/>
    <col min="6940" max="6940" width="9.140625" style="452"/>
    <col min="6941" max="6941" width="11" style="452" bestFit="1" customWidth="1"/>
    <col min="6942" max="6942" width="9.140625" style="452"/>
    <col min="6943" max="6943" width="10" style="452" bestFit="1" customWidth="1"/>
    <col min="6944" max="6944" width="9.5703125" style="452" bestFit="1" customWidth="1"/>
    <col min="6945" max="6946" width="10.5703125" style="452" bestFit="1" customWidth="1"/>
    <col min="6947" max="6947" width="10" style="452" bestFit="1" customWidth="1"/>
    <col min="6948" max="6948" width="9.140625" style="452"/>
    <col min="6949" max="6950" width="10" style="452" bestFit="1" customWidth="1"/>
    <col min="6951" max="6951" width="10.5703125" style="452" bestFit="1" customWidth="1"/>
    <col min="6952" max="6952" width="10.42578125" style="452" bestFit="1" customWidth="1"/>
    <col min="6953" max="6953" width="9.140625" style="452"/>
    <col min="6954" max="6954" width="9.5703125" style="452" bestFit="1" customWidth="1"/>
    <col min="6955" max="6955" width="10.42578125" style="452" bestFit="1" customWidth="1"/>
    <col min="6956" max="6956" width="10" style="452" bestFit="1" customWidth="1"/>
    <col min="6957" max="6957" width="12.42578125" style="452" bestFit="1" customWidth="1"/>
    <col min="6958" max="7174" width="9.140625" style="452"/>
    <col min="7175" max="7175" width="16.5703125" style="452" bestFit="1" customWidth="1"/>
    <col min="7176" max="7176" width="38.42578125" style="452" bestFit="1" customWidth="1"/>
    <col min="7177" max="7177" width="0" style="452" hidden="1" customWidth="1"/>
    <col min="7178" max="7178" width="36.5703125" style="452" customWidth="1"/>
    <col min="7179" max="7179" width="12.140625" style="452" customWidth="1"/>
    <col min="7180" max="7180" width="7.5703125" style="452" bestFit="1" customWidth="1"/>
    <col min="7181" max="7181" width="4.42578125" style="452" bestFit="1" customWidth="1"/>
    <col min="7182" max="7182" width="9.85546875" style="452" bestFit="1" customWidth="1"/>
    <col min="7183" max="7183" width="9.42578125" style="452" bestFit="1" customWidth="1"/>
    <col min="7184" max="7184" width="8.85546875" style="452" customWidth="1"/>
    <col min="7185" max="7185" width="9.140625" style="452"/>
    <col min="7186" max="7186" width="12.85546875" style="452" customWidth="1"/>
    <col min="7187" max="7187" width="9.140625" style="452"/>
    <col min="7188" max="7188" width="11.85546875" style="452" customWidth="1"/>
    <col min="7189" max="7189" width="11" style="452" bestFit="1" customWidth="1"/>
    <col min="7190" max="7190" width="10" style="452" bestFit="1" customWidth="1"/>
    <col min="7191" max="7191" width="9.5703125" style="452" bestFit="1" customWidth="1"/>
    <col min="7192" max="7193" width="10" style="452" bestFit="1" customWidth="1"/>
    <col min="7194" max="7194" width="10.5703125" style="452" bestFit="1" customWidth="1"/>
    <col min="7195" max="7195" width="10" style="452" bestFit="1" customWidth="1"/>
    <col min="7196" max="7196" width="9.140625" style="452"/>
    <col min="7197" max="7197" width="11" style="452" bestFit="1" customWidth="1"/>
    <col min="7198" max="7198" width="9.140625" style="452"/>
    <col min="7199" max="7199" width="10" style="452" bestFit="1" customWidth="1"/>
    <col min="7200" max="7200" width="9.5703125" style="452" bestFit="1" customWidth="1"/>
    <col min="7201" max="7202" width="10.5703125" style="452" bestFit="1" customWidth="1"/>
    <col min="7203" max="7203" width="10" style="452" bestFit="1" customWidth="1"/>
    <col min="7204" max="7204" width="9.140625" style="452"/>
    <col min="7205" max="7206" width="10" style="452" bestFit="1" customWidth="1"/>
    <col min="7207" max="7207" width="10.5703125" style="452" bestFit="1" customWidth="1"/>
    <col min="7208" max="7208" width="10.42578125" style="452" bestFit="1" customWidth="1"/>
    <col min="7209" max="7209" width="9.140625" style="452"/>
    <col min="7210" max="7210" width="9.5703125" style="452" bestFit="1" customWidth="1"/>
    <col min="7211" max="7211" width="10.42578125" style="452" bestFit="1" customWidth="1"/>
    <col min="7212" max="7212" width="10" style="452" bestFit="1" customWidth="1"/>
    <col min="7213" max="7213" width="12.42578125" style="452" bestFit="1" customWidth="1"/>
    <col min="7214" max="7430" width="9.140625" style="452"/>
    <col min="7431" max="7431" width="16.5703125" style="452" bestFit="1" customWidth="1"/>
    <col min="7432" max="7432" width="38.42578125" style="452" bestFit="1" customWidth="1"/>
    <col min="7433" max="7433" width="0" style="452" hidden="1" customWidth="1"/>
    <col min="7434" max="7434" width="36.5703125" style="452" customWidth="1"/>
    <col min="7435" max="7435" width="12.140625" style="452" customWidth="1"/>
    <col min="7436" max="7436" width="7.5703125" style="452" bestFit="1" customWidth="1"/>
    <col min="7437" max="7437" width="4.42578125" style="452" bestFit="1" customWidth="1"/>
    <col min="7438" max="7438" width="9.85546875" style="452" bestFit="1" customWidth="1"/>
    <col min="7439" max="7439" width="9.42578125" style="452" bestFit="1" customWidth="1"/>
    <col min="7440" max="7440" width="8.85546875" style="452" customWidth="1"/>
    <col min="7441" max="7441" width="9.140625" style="452"/>
    <col min="7442" max="7442" width="12.85546875" style="452" customWidth="1"/>
    <col min="7443" max="7443" width="9.140625" style="452"/>
    <col min="7444" max="7444" width="11.85546875" style="452" customWidth="1"/>
    <col min="7445" max="7445" width="11" style="452" bestFit="1" customWidth="1"/>
    <col min="7446" max="7446" width="10" style="452" bestFit="1" customWidth="1"/>
    <col min="7447" max="7447" width="9.5703125" style="452" bestFit="1" customWidth="1"/>
    <col min="7448" max="7449" width="10" style="452" bestFit="1" customWidth="1"/>
    <col min="7450" max="7450" width="10.5703125" style="452" bestFit="1" customWidth="1"/>
    <col min="7451" max="7451" width="10" style="452" bestFit="1" customWidth="1"/>
    <col min="7452" max="7452" width="9.140625" style="452"/>
    <col min="7453" max="7453" width="11" style="452" bestFit="1" customWidth="1"/>
    <col min="7454" max="7454" width="9.140625" style="452"/>
    <col min="7455" max="7455" width="10" style="452" bestFit="1" customWidth="1"/>
    <col min="7456" max="7456" width="9.5703125" style="452" bestFit="1" customWidth="1"/>
    <col min="7457" max="7458" width="10.5703125" style="452" bestFit="1" customWidth="1"/>
    <col min="7459" max="7459" width="10" style="452" bestFit="1" customWidth="1"/>
    <col min="7460" max="7460" width="9.140625" style="452"/>
    <col min="7461" max="7462" width="10" style="452" bestFit="1" customWidth="1"/>
    <col min="7463" max="7463" width="10.5703125" style="452" bestFit="1" customWidth="1"/>
    <col min="7464" max="7464" width="10.42578125" style="452" bestFit="1" customWidth="1"/>
    <col min="7465" max="7465" width="9.140625" style="452"/>
    <col min="7466" max="7466" width="9.5703125" style="452" bestFit="1" customWidth="1"/>
    <col min="7467" max="7467" width="10.42578125" style="452" bestFit="1" customWidth="1"/>
    <col min="7468" max="7468" width="10" style="452" bestFit="1" customWidth="1"/>
    <col min="7469" max="7469" width="12.42578125" style="452" bestFit="1" customWidth="1"/>
    <col min="7470" max="7686" width="9.140625" style="452"/>
    <col min="7687" max="7687" width="16.5703125" style="452" bestFit="1" customWidth="1"/>
    <col min="7688" max="7688" width="38.42578125" style="452" bestFit="1" customWidth="1"/>
    <col min="7689" max="7689" width="0" style="452" hidden="1" customWidth="1"/>
    <col min="7690" max="7690" width="36.5703125" style="452" customWidth="1"/>
    <col min="7691" max="7691" width="12.140625" style="452" customWidth="1"/>
    <col min="7692" max="7692" width="7.5703125" style="452" bestFit="1" customWidth="1"/>
    <col min="7693" max="7693" width="4.42578125" style="452" bestFit="1" customWidth="1"/>
    <col min="7694" max="7694" width="9.85546875" style="452" bestFit="1" customWidth="1"/>
    <col min="7695" max="7695" width="9.42578125" style="452" bestFit="1" customWidth="1"/>
    <col min="7696" max="7696" width="8.85546875" style="452" customWidth="1"/>
    <col min="7697" max="7697" width="9.140625" style="452"/>
    <col min="7698" max="7698" width="12.85546875" style="452" customWidth="1"/>
    <col min="7699" max="7699" width="9.140625" style="452"/>
    <col min="7700" max="7700" width="11.85546875" style="452" customWidth="1"/>
    <col min="7701" max="7701" width="11" style="452" bestFit="1" customWidth="1"/>
    <col min="7702" max="7702" width="10" style="452" bestFit="1" customWidth="1"/>
    <col min="7703" max="7703" width="9.5703125" style="452" bestFit="1" customWidth="1"/>
    <col min="7704" max="7705" width="10" style="452" bestFit="1" customWidth="1"/>
    <col min="7706" max="7706" width="10.5703125" style="452" bestFit="1" customWidth="1"/>
    <col min="7707" max="7707" width="10" style="452" bestFit="1" customWidth="1"/>
    <col min="7708" max="7708" width="9.140625" style="452"/>
    <col min="7709" max="7709" width="11" style="452" bestFit="1" customWidth="1"/>
    <col min="7710" max="7710" width="9.140625" style="452"/>
    <col min="7711" max="7711" width="10" style="452" bestFit="1" customWidth="1"/>
    <col min="7712" max="7712" width="9.5703125" style="452" bestFit="1" customWidth="1"/>
    <col min="7713" max="7714" width="10.5703125" style="452" bestFit="1" customWidth="1"/>
    <col min="7715" max="7715" width="10" style="452" bestFit="1" customWidth="1"/>
    <col min="7716" max="7716" width="9.140625" style="452"/>
    <col min="7717" max="7718" width="10" style="452" bestFit="1" customWidth="1"/>
    <col min="7719" max="7719" width="10.5703125" style="452" bestFit="1" customWidth="1"/>
    <col min="7720" max="7720" width="10.42578125" style="452" bestFit="1" customWidth="1"/>
    <col min="7721" max="7721" width="9.140625" style="452"/>
    <col min="7722" max="7722" width="9.5703125" style="452" bestFit="1" customWidth="1"/>
    <col min="7723" max="7723" width="10.42578125" style="452" bestFit="1" customWidth="1"/>
    <col min="7724" max="7724" width="10" style="452" bestFit="1" customWidth="1"/>
    <col min="7725" max="7725" width="12.42578125" style="452" bestFit="1" customWidth="1"/>
    <col min="7726" max="7942" width="9.140625" style="452"/>
    <col min="7943" max="7943" width="16.5703125" style="452" bestFit="1" customWidth="1"/>
    <col min="7944" max="7944" width="38.42578125" style="452" bestFit="1" customWidth="1"/>
    <col min="7945" max="7945" width="0" style="452" hidden="1" customWidth="1"/>
    <col min="7946" max="7946" width="36.5703125" style="452" customWidth="1"/>
    <col min="7947" max="7947" width="12.140625" style="452" customWidth="1"/>
    <col min="7948" max="7948" width="7.5703125" style="452" bestFit="1" customWidth="1"/>
    <col min="7949" max="7949" width="4.42578125" style="452" bestFit="1" customWidth="1"/>
    <col min="7950" max="7950" width="9.85546875" style="452" bestFit="1" customWidth="1"/>
    <col min="7951" max="7951" width="9.42578125" style="452" bestFit="1" customWidth="1"/>
    <col min="7952" max="7952" width="8.85546875" style="452" customWidth="1"/>
    <col min="7953" max="7953" width="9.140625" style="452"/>
    <col min="7954" max="7954" width="12.85546875" style="452" customWidth="1"/>
    <col min="7955" max="7955" width="9.140625" style="452"/>
    <col min="7956" max="7956" width="11.85546875" style="452" customWidth="1"/>
    <col min="7957" max="7957" width="11" style="452" bestFit="1" customWidth="1"/>
    <col min="7958" max="7958" width="10" style="452" bestFit="1" customWidth="1"/>
    <col min="7959" max="7959" width="9.5703125" style="452" bestFit="1" customWidth="1"/>
    <col min="7960" max="7961" width="10" style="452" bestFit="1" customWidth="1"/>
    <col min="7962" max="7962" width="10.5703125" style="452" bestFit="1" customWidth="1"/>
    <col min="7963" max="7963" width="10" style="452" bestFit="1" customWidth="1"/>
    <col min="7964" max="7964" width="9.140625" style="452"/>
    <col min="7965" max="7965" width="11" style="452" bestFit="1" customWidth="1"/>
    <col min="7966" max="7966" width="9.140625" style="452"/>
    <col min="7967" max="7967" width="10" style="452" bestFit="1" customWidth="1"/>
    <col min="7968" max="7968" width="9.5703125" style="452" bestFit="1" customWidth="1"/>
    <col min="7969" max="7970" width="10.5703125" style="452" bestFit="1" customWidth="1"/>
    <col min="7971" max="7971" width="10" style="452" bestFit="1" customWidth="1"/>
    <col min="7972" max="7972" width="9.140625" style="452"/>
    <col min="7973" max="7974" width="10" style="452" bestFit="1" customWidth="1"/>
    <col min="7975" max="7975" width="10.5703125" style="452" bestFit="1" customWidth="1"/>
    <col min="7976" max="7976" width="10.42578125" style="452" bestFit="1" customWidth="1"/>
    <col min="7977" max="7977" width="9.140625" style="452"/>
    <col min="7978" max="7978" width="9.5703125" style="452" bestFit="1" customWidth="1"/>
    <col min="7979" max="7979" width="10.42578125" style="452" bestFit="1" customWidth="1"/>
    <col min="7980" max="7980" width="10" style="452" bestFit="1" customWidth="1"/>
    <col min="7981" max="7981" width="12.42578125" style="452" bestFit="1" customWidth="1"/>
    <col min="7982" max="8198" width="9.140625" style="452"/>
    <col min="8199" max="8199" width="16.5703125" style="452" bestFit="1" customWidth="1"/>
    <col min="8200" max="8200" width="38.42578125" style="452" bestFit="1" customWidth="1"/>
    <col min="8201" max="8201" width="0" style="452" hidden="1" customWidth="1"/>
    <col min="8202" max="8202" width="36.5703125" style="452" customWidth="1"/>
    <col min="8203" max="8203" width="12.140625" style="452" customWidth="1"/>
    <col min="8204" max="8204" width="7.5703125" style="452" bestFit="1" customWidth="1"/>
    <col min="8205" max="8205" width="4.42578125" style="452" bestFit="1" customWidth="1"/>
    <col min="8206" max="8206" width="9.85546875" style="452" bestFit="1" customWidth="1"/>
    <col min="8207" max="8207" width="9.42578125" style="452" bestFit="1" customWidth="1"/>
    <col min="8208" max="8208" width="8.85546875" style="452" customWidth="1"/>
    <col min="8209" max="8209" width="9.140625" style="452"/>
    <col min="8210" max="8210" width="12.85546875" style="452" customWidth="1"/>
    <col min="8211" max="8211" width="9.140625" style="452"/>
    <col min="8212" max="8212" width="11.85546875" style="452" customWidth="1"/>
    <col min="8213" max="8213" width="11" style="452" bestFit="1" customWidth="1"/>
    <col min="8214" max="8214" width="10" style="452" bestFit="1" customWidth="1"/>
    <col min="8215" max="8215" width="9.5703125" style="452" bestFit="1" customWidth="1"/>
    <col min="8216" max="8217" width="10" style="452" bestFit="1" customWidth="1"/>
    <col min="8218" max="8218" width="10.5703125" style="452" bestFit="1" customWidth="1"/>
    <col min="8219" max="8219" width="10" style="452" bestFit="1" customWidth="1"/>
    <col min="8220" max="8220" width="9.140625" style="452"/>
    <col min="8221" max="8221" width="11" style="452" bestFit="1" customWidth="1"/>
    <col min="8222" max="8222" width="9.140625" style="452"/>
    <col min="8223" max="8223" width="10" style="452" bestFit="1" customWidth="1"/>
    <col min="8224" max="8224" width="9.5703125" style="452" bestFit="1" customWidth="1"/>
    <col min="8225" max="8226" width="10.5703125" style="452" bestFit="1" customWidth="1"/>
    <col min="8227" max="8227" width="10" style="452" bestFit="1" customWidth="1"/>
    <col min="8228" max="8228" width="9.140625" style="452"/>
    <col min="8229" max="8230" width="10" style="452" bestFit="1" customWidth="1"/>
    <col min="8231" max="8231" width="10.5703125" style="452" bestFit="1" customWidth="1"/>
    <col min="8232" max="8232" width="10.42578125" style="452" bestFit="1" customWidth="1"/>
    <col min="8233" max="8233" width="9.140625" style="452"/>
    <col min="8234" max="8234" width="9.5703125" style="452" bestFit="1" customWidth="1"/>
    <col min="8235" max="8235" width="10.42578125" style="452" bestFit="1" customWidth="1"/>
    <col min="8236" max="8236" width="10" style="452" bestFit="1" customWidth="1"/>
    <col min="8237" max="8237" width="12.42578125" style="452" bestFit="1" customWidth="1"/>
    <col min="8238" max="8454" width="9.140625" style="452"/>
    <col min="8455" max="8455" width="16.5703125" style="452" bestFit="1" customWidth="1"/>
    <col min="8456" max="8456" width="38.42578125" style="452" bestFit="1" customWidth="1"/>
    <col min="8457" max="8457" width="0" style="452" hidden="1" customWidth="1"/>
    <col min="8458" max="8458" width="36.5703125" style="452" customWidth="1"/>
    <col min="8459" max="8459" width="12.140625" style="452" customWidth="1"/>
    <col min="8460" max="8460" width="7.5703125" style="452" bestFit="1" customWidth="1"/>
    <col min="8461" max="8461" width="4.42578125" style="452" bestFit="1" customWidth="1"/>
    <col min="8462" max="8462" width="9.85546875" style="452" bestFit="1" customWidth="1"/>
    <col min="8463" max="8463" width="9.42578125" style="452" bestFit="1" customWidth="1"/>
    <col min="8464" max="8464" width="8.85546875" style="452" customWidth="1"/>
    <col min="8465" max="8465" width="9.140625" style="452"/>
    <col min="8466" max="8466" width="12.85546875" style="452" customWidth="1"/>
    <col min="8467" max="8467" width="9.140625" style="452"/>
    <col min="8468" max="8468" width="11.85546875" style="452" customWidth="1"/>
    <col min="8469" max="8469" width="11" style="452" bestFit="1" customWidth="1"/>
    <col min="8470" max="8470" width="10" style="452" bestFit="1" customWidth="1"/>
    <col min="8471" max="8471" width="9.5703125" style="452" bestFit="1" customWidth="1"/>
    <col min="8472" max="8473" width="10" style="452" bestFit="1" customWidth="1"/>
    <col min="8474" max="8474" width="10.5703125" style="452" bestFit="1" customWidth="1"/>
    <col min="8475" max="8475" width="10" style="452" bestFit="1" customWidth="1"/>
    <col min="8476" max="8476" width="9.140625" style="452"/>
    <col min="8477" max="8477" width="11" style="452" bestFit="1" customWidth="1"/>
    <col min="8478" max="8478" width="9.140625" style="452"/>
    <col min="8479" max="8479" width="10" style="452" bestFit="1" customWidth="1"/>
    <col min="8480" max="8480" width="9.5703125" style="452" bestFit="1" customWidth="1"/>
    <col min="8481" max="8482" width="10.5703125" style="452" bestFit="1" customWidth="1"/>
    <col min="8483" max="8483" width="10" style="452" bestFit="1" customWidth="1"/>
    <col min="8484" max="8484" width="9.140625" style="452"/>
    <col min="8485" max="8486" width="10" style="452" bestFit="1" customWidth="1"/>
    <col min="8487" max="8487" width="10.5703125" style="452" bestFit="1" customWidth="1"/>
    <col min="8488" max="8488" width="10.42578125" style="452" bestFit="1" customWidth="1"/>
    <col min="8489" max="8489" width="9.140625" style="452"/>
    <col min="8490" max="8490" width="9.5703125" style="452" bestFit="1" customWidth="1"/>
    <col min="8491" max="8491" width="10.42578125" style="452" bestFit="1" customWidth="1"/>
    <col min="8492" max="8492" width="10" style="452" bestFit="1" customWidth="1"/>
    <col min="8493" max="8493" width="12.42578125" style="452" bestFit="1" customWidth="1"/>
    <col min="8494" max="8710" width="9.140625" style="452"/>
    <col min="8711" max="8711" width="16.5703125" style="452" bestFit="1" customWidth="1"/>
    <col min="8712" max="8712" width="38.42578125" style="452" bestFit="1" customWidth="1"/>
    <col min="8713" max="8713" width="0" style="452" hidden="1" customWidth="1"/>
    <col min="8714" max="8714" width="36.5703125" style="452" customWidth="1"/>
    <col min="8715" max="8715" width="12.140625" style="452" customWidth="1"/>
    <col min="8716" max="8716" width="7.5703125" style="452" bestFit="1" customWidth="1"/>
    <col min="8717" max="8717" width="4.42578125" style="452" bestFit="1" customWidth="1"/>
    <col min="8718" max="8718" width="9.85546875" style="452" bestFit="1" customWidth="1"/>
    <col min="8719" max="8719" width="9.42578125" style="452" bestFit="1" customWidth="1"/>
    <col min="8720" max="8720" width="8.85546875" style="452" customWidth="1"/>
    <col min="8721" max="8721" width="9.140625" style="452"/>
    <col min="8722" max="8722" width="12.85546875" style="452" customWidth="1"/>
    <col min="8723" max="8723" width="9.140625" style="452"/>
    <col min="8724" max="8724" width="11.85546875" style="452" customWidth="1"/>
    <col min="8725" max="8725" width="11" style="452" bestFit="1" customWidth="1"/>
    <col min="8726" max="8726" width="10" style="452" bestFit="1" customWidth="1"/>
    <col min="8727" max="8727" width="9.5703125" style="452" bestFit="1" customWidth="1"/>
    <col min="8728" max="8729" width="10" style="452" bestFit="1" customWidth="1"/>
    <col min="8730" max="8730" width="10.5703125" style="452" bestFit="1" customWidth="1"/>
    <col min="8731" max="8731" width="10" style="452" bestFit="1" customWidth="1"/>
    <col min="8732" max="8732" width="9.140625" style="452"/>
    <col min="8733" max="8733" width="11" style="452" bestFit="1" customWidth="1"/>
    <col min="8734" max="8734" width="9.140625" style="452"/>
    <col min="8735" max="8735" width="10" style="452" bestFit="1" customWidth="1"/>
    <col min="8736" max="8736" width="9.5703125" style="452" bestFit="1" customWidth="1"/>
    <col min="8737" max="8738" width="10.5703125" style="452" bestFit="1" customWidth="1"/>
    <col min="8739" max="8739" width="10" style="452" bestFit="1" customWidth="1"/>
    <col min="8740" max="8740" width="9.140625" style="452"/>
    <col min="8741" max="8742" width="10" style="452" bestFit="1" customWidth="1"/>
    <col min="8743" max="8743" width="10.5703125" style="452" bestFit="1" customWidth="1"/>
    <col min="8744" max="8744" width="10.42578125" style="452" bestFit="1" customWidth="1"/>
    <col min="8745" max="8745" width="9.140625" style="452"/>
    <col min="8746" max="8746" width="9.5703125" style="452" bestFit="1" customWidth="1"/>
    <col min="8747" max="8747" width="10.42578125" style="452" bestFit="1" customWidth="1"/>
    <col min="8748" max="8748" width="10" style="452" bestFit="1" customWidth="1"/>
    <col min="8749" max="8749" width="12.42578125" style="452" bestFit="1" customWidth="1"/>
    <col min="8750" max="8966" width="9.140625" style="452"/>
    <col min="8967" max="8967" width="16.5703125" style="452" bestFit="1" customWidth="1"/>
    <col min="8968" max="8968" width="38.42578125" style="452" bestFit="1" customWidth="1"/>
    <col min="8969" max="8969" width="0" style="452" hidden="1" customWidth="1"/>
    <col min="8970" max="8970" width="36.5703125" style="452" customWidth="1"/>
    <col min="8971" max="8971" width="12.140625" style="452" customWidth="1"/>
    <col min="8972" max="8972" width="7.5703125" style="452" bestFit="1" customWidth="1"/>
    <col min="8973" max="8973" width="4.42578125" style="452" bestFit="1" customWidth="1"/>
    <col min="8974" max="8974" width="9.85546875" style="452" bestFit="1" customWidth="1"/>
    <col min="8975" max="8975" width="9.42578125" style="452" bestFit="1" customWidth="1"/>
    <col min="8976" max="8976" width="8.85546875" style="452" customWidth="1"/>
    <col min="8977" max="8977" width="9.140625" style="452"/>
    <col min="8978" max="8978" width="12.85546875" style="452" customWidth="1"/>
    <col min="8979" max="8979" width="9.140625" style="452"/>
    <col min="8980" max="8980" width="11.85546875" style="452" customWidth="1"/>
    <col min="8981" max="8981" width="11" style="452" bestFit="1" customWidth="1"/>
    <col min="8982" max="8982" width="10" style="452" bestFit="1" customWidth="1"/>
    <col min="8983" max="8983" width="9.5703125" style="452" bestFit="1" customWidth="1"/>
    <col min="8984" max="8985" width="10" style="452" bestFit="1" customWidth="1"/>
    <col min="8986" max="8986" width="10.5703125" style="452" bestFit="1" customWidth="1"/>
    <col min="8987" max="8987" width="10" style="452" bestFit="1" customWidth="1"/>
    <col min="8988" max="8988" width="9.140625" style="452"/>
    <col min="8989" max="8989" width="11" style="452" bestFit="1" customWidth="1"/>
    <col min="8990" max="8990" width="9.140625" style="452"/>
    <col min="8991" max="8991" width="10" style="452" bestFit="1" customWidth="1"/>
    <col min="8992" max="8992" width="9.5703125" style="452" bestFit="1" customWidth="1"/>
    <col min="8993" max="8994" width="10.5703125" style="452" bestFit="1" customWidth="1"/>
    <col min="8995" max="8995" width="10" style="452" bestFit="1" customWidth="1"/>
    <col min="8996" max="8996" width="9.140625" style="452"/>
    <col min="8997" max="8998" width="10" style="452" bestFit="1" customWidth="1"/>
    <col min="8999" max="8999" width="10.5703125" style="452" bestFit="1" customWidth="1"/>
    <col min="9000" max="9000" width="10.42578125" style="452" bestFit="1" customWidth="1"/>
    <col min="9001" max="9001" width="9.140625" style="452"/>
    <col min="9002" max="9002" width="9.5703125" style="452" bestFit="1" customWidth="1"/>
    <col min="9003" max="9003" width="10.42578125" style="452" bestFit="1" customWidth="1"/>
    <col min="9004" max="9004" width="10" style="452" bestFit="1" customWidth="1"/>
    <col min="9005" max="9005" width="12.42578125" style="452" bestFit="1" customWidth="1"/>
    <col min="9006" max="9222" width="9.140625" style="452"/>
    <col min="9223" max="9223" width="16.5703125" style="452" bestFit="1" customWidth="1"/>
    <col min="9224" max="9224" width="38.42578125" style="452" bestFit="1" customWidth="1"/>
    <col min="9225" max="9225" width="0" style="452" hidden="1" customWidth="1"/>
    <col min="9226" max="9226" width="36.5703125" style="452" customWidth="1"/>
    <col min="9227" max="9227" width="12.140625" style="452" customWidth="1"/>
    <col min="9228" max="9228" width="7.5703125" style="452" bestFit="1" customWidth="1"/>
    <col min="9229" max="9229" width="4.42578125" style="452" bestFit="1" customWidth="1"/>
    <col min="9230" max="9230" width="9.85546875" style="452" bestFit="1" customWidth="1"/>
    <col min="9231" max="9231" width="9.42578125" style="452" bestFit="1" customWidth="1"/>
    <col min="9232" max="9232" width="8.85546875" style="452" customWidth="1"/>
    <col min="9233" max="9233" width="9.140625" style="452"/>
    <col min="9234" max="9234" width="12.85546875" style="452" customWidth="1"/>
    <col min="9235" max="9235" width="9.140625" style="452"/>
    <col min="9236" max="9236" width="11.85546875" style="452" customWidth="1"/>
    <col min="9237" max="9237" width="11" style="452" bestFit="1" customWidth="1"/>
    <col min="9238" max="9238" width="10" style="452" bestFit="1" customWidth="1"/>
    <col min="9239" max="9239" width="9.5703125" style="452" bestFit="1" customWidth="1"/>
    <col min="9240" max="9241" width="10" style="452" bestFit="1" customWidth="1"/>
    <col min="9242" max="9242" width="10.5703125" style="452" bestFit="1" customWidth="1"/>
    <col min="9243" max="9243" width="10" style="452" bestFit="1" customWidth="1"/>
    <col min="9244" max="9244" width="9.140625" style="452"/>
    <col min="9245" max="9245" width="11" style="452" bestFit="1" customWidth="1"/>
    <col min="9246" max="9246" width="9.140625" style="452"/>
    <col min="9247" max="9247" width="10" style="452" bestFit="1" customWidth="1"/>
    <col min="9248" max="9248" width="9.5703125" style="452" bestFit="1" customWidth="1"/>
    <col min="9249" max="9250" width="10.5703125" style="452" bestFit="1" customWidth="1"/>
    <col min="9251" max="9251" width="10" style="452" bestFit="1" customWidth="1"/>
    <col min="9252" max="9252" width="9.140625" style="452"/>
    <col min="9253" max="9254" width="10" style="452" bestFit="1" customWidth="1"/>
    <col min="9255" max="9255" width="10.5703125" style="452" bestFit="1" customWidth="1"/>
    <col min="9256" max="9256" width="10.42578125" style="452" bestFit="1" customWidth="1"/>
    <col min="9257" max="9257" width="9.140625" style="452"/>
    <col min="9258" max="9258" width="9.5703125" style="452" bestFit="1" customWidth="1"/>
    <col min="9259" max="9259" width="10.42578125" style="452" bestFit="1" customWidth="1"/>
    <col min="9260" max="9260" width="10" style="452" bestFit="1" customWidth="1"/>
    <col min="9261" max="9261" width="12.42578125" style="452" bestFit="1" customWidth="1"/>
    <col min="9262" max="9478" width="9.140625" style="452"/>
    <col min="9479" max="9479" width="16.5703125" style="452" bestFit="1" customWidth="1"/>
    <col min="9480" max="9480" width="38.42578125" style="452" bestFit="1" customWidth="1"/>
    <col min="9481" max="9481" width="0" style="452" hidden="1" customWidth="1"/>
    <col min="9482" max="9482" width="36.5703125" style="452" customWidth="1"/>
    <col min="9483" max="9483" width="12.140625" style="452" customWidth="1"/>
    <col min="9484" max="9484" width="7.5703125" style="452" bestFit="1" customWidth="1"/>
    <col min="9485" max="9485" width="4.42578125" style="452" bestFit="1" customWidth="1"/>
    <col min="9486" max="9486" width="9.85546875" style="452" bestFit="1" customWidth="1"/>
    <col min="9487" max="9487" width="9.42578125" style="452" bestFit="1" customWidth="1"/>
    <col min="9488" max="9488" width="8.85546875" style="452" customWidth="1"/>
    <col min="9489" max="9489" width="9.140625" style="452"/>
    <col min="9490" max="9490" width="12.85546875" style="452" customWidth="1"/>
    <col min="9491" max="9491" width="9.140625" style="452"/>
    <col min="9492" max="9492" width="11.85546875" style="452" customWidth="1"/>
    <col min="9493" max="9493" width="11" style="452" bestFit="1" customWidth="1"/>
    <col min="9494" max="9494" width="10" style="452" bestFit="1" customWidth="1"/>
    <col min="9495" max="9495" width="9.5703125" style="452" bestFit="1" customWidth="1"/>
    <col min="9496" max="9497" width="10" style="452" bestFit="1" customWidth="1"/>
    <col min="9498" max="9498" width="10.5703125" style="452" bestFit="1" customWidth="1"/>
    <col min="9499" max="9499" width="10" style="452" bestFit="1" customWidth="1"/>
    <col min="9500" max="9500" width="9.140625" style="452"/>
    <col min="9501" max="9501" width="11" style="452" bestFit="1" customWidth="1"/>
    <col min="9502" max="9502" width="9.140625" style="452"/>
    <col min="9503" max="9503" width="10" style="452" bestFit="1" customWidth="1"/>
    <col min="9504" max="9504" width="9.5703125" style="452" bestFit="1" customWidth="1"/>
    <col min="9505" max="9506" width="10.5703125" style="452" bestFit="1" customWidth="1"/>
    <col min="9507" max="9507" width="10" style="452" bestFit="1" customWidth="1"/>
    <col min="9508" max="9508" width="9.140625" style="452"/>
    <col min="9509" max="9510" width="10" style="452" bestFit="1" customWidth="1"/>
    <col min="9511" max="9511" width="10.5703125" style="452" bestFit="1" customWidth="1"/>
    <col min="9512" max="9512" width="10.42578125" style="452" bestFit="1" customWidth="1"/>
    <col min="9513" max="9513" width="9.140625" style="452"/>
    <col min="9514" max="9514" width="9.5703125" style="452" bestFit="1" customWidth="1"/>
    <col min="9515" max="9515" width="10.42578125" style="452" bestFit="1" customWidth="1"/>
    <col min="9516" max="9516" width="10" style="452" bestFit="1" customWidth="1"/>
    <col min="9517" max="9517" width="12.42578125" style="452" bestFit="1" customWidth="1"/>
    <col min="9518" max="9734" width="9.140625" style="452"/>
    <col min="9735" max="9735" width="16.5703125" style="452" bestFit="1" customWidth="1"/>
    <col min="9736" max="9736" width="38.42578125" style="452" bestFit="1" customWidth="1"/>
    <col min="9737" max="9737" width="0" style="452" hidden="1" customWidth="1"/>
    <col min="9738" max="9738" width="36.5703125" style="452" customWidth="1"/>
    <col min="9739" max="9739" width="12.140625" style="452" customWidth="1"/>
    <col min="9740" max="9740" width="7.5703125" style="452" bestFit="1" customWidth="1"/>
    <col min="9741" max="9741" width="4.42578125" style="452" bestFit="1" customWidth="1"/>
    <col min="9742" max="9742" width="9.85546875" style="452" bestFit="1" customWidth="1"/>
    <col min="9743" max="9743" width="9.42578125" style="452" bestFit="1" customWidth="1"/>
    <col min="9744" max="9744" width="8.85546875" style="452" customWidth="1"/>
    <col min="9745" max="9745" width="9.140625" style="452"/>
    <col min="9746" max="9746" width="12.85546875" style="452" customWidth="1"/>
    <col min="9747" max="9747" width="9.140625" style="452"/>
    <col min="9748" max="9748" width="11.85546875" style="452" customWidth="1"/>
    <col min="9749" max="9749" width="11" style="452" bestFit="1" customWidth="1"/>
    <col min="9750" max="9750" width="10" style="452" bestFit="1" customWidth="1"/>
    <col min="9751" max="9751" width="9.5703125" style="452" bestFit="1" customWidth="1"/>
    <col min="9752" max="9753" width="10" style="452" bestFit="1" customWidth="1"/>
    <col min="9754" max="9754" width="10.5703125" style="452" bestFit="1" customWidth="1"/>
    <col min="9755" max="9755" width="10" style="452" bestFit="1" customWidth="1"/>
    <col min="9756" max="9756" width="9.140625" style="452"/>
    <col min="9757" max="9757" width="11" style="452" bestFit="1" customWidth="1"/>
    <col min="9758" max="9758" width="9.140625" style="452"/>
    <col min="9759" max="9759" width="10" style="452" bestFit="1" customWidth="1"/>
    <col min="9760" max="9760" width="9.5703125" style="452" bestFit="1" customWidth="1"/>
    <col min="9761" max="9762" width="10.5703125" style="452" bestFit="1" customWidth="1"/>
    <col min="9763" max="9763" width="10" style="452" bestFit="1" customWidth="1"/>
    <col min="9764" max="9764" width="9.140625" style="452"/>
    <col min="9765" max="9766" width="10" style="452" bestFit="1" customWidth="1"/>
    <col min="9767" max="9767" width="10.5703125" style="452" bestFit="1" customWidth="1"/>
    <col min="9768" max="9768" width="10.42578125" style="452" bestFit="1" customWidth="1"/>
    <col min="9769" max="9769" width="9.140625" style="452"/>
    <col min="9770" max="9770" width="9.5703125" style="452" bestFit="1" customWidth="1"/>
    <col min="9771" max="9771" width="10.42578125" style="452" bestFit="1" customWidth="1"/>
    <col min="9772" max="9772" width="10" style="452" bestFit="1" customWidth="1"/>
    <col min="9773" max="9773" width="12.42578125" style="452" bestFit="1" customWidth="1"/>
    <col min="9774" max="9990" width="9.140625" style="452"/>
    <col min="9991" max="9991" width="16.5703125" style="452" bestFit="1" customWidth="1"/>
    <col min="9992" max="9992" width="38.42578125" style="452" bestFit="1" customWidth="1"/>
    <col min="9993" max="9993" width="0" style="452" hidden="1" customWidth="1"/>
    <col min="9994" max="9994" width="36.5703125" style="452" customWidth="1"/>
    <col min="9995" max="9995" width="12.140625" style="452" customWidth="1"/>
    <col min="9996" max="9996" width="7.5703125" style="452" bestFit="1" customWidth="1"/>
    <col min="9997" max="9997" width="4.42578125" style="452" bestFit="1" customWidth="1"/>
    <col min="9998" max="9998" width="9.85546875" style="452" bestFit="1" customWidth="1"/>
    <col min="9999" max="9999" width="9.42578125" style="452" bestFit="1" customWidth="1"/>
    <col min="10000" max="10000" width="8.85546875" style="452" customWidth="1"/>
    <col min="10001" max="10001" width="9.140625" style="452"/>
    <col min="10002" max="10002" width="12.85546875" style="452" customWidth="1"/>
    <col min="10003" max="10003" width="9.140625" style="452"/>
    <col min="10004" max="10004" width="11.85546875" style="452" customWidth="1"/>
    <col min="10005" max="10005" width="11" style="452" bestFit="1" customWidth="1"/>
    <col min="10006" max="10006" width="10" style="452" bestFit="1" customWidth="1"/>
    <col min="10007" max="10007" width="9.5703125" style="452" bestFit="1" customWidth="1"/>
    <col min="10008" max="10009" width="10" style="452" bestFit="1" customWidth="1"/>
    <col min="10010" max="10010" width="10.5703125" style="452" bestFit="1" customWidth="1"/>
    <col min="10011" max="10011" width="10" style="452" bestFit="1" customWidth="1"/>
    <col min="10012" max="10012" width="9.140625" style="452"/>
    <col min="10013" max="10013" width="11" style="452" bestFit="1" customWidth="1"/>
    <col min="10014" max="10014" width="9.140625" style="452"/>
    <col min="10015" max="10015" width="10" style="452" bestFit="1" customWidth="1"/>
    <col min="10016" max="10016" width="9.5703125" style="452" bestFit="1" customWidth="1"/>
    <col min="10017" max="10018" width="10.5703125" style="452" bestFit="1" customWidth="1"/>
    <col min="10019" max="10019" width="10" style="452" bestFit="1" customWidth="1"/>
    <col min="10020" max="10020" width="9.140625" style="452"/>
    <col min="10021" max="10022" width="10" style="452" bestFit="1" customWidth="1"/>
    <col min="10023" max="10023" width="10.5703125" style="452" bestFit="1" customWidth="1"/>
    <col min="10024" max="10024" width="10.42578125" style="452" bestFit="1" customWidth="1"/>
    <col min="10025" max="10025" width="9.140625" style="452"/>
    <col min="10026" max="10026" width="9.5703125" style="452" bestFit="1" customWidth="1"/>
    <col min="10027" max="10027" width="10.42578125" style="452" bestFit="1" customWidth="1"/>
    <col min="10028" max="10028" width="10" style="452" bestFit="1" customWidth="1"/>
    <col min="10029" max="10029" width="12.42578125" style="452" bestFit="1" customWidth="1"/>
    <col min="10030" max="10246" width="9.140625" style="452"/>
    <col min="10247" max="10247" width="16.5703125" style="452" bestFit="1" customWidth="1"/>
    <col min="10248" max="10248" width="38.42578125" style="452" bestFit="1" customWidth="1"/>
    <col min="10249" max="10249" width="0" style="452" hidden="1" customWidth="1"/>
    <col min="10250" max="10250" width="36.5703125" style="452" customWidth="1"/>
    <col min="10251" max="10251" width="12.140625" style="452" customWidth="1"/>
    <col min="10252" max="10252" width="7.5703125" style="452" bestFit="1" customWidth="1"/>
    <col min="10253" max="10253" width="4.42578125" style="452" bestFit="1" customWidth="1"/>
    <col min="10254" max="10254" width="9.85546875" style="452" bestFit="1" customWidth="1"/>
    <col min="10255" max="10255" width="9.42578125" style="452" bestFit="1" customWidth="1"/>
    <col min="10256" max="10256" width="8.85546875" style="452" customWidth="1"/>
    <col min="10257" max="10257" width="9.140625" style="452"/>
    <col min="10258" max="10258" width="12.85546875" style="452" customWidth="1"/>
    <col min="10259" max="10259" width="9.140625" style="452"/>
    <col min="10260" max="10260" width="11.85546875" style="452" customWidth="1"/>
    <col min="10261" max="10261" width="11" style="452" bestFit="1" customWidth="1"/>
    <col min="10262" max="10262" width="10" style="452" bestFit="1" customWidth="1"/>
    <col min="10263" max="10263" width="9.5703125" style="452" bestFit="1" customWidth="1"/>
    <col min="10264" max="10265" width="10" style="452" bestFit="1" customWidth="1"/>
    <col min="10266" max="10266" width="10.5703125" style="452" bestFit="1" customWidth="1"/>
    <col min="10267" max="10267" width="10" style="452" bestFit="1" customWidth="1"/>
    <col min="10268" max="10268" width="9.140625" style="452"/>
    <col min="10269" max="10269" width="11" style="452" bestFit="1" customWidth="1"/>
    <col min="10270" max="10270" width="9.140625" style="452"/>
    <col min="10271" max="10271" width="10" style="452" bestFit="1" customWidth="1"/>
    <col min="10272" max="10272" width="9.5703125" style="452" bestFit="1" customWidth="1"/>
    <col min="10273" max="10274" width="10.5703125" style="452" bestFit="1" customWidth="1"/>
    <col min="10275" max="10275" width="10" style="452" bestFit="1" customWidth="1"/>
    <col min="10276" max="10276" width="9.140625" style="452"/>
    <col min="10277" max="10278" width="10" style="452" bestFit="1" customWidth="1"/>
    <col min="10279" max="10279" width="10.5703125" style="452" bestFit="1" customWidth="1"/>
    <col min="10280" max="10280" width="10.42578125" style="452" bestFit="1" customWidth="1"/>
    <col min="10281" max="10281" width="9.140625" style="452"/>
    <col min="10282" max="10282" width="9.5703125" style="452" bestFit="1" customWidth="1"/>
    <col min="10283" max="10283" width="10.42578125" style="452" bestFit="1" customWidth="1"/>
    <col min="10284" max="10284" width="10" style="452" bestFit="1" customWidth="1"/>
    <col min="10285" max="10285" width="12.42578125" style="452" bestFit="1" customWidth="1"/>
    <col min="10286" max="10502" width="9.140625" style="452"/>
    <col min="10503" max="10503" width="16.5703125" style="452" bestFit="1" customWidth="1"/>
    <col min="10504" max="10504" width="38.42578125" style="452" bestFit="1" customWidth="1"/>
    <col min="10505" max="10505" width="0" style="452" hidden="1" customWidth="1"/>
    <col min="10506" max="10506" width="36.5703125" style="452" customWidth="1"/>
    <col min="10507" max="10507" width="12.140625" style="452" customWidth="1"/>
    <col min="10508" max="10508" width="7.5703125" style="452" bestFit="1" customWidth="1"/>
    <col min="10509" max="10509" width="4.42578125" style="452" bestFit="1" customWidth="1"/>
    <col min="10510" max="10510" width="9.85546875" style="452" bestFit="1" customWidth="1"/>
    <col min="10511" max="10511" width="9.42578125" style="452" bestFit="1" customWidth="1"/>
    <col min="10512" max="10512" width="8.85546875" style="452" customWidth="1"/>
    <col min="10513" max="10513" width="9.140625" style="452"/>
    <col min="10514" max="10514" width="12.85546875" style="452" customWidth="1"/>
    <col min="10515" max="10515" width="9.140625" style="452"/>
    <col min="10516" max="10516" width="11.85546875" style="452" customWidth="1"/>
    <col min="10517" max="10517" width="11" style="452" bestFit="1" customWidth="1"/>
    <col min="10518" max="10518" width="10" style="452" bestFit="1" customWidth="1"/>
    <col min="10519" max="10519" width="9.5703125" style="452" bestFit="1" customWidth="1"/>
    <col min="10520" max="10521" width="10" style="452" bestFit="1" customWidth="1"/>
    <col min="10522" max="10522" width="10.5703125" style="452" bestFit="1" customWidth="1"/>
    <col min="10523" max="10523" width="10" style="452" bestFit="1" customWidth="1"/>
    <col min="10524" max="10524" width="9.140625" style="452"/>
    <col min="10525" max="10525" width="11" style="452" bestFit="1" customWidth="1"/>
    <col min="10526" max="10526" width="9.140625" style="452"/>
    <col min="10527" max="10527" width="10" style="452" bestFit="1" customWidth="1"/>
    <col min="10528" max="10528" width="9.5703125" style="452" bestFit="1" customWidth="1"/>
    <col min="10529" max="10530" width="10.5703125" style="452" bestFit="1" customWidth="1"/>
    <col min="10531" max="10531" width="10" style="452" bestFit="1" customWidth="1"/>
    <col min="10532" max="10532" width="9.140625" style="452"/>
    <col min="10533" max="10534" width="10" style="452" bestFit="1" customWidth="1"/>
    <col min="10535" max="10535" width="10.5703125" style="452" bestFit="1" customWidth="1"/>
    <col min="10536" max="10536" width="10.42578125" style="452" bestFit="1" customWidth="1"/>
    <col min="10537" max="10537" width="9.140625" style="452"/>
    <col min="10538" max="10538" width="9.5703125" style="452" bestFit="1" customWidth="1"/>
    <col min="10539" max="10539" width="10.42578125" style="452" bestFit="1" customWidth="1"/>
    <col min="10540" max="10540" width="10" style="452" bestFit="1" customWidth="1"/>
    <col min="10541" max="10541" width="12.42578125" style="452" bestFit="1" customWidth="1"/>
    <col min="10542" max="10758" width="9.140625" style="452"/>
    <col min="10759" max="10759" width="16.5703125" style="452" bestFit="1" customWidth="1"/>
    <col min="10760" max="10760" width="38.42578125" style="452" bestFit="1" customWidth="1"/>
    <col min="10761" max="10761" width="0" style="452" hidden="1" customWidth="1"/>
    <col min="10762" max="10762" width="36.5703125" style="452" customWidth="1"/>
    <col min="10763" max="10763" width="12.140625" style="452" customWidth="1"/>
    <col min="10764" max="10764" width="7.5703125" style="452" bestFit="1" customWidth="1"/>
    <col min="10765" max="10765" width="4.42578125" style="452" bestFit="1" customWidth="1"/>
    <col min="10766" max="10766" width="9.85546875" style="452" bestFit="1" customWidth="1"/>
    <col min="10767" max="10767" width="9.42578125" style="452" bestFit="1" customWidth="1"/>
    <col min="10768" max="10768" width="8.85546875" style="452" customWidth="1"/>
    <col min="10769" max="10769" width="9.140625" style="452"/>
    <col min="10770" max="10770" width="12.85546875" style="452" customWidth="1"/>
    <col min="10771" max="10771" width="9.140625" style="452"/>
    <col min="10772" max="10772" width="11.85546875" style="452" customWidth="1"/>
    <col min="10773" max="10773" width="11" style="452" bestFit="1" customWidth="1"/>
    <col min="10774" max="10774" width="10" style="452" bestFit="1" customWidth="1"/>
    <col min="10775" max="10775" width="9.5703125" style="452" bestFit="1" customWidth="1"/>
    <col min="10776" max="10777" width="10" style="452" bestFit="1" customWidth="1"/>
    <col min="10778" max="10778" width="10.5703125" style="452" bestFit="1" customWidth="1"/>
    <col min="10779" max="10779" width="10" style="452" bestFit="1" customWidth="1"/>
    <col min="10780" max="10780" width="9.140625" style="452"/>
    <col min="10781" max="10781" width="11" style="452" bestFit="1" customWidth="1"/>
    <col min="10782" max="10782" width="9.140625" style="452"/>
    <col min="10783" max="10783" width="10" style="452" bestFit="1" customWidth="1"/>
    <col min="10784" max="10784" width="9.5703125" style="452" bestFit="1" customWidth="1"/>
    <col min="10785" max="10786" width="10.5703125" style="452" bestFit="1" customWidth="1"/>
    <col min="10787" max="10787" width="10" style="452" bestFit="1" customWidth="1"/>
    <col min="10788" max="10788" width="9.140625" style="452"/>
    <col min="10789" max="10790" width="10" style="452" bestFit="1" customWidth="1"/>
    <col min="10791" max="10791" width="10.5703125" style="452" bestFit="1" customWidth="1"/>
    <col min="10792" max="10792" width="10.42578125" style="452" bestFit="1" customWidth="1"/>
    <col min="10793" max="10793" width="9.140625" style="452"/>
    <col min="10794" max="10794" width="9.5703125" style="452" bestFit="1" customWidth="1"/>
    <col min="10795" max="10795" width="10.42578125" style="452" bestFit="1" customWidth="1"/>
    <col min="10796" max="10796" width="10" style="452" bestFit="1" customWidth="1"/>
    <col min="10797" max="10797" width="12.42578125" style="452" bestFit="1" customWidth="1"/>
    <col min="10798" max="11014" width="9.140625" style="452"/>
    <col min="11015" max="11015" width="16.5703125" style="452" bestFit="1" customWidth="1"/>
    <col min="11016" max="11016" width="38.42578125" style="452" bestFit="1" customWidth="1"/>
    <col min="11017" max="11017" width="0" style="452" hidden="1" customWidth="1"/>
    <col min="11018" max="11018" width="36.5703125" style="452" customWidth="1"/>
    <col min="11019" max="11019" width="12.140625" style="452" customWidth="1"/>
    <col min="11020" max="11020" width="7.5703125" style="452" bestFit="1" customWidth="1"/>
    <col min="11021" max="11021" width="4.42578125" style="452" bestFit="1" customWidth="1"/>
    <col min="11022" max="11022" width="9.85546875" style="452" bestFit="1" customWidth="1"/>
    <col min="11023" max="11023" width="9.42578125" style="452" bestFit="1" customWidth="1"/>
    <col min="11024" max="11024" width="8.85546875" style="452" customWidth="1"/>
    <col min="11025" max="11025" width="9.140625" style="452"/>
    <col min="11026" max="11026" width="12.85546875" style="452" customWidth="1"/>
    <col min="11027" max="11027" width="9.140625" style="452"/>
    <col min="11028" max="11028" width="11.85546875" style="452" customWidth="1"/>
    <col min="11029" max="11029" width="11" style="452" bestFit="1" customWidth="1"/>
    <col min="11030" max="11030" width="10" style="452" bestFit="1" customWidth="1"/>
    <col min="11031" max="11031" width="9.5703125" style="452" bestFit="1" customWidth="1"/>
    <col min="11032" max="11033" width="10" style="452" bestFit="1" customWidth="1"/>
    <col min="11034" max="11034" width="10.5703125" style="452" bestFit="1" customWidth="1"/>
    <col min="11035" max="11035" width="10" style="452" bestFit="1" customWidth="1"/>
    <col min="11036" max="11036" width="9.140625" style="452"/>
    <col min="11037" max="11037" width="11" style="452" bestFit="1" customWidth="1"/>
    <col min="11038" max="11038" width="9.140625" style="452"/>
    <col min="11039" max="11039" width="10" style="452" bestFit="1" customWidth="1"/>
    <col min="11040" max="11040" width="9.5703125" style="452" bestFit="1" customWidth="1"/>
    <col min="11041" max="11042" width="10.5703125" style="452" bestFit="1" customWidth="1"/>
    <col min="11043" max="11043" width="10" style="452" bestFit="1" customWidth="1"/>
    <col min="11044" max="11044" width="9.140625" style="452"/>
    <col min="11045" max="11046" width="10" style="452" bestFit="1" customWidth="1"/>
    <col min="11047" max="11047" width="10.5703125" style="452" bestFit="1" customWidth="1"/>
    <col min="11048" max="11048" width="10.42578125" style="452" bestFit="1" customWidth="1"/>
    <col min="11049" max="11049" width="9.140625" style="452"/>
    <col min="11050" max="11050" width="9.5703125" style="452" bestFit="1" customWidth="1"/>
    <col min="11051" max="11051" width="10.42578125" style="452" bestFit="1" customWidth="1"/>
    <col min="11052" max="11052" width="10" style="452" bestFit="1" customWidth="1"/>
    <col min="11053" max="11053" width="12.42578125" style="452" bestFit="1" customWidth="1"/>
    <col min="11054" max="11270" width="9.140625" style="452"/>
    <col min="11271" max="11271" width="16.5703125" style="452" bestFit="1" customWidth="1"/>
    <col min="11272" max="11272" width="38.42578125" style="452" bestFit="1" customWidth="1"/>
    <col min="11273" max="11273" width="0" style="452" hidden="1" customWidth="1"/>
    <col min="11274" max="11274" width="36.5703125" style="452" customWidth="1"/>
    <col min="11275" max="11275" width="12.140625" style="452" customWidth="1"/>
    <col min="11276" max="11276" width="7.5703125" style="452" bestFit="1" customWidth="1"/>
    <col min="11277" max="11277" width="4.42578125" style="452" bestFit="1" customWidth="1"/>
    <col min="11278" max="11278" width="9.85546875" style="452" bestFit="1" customWidth="1"/>
    <col min="11279" max="11279" width="9.42578125" style="452" bestFit="1" customWidth="1"/>
    <col min="11280" max="11280" width="8.85546875" style="452" customWidth="1"/>
    <col min="11281" max="11281" width="9.140625" style="452"/>
    <col min="11282" max="11282" width="12.85546875" style="452" customWidth="1"/>
    <col min="11283" max="11283" width="9.140625" style="452"/>
    <col min="11284" max="11284" width="11.85546875" style="452" customWidth="1"/>
    <col min="11285" max="11285" width="11" style="452" bestFit="1" customWidth="1"/>
    <col min="11286" max="11286" width="10" style="452" bestFit="1" customWidth="1"/>
    <col min="11287" max="11287" width="9.5703125" style="452" bestFit="1" customWidth="1"/>
    <col min="11288" max="11289" width="10" style="452" bestFit="1" customWidth="1"/>
    <col min="11290" max="11290" width="10.5703125" style="452" bestFit="1" customWidth="1"/>
    <col min="11291" max="11291" width="10" style="452" bestFit="1" customWidth="1"/>
    <col min="11292" max="11292" width="9.140625" style="452"/>
    <col min="11293" max="11293" width="11" style="452" bestFit="1" customWidth="1"/>
    <col min="11294" max="11294" width="9.140625" style="452"/>
    <col min="11295" max="11295" width="10" style="452" bestFit="1" customWidth="1"/>
    <col min="11296" max="11296" width="9.5703125" style="452" bestFit="1" customWidth="1"/>
    <col min="11297" max="11298" width="10.5703125" style="452" bestFit="1" customWidth="1"/>
    <col min="11299" max="11299" width="10" style="452" bestFit="1" customWidth="1"/>
    <col min="11300" max="11300" width="9.140625" style="452"/>
    <col min="11301" max="11302" width="10" style="452" bestFit="1" customWidth="1"/>
    <col min="11303" max="11303" width="10.5703125" style="452" bestFit="1" customWidth="1"/>
    <col min="11304" max="11304" width="10.42578125" style="452" bestFit="1" customWidth="1"/>
    <col min="11305" max="11305" width="9.140625" style="452"/>
    <col min="11306" max="11306" width="9.5703125" style="452" bestFit="1" customWidth="1"/>
    <col min="11307" max="11307" width="10.42578125" style="452" bestFit="1" customWidth="1"/>
    <col min="11308" max="11308" width="10" style="452" bestFit="1" customWidth="1"/>
    <col min="11309" max="11309" width="12.42578125" style="452" bestFit="1" customWidth="1"/>
    <col min="11310" max="11526" width="9.140625" style="452"/>
    <col min="11527" max="11527" width="16.5703125" style="452" bestFit="1" customWidth="1"/>
    <col min="11528" max="11528" width="38.42578125" style="452" bestFit="1" customWidth="1"/>
    <col min="11529" max="11529" width="0" style="452" hidden="1" customWidth="1"/>
    <col min="11530" max="11530" width="36.5703125" style="452" customWidth="1"/>
    <col min="11531" max="11531" width="12.140625" style="452" customWidth="1"/>
    <col min="11532" max="11532" width="7.5703125" style="452" bestFit="1" customWidth="1"/>
    <col min="11533" max="11533" width="4.42578125" style="452" bestFit="1" customWidth="1"/>
    <col min="11534" max="11534" width="9.85546875" style="452" bestFit="1" customWidth="1"/>
    <col min="11535" max="11535" width="9.42578125" style="452" bestFit="1" customWidth="1"/>
    <col min="11536" max="11536" width="8.85546875" style="452" customWidth="1"/>
    <col min="11537" max="11537" width="9.140625" style="452"/>
    <col min="11538" max="11538" width="12.85546875" style="452" customWidth="1"/>
    <col min="11539" max="11539" width="9.140625" style="452"/>
    <col min="11540" max="11540" width="11.85546875" style="452" customWidth="1"/>
    <col min="11541" max="11541" width="11" style="452" bestFit="1" customWidth="1"/>
    <col min="11542" max="11542" width="10" style="452" bestFit="1" customWidth="1"/>
    <col min="11543" max="11543" width="9.5703125" style="452" bestFit="1" customWidth="1"/>
    <col min="11544" max="11545" width="10" style="452" bestFit="1" customWidth="1"/>
    <col min="11546" max="11546" width="10.5703125" style="452" bestFit="1" customWidth="1"/>
    <col min="11547" max="11547" width="10" style="452" bestFit="1" customWidth="1"/>
    <col min="11548" max="11548" width="9.140625" style="452"/>
    <col min="11549" max="11549" width="11" style="452" bestFit="1" customWidth="1"/>
    <col min="11550" max="11550" width="9.140625" style="452"/>
    <col min="11551" max="11551" width="10" style="452" bestFit="1" customWidth="1"/>
    <col min="11552" max="11552" width="9.5703125" style="452" bestFit="1" customWidth="1"/>
    <col min="11553" max="11554" width="10.5703125" style="452" bestFit="1" customWidth="1"/>
    <col min="11555" max="11555" width="10" style="452" bestFit="1" customWidth="1"/>
    <col min="11556" max="11556" width="9.140625" style="452"/>
    <col min="11557" max="11558" width="10" style="452" bestFit="1" customWidth="1"/>
    <col min="11559" max="11559" width="10.5703125" style="452" bestFit="1" customWidth="1"/>
    <col min="11560" max="11560" width="10.42578125" style="452" bestFit="1" customWidth="1"/>
    <col min="11561" max="11561" width="9.140625" style="452"/>
    <col min="11562" max="11562" width="9.5703125" style="452" bestFit="1" customWidth="1"/>
    <col min="11563" max="11563" width="10.42578125" style="452" bestFit="1" customWidth="1"/>
    <col min="11564" max="11564" width="10" style="452" bestFit="1" customWidth="1"/>
    <col min="11565" max="11565" width="12.42578125" style="452" bestFit="1" customWidth="1"/>
    <col min="11566" max="11782" width="9.140625" style="452"/>
    <col min="11783" max="11783" width="16.5703125" style="452" bestFit="1" customWidth="1"/>
    <col min="11784" max="11784" width="38.42578125" style="452" bestFit="1" customWidth="1"/>
    <col min="11785" max="11785" width="0" style="452" hidden="1" customWidth="1"/>
    <col min="11786" max="11786" width="36.5703125" style="452" customWidth="1"/>
    <col min="11787" max="11787" width="12.140625" style="452" customWidth="1"/>
    <col min="11788" max="11788" width="7.5703125" style="452" bestFit="1" customWidth="1"/>
    <col min="11789" max="11789" width="4.42578125" style="452" bestFit="1" customWidth="1"/>
    <col min="11790" max="11790" width="9.85546875" style="452" bestFit="1" customWidth="1"/>
    <col min="11791" max="11791" width="9.42578125" style="452" bestFit="1" customWidth="1"/>
    <col min="11792" max="11792" width="8.85546875" style="452" customWidth="1"/>
    <col min="11793" max="11793" width="9.140625" style="452"/>
    <col min="11794" max="11794" width="12.85546875" style="452" customWidth="1"/>
    <col min="11795" max="11795" width="9.140625" style="452"/>
    <col min="11796" max="11796" width="11.85546875" style="452" customWidth="1"/>
    <col min="11797" max="11797" width="11" style="452" bestFit="1" customWidth="1"/>
    <col min="11798" max="11798" width="10" style="452" bestFit="1" customWidth="1"/>
    <col min="11799" max="11799" width="9.5703125" style="452" bestFit="1" customWidth="1"/>
    <col min="11800" max="11801" width="10" style="452" bestFit="1" customWidth="1"/>
    <col min="11802" max="11802" width="10.5703125" style="452" bestFit="1" customWidth="1"/>
    <col min="11803" max="11803" width="10" style="452" bestFit="1" customWidth="1"/>
    <col min="11804" max="11804" width="9.140625" style="452"/>
    <col min="11805" max="11805" width="11" style="452" bestFit="1" customWidth="1"/>
    <col min="11806" max="11806" width="9.140625" style="452"/>
    <col min="11807" max="11807" width="10" style="452" bestFit="1" customWidth="1"/>
    <col min="11808" max="11808" width="9.5703125" style="452" bestFit="1" customWidth="1"/>
    <col min="11809" max="11810" width="10.5703125" style="452" bestFit="1" customWidth="1"/>
    <col min="11811" max="11811" width="10" style="452" bestFit="1" customWidth="1"/>
    <col min="11812" max="11812" width="9.140625" style="452"/>
    <col min="11813" max="11814" width="10" style="452" bestFit="1" customWidth="1"/>
    <col min="11815" max="11815" width="10.5703125" style="452" bestFit="1" customWidth="1"/>
    <col min="11816" max="11816" width="10.42578125" style="452" bestFit="1" customWidth="1"/>
    <col min="11817" max="11817" width="9.140625" style="452"/>
    <col min="11818" max="11818" width="9.5703125" style="452" bestFit="1" customWidth="1"/>
    <col min="11819" max="11819" width="10.42578125" style="452" bestFit="1" customWidth="1"/>
    <col min="11820" max="11820" width="10" style="452" bestFit="1" customWidth="1"/>
    <col min="11821" max="11821" width="12.42578125" style="452" bestFit="1" customWidth="1"/>
    <col min="11822" max="12038" width="9.140625" style="452"/>
    <col min="12039" max="12039" width="16.5703125" style="452" bestFit="1" customWidth="1"/>
    <col min="12040" max="12040" width="38.42578125" style="452" bestFit="1" customWidth="1"/>
    <col min="12041" max="12041" width="0" style="452" hidden="1" customWidth="1"/>
    <col min="12042" max="12042" width="36.5703125" style="452" customWidth="1"/>
    <col min="12043" max="12043" width="12.140625" style="452" customWidth="1"/>
    <col min="12044" max="12044" width="7.5703125" style="452" bestFit="1" customWidth="1"/>
    <col min="12045" max="12045" width="4.42578125" style="452" bestFit="1" customWidth="1"/>
    <col min="12046" max="12046" width="9.85546875" style="452" bestFit="1" customWidth="1"/>
    <col min="12047" max="12047" width="9.42578125" style="452" bestFit="1" customWidth="1"/>
    <col min="12048" max="12048" width="8.85546875" style="452" customWidth="1"/>
    <col min="12049" max="12049" width="9.140625" style="452"/>
    <col min="12050" max="12050" width="12.85546875" style="452" customWidth="1"/>
    <col min="12051" max="12051" width="9.140625" style="452"/>
    <col min="12052" max="12052" width="11.85546875" style="452" customWidth="1"/>
    <col min="12053" max="12053" width="11" style="452" bestFit="1" customWidth="1"/>
    <col min="12054" max="12054" width="10" style="452" bestFit="1" customWidth="1"/>
    <col min="12055" max="12055" width="9.5703125" style="452" bestFit="1" customWidth="1"/>
    <col min="12056" max="12057" width="10" style="452" bestFit="1" customWidth="1"/>
    <col min="12058" max="12058" width="10.5703125" style="452" bestFit="1" customWidth="1"/>
    <col min="12059" max="12059" width="10" style="452" bestFit="1" customWidth="1"/>
    <col min="12060" max="12060" width="9.140625" style="452"/>
    <col min="12061" max="12061" width="11" style="452" bestFit="1" customWidth="1"/>
    <col min="12062" max="12062" width="9.140625" style="452"/>
    <col min="12063" max="12063" width="10" style="452" bestFit="1" customWidth="1"/>
    <col min="12064" max="12064" width="9.5703125" style="452" bestFit="1" customWidth="1"/>
    <col min="12065" max="12066" width="10.5703125" style="452" bestFit="1" customWidth="1"/>
    <col min="12067" max="12067" width="10" style="452" bestFit="1" customWidth="1"/>
    <col min="12068" max="12068" width="9.140625" style="452"/>
    <col min="12069" max="12070" width="10" style="452" bestFit="1" customWidth="1"/>
    <col min="12071" max="12071" width="10.5703125" style="452" bestFit="1" customWidth="1"/>
    <col min="12072" max="12072" width="10.42578125" style="452" bestFit="1" customWidth="1"/>
    <col min="12073" max="12073" width="9.140625" style="452"/>
    <col min="12074" max="12074" width="9.5703125" style="452" bestFit="1" customWidth="1"/>
    <col min="12075" max="12075" width="10.42578125" style="452" bestFit="1" customWidth="1"/>
    <col min="12076" max="12076" width="10" style="452" bestFit="1" customWidth="1"/>
    <col min="12077" max="12077" width="12.42578125" style="452" bestFit="1" customWidth="1"/>
    <col min="12078" max="12294" width="9.140625" style="452"/>
    <col min="12295" max="12295" width="16.5703125" style="452" bestFit="1" customWidth="1"/>
    <col min="12296" max="12296" width="38.42578125" style="452" bestFit="1" customWidth="1"/>
    <col min="12297" max="12297" width="0" style="452" hidden="1" customWidth="1"/>
    <col min="12298" max="12298" width="36.5703125" style="452" customWidth="1"/>
    <col min="12299" max="12299" width="12.140625" style="452" customWidth="1"/>
    <col min="12300" max="12300" width="7.5703125" style="452" bestFit="1" customWidth="1"/>
    <col min="12301" max="12301" width="4.42578125" style="452" bestFit="1" customWidth="1"/>
    <col min="12302" max="12302" width="9.85546875" style="452" bestFit="1" customWidth="1"/>
    <col min="12303" max="12303" width="9.42578125" style="452" bestFit="1" customWidth="1"/>
    <col min="12304" max="12304" width="8.85546875" style="452" customWidth="1"/>
    <col min="12305" max="12305" width="9.140625" style="452"/>
    <col min="12306" max="12306" width="12.85546875" style="452" customWidth="1"/>
    <col min="12307" max="12307" width="9.140625" style="452"/>
    <col min="12308" max="12308" width="11.85546875" style="452" customWidth="1"/>
    <col min="12309" max="12309" width="11" style="452" bestFit="1" customWidth="1"/>
    <col min="12310" max="12310" width="10" style="452" bestFit="1" customWidth="1"/>
    <col min="12311" max="12311" width="9.5703125" style="452" bestFit="1" customWidth="1"/>
    <col min="12312" max="12313" width="10" style="452" bestFit="1" customWidth="1"/>
    <col min="12314" max="12314" width="10.5703125" style="452" bestFit="1" customWidth="1"/>
    <col min="12315" max="12315" width="10" style="452" bestFit="1" customWidth="1"/>
    <col min="12316" max="12316" width="9.140625" style="452"/>
    <col min="12317" max="12317" width="11" style="452" bestFit="1" customWidth="1"/>
    <col min="12318" max="12318" width="9.140625" style="452"/>
    <col min="12319" max="12319" width="10" style="452" bestFit="1" customWidth="1"/>
    <col min="12320" max="12320" width="9.5703125" style="452" bestFit="1" customWidth="1"/>
    <col min="12321" max="12322" width="10.5703125" style="452" bestFit="1" customWidth="1"/>
    <col min="12323" max="12323" width="10" style="452" bestFit="1" customWidth="1"/>
    <col min="12324" max="12324" width="9.140625" style="452"/>
    <col min="12325" max="12326" width="10" style="452" bestFit="1" customWidth="1"/>
    <col min="12327" max="12327" width="10.5703125" style="452" bestFit="1" customWidth="1"/>
    <col min="12328" max="12328" width="10.42578125" style="452" bestFit="1" customWidth="1"/>
    <col min="12329" max="12329" width="9.140625" style="452"/>
    <col min="12330" max="12330" width="9.5703125" style="452" bestFit="1" customWidth="1"/>
    <col min="12331" max="12331" width="10.42578125" style="452" bestFit="1" customWidth="1"/>
    <col min="12332" max="12332" width="10" style="452" bestFit="1" customWidth="1"/>
    <col min="12333" max="12333" width="12.42578125" style="452" bestFit="1" customWidth="1"/>
    <col min="12334" max="12550" width="9.140625" style="452"/>
    <col min="12551" max="12551" width="16.5703125" style="452" bestFit="1" customWidth="1"/>
    <col min="12552" max="12552" width="38.42578125" style="452" bestFit="1" customWidth="1"/>
    <col min="12553" max="12553" width="0" style="452" hidden="1" customWidth="1"/>
    <col min="12554" max="12554" width="36.5703125" style="452" customWidth="1"/>
    <col min="12555" max="12555" width="12.140625" style="452" customWidth="1"/>
    <col min="12556" max="12556" width="7.5703125" style="452" bestFit="1" customWidth="1"/>
    <col min="12557" max="12557" width="4.42578125" style="452" bestFit="1" customWidth="1"/>
    <col min="12558" max="12558" width="9.85546875" style="452" bestFit="1" customWidth="1"/>
    <col min="12559" max="12559" width="9.42578125" style="452" bestFit="1" customWidth="1"/>
    <col min="12560" max="12560" width="8.85546875" style="452" customWidth="1"/>
    <col min="12561" max="12561" width="9.140625" style="452"/>
    <col min="12562" max="12562" width="12.85546875" style="452" customWidth="1"/>
    <col min="12563" max="12563" width="9.140625" style="452"/>
    <col min="12564" max="12564" width="11.85546875" style="452" customWidth="1"/>
    <col min="12565" max="12565" width="11" style="452" bestFit="1" customWidth="1"/>
    <col min="12566" max="12566" width="10" style="452" bestFit="1" customWidth="1"/>
    <col min="12567" max="12567" width="9.5703125" style="452" bestFit="1" customWidth="1"/>
    <col min="12568" max="12569" width="10" style="452" bestFit="1" customWidth="1"/>
    <col min="12570" max="12570" width="10.5703125" style="452" bestFit="1" customWidth="1"/>
    <col min="12571" max="12571" width="10" style="452" bestFit="1" customWidth="1"/>
    <col min="12572" max="12572" width="9.140625" style="452"/>
    <col min="12573" max="12573" width="11" style="452" bestFit="1" customWidth="1"/>
    <col min="12574" max="12574" width="9.140625" style="452"/>
    <col min="12575" max="12575" width="10" style="452" bestFit="1" customWidth="1"/>
    <col min="12576" max="12576" width="9.5703125" style="452" bestFit="1" customWidth="1"/>
    <col min="12577" max="12578" width="10.5703125" style="452" bestFit="1" customWidth="1"/>
    <col min="12579" max="12579" width="10" style="452" bestFit="1" customWidth="1"/>
    <col min="12580" max="12580" width="9.140625" style="452"/>
    <col min="12581" max="12582" width="10" style="452" bestFit="1" customWidth="1"/>
    <col min="12583" max="12583" width="10.5703125" style="452" bestFit="1" customWidth="1"/>
    <col min="12584" max="12584" width="10.42578125" style="452" bestFit="1" customWidth="1"/>
    <col min="12585" max="12585" width="9.140625" style="452"/>
    <col min="12586" max="12586" width="9.5703125" style="452" bestFit="1" customWidth="1"/>
    <col min="12587" max="12587" width="10.42578125" style="452" bestFit="1" customWidth="1"/>
    <col min="12588" max="12588" width="10" style="452" bestFit="1" customWidth="1"/>
    <col min="12589" max="12589" width="12.42578125" style="452" bestFit="1" customWidth="1"/>
    <col min="12590" max="12806" width="9.140625" style="452"/>
    <col min="12807" max="12807" width="16.5703125" style="452" bestFit="1" customWidth="1"/>
    <col min="12808" max="12808" width="38.42578125" style="452" bestFit="1" customWidth="1"/>
    <col min="12809" max="12809" width="0" style="452" hidden="1" customWidth="1"/>
    <col min="12810" max="12810" width="36.5703125" style="452" customWidth="1"/>
    <col min="12811" max="12811" width="12.140625" style="452" customWidth="1"/>
    <col min="12812" max="12812" width="7.5703125" style="452" bestFit="1" customWidth="1"/>
    <col min="12813" max="12813" width="4.42578125" style="452" bestFit="1" customWidth="1"/>
    <col min="12814" max="12814" width="9.85546875" style="452" bestFit="1" customWidth="1"/>
    <col min="12815" max="12815" width="9.42578125" style="452" bestFit="1" customWidth="1"/>
    <col min="12816" max="12816" width="8.85546875" style="452" customWidth="1"/>
    <col min="12817" max="12817" width="9.140625" style="452"/>
    <col min="12818" max="12818" width="12.85546875" style="452" customWidth="1"/>
    <col min="12819" max="12819" width="9.140625" style="452"/>
    <col min="12820" max="12820" width="11.85546875" style="452" customWidth="1"/>
    <col min="12821" max="12821" width="11" style="452" bestFit="1" customWidth="1"/>
    <col min="12822" max="12822" width="10" style="452" bestFit="1" customWidth="1"/>
    <col min="12823" max="12823" width="9.5703125" style="452" bestFit="1" customWidth="1"/>
    <col min="12824" max="12825" width="10" style="452" bestFit="1" customWidth="1"/>
    <col min="12826" max="12826" width="10.5703125" style="452" bestFit="1" customWidth="1"/>
    <col min="12827" max="12827" width="10" style="452" bestFit="1" customWidth="1"/>
    <col min="12828" max="12828" width="9.140625" style="452"/>
    <col min="12829" max="12829" width="11" style="452" bestFit="1" customWidth="1"/>
    <col min="12830" max="12830" width="9.140625" style="452"/>
    <col min="12831" max="12831" width="10" style="452" bestFit="1" customWidth="1"/>
    <col min="12832" max="12832" width="9.5703125" style="452" bestFit="1" customWidth="1"/>
    <col min="12833" max="12834" width="10.5703125" style="452" bestFit="1" customWidth="1"/>
    <col min="12835" max="12835" width="10" style="452" bestFit="1" customWidth="1"/>
    <col min="12836" max="12836" width="9.140625" style="452"/>
    <col min="12837" max="12838" width="10" style="452" bestFit="1" customWidth="1"/>
    <col min="12839" max="12839" width="10.5703125" style="452" bestFit="1" customWidth="1"/>
    <col min="12840" max="12840" width="10.42578125" style="452" bestFit="1" customWidth="1"/>
    <col min="12841" max="12841" width="9.140625" style="452"/>
    <col min="12842" max="12842" width="9.5703125" style="452" bestFit="1" customWidth="1"/>
    <col min="12843" max="12843" width="10.42578125" style="452" bestFit="1" customWidth="1"/>
    <col min="12844" max="12844" width="10" style="452" bestFit="1" customWidth="1"/>
    <col min="12845" max="12845" width="12.42578125" style="452" bestFit="1" customWidth="1"/>
    <col min="12846" max="13062" width="9.140625" style="452"/>
    <col min="13063" max="13063" width="16.5703125" style="452" bestFit="1" customWidth="1"/>
    <col min="13064" max="13064" width="38.42578125" style="452" bestFit="1" customWidth="1"/>
    <col min="13065" max="13065" width="0" style="452" hidden="1" customWidth="1"/>
    <col min="13066" max="13066" width="36.5703125" style="452" customWidth="1"/>
    <col min="13067" max="13067" width="12.140625" style="452" customWidth="1"/>
    <col min="13068" max="13068" width="7.5703125" style="452" bestFit="1" customWidth="1"/>
    <col min="13069" max="13069" width="4.42578125" style="452" bestFit="1" customWidth="1"/>
    <col min="13070" max="13070" width="9.85546875" style="452" bestFit="1" customWidth="1"/>
    <col min="13071" max="13071" width="9.42578125" style="452" bestFit="1" customWidth="1"/>
    <col min="13072" max="13072" width="8.85546875" style="452" customWidth="1"/>
    <col min="13073" max="13073" width="9.140625" style="452"/>
    <col min="13074" max="13074" width="12.85546875" style="452" customWidth="1"/>
    <col min="13075" max="13075" width="9.140625" style="452"/>
    <col min="13076" max="13076" width="11.85546875" style="452" customWidth="1"/>
    <col min="13077" max="13077" width="11" style="452" bestFit="1" customWidth="1"/>
    <col min="13078" max="13078" width="10" style="452" bestFit="1" customWidth="1"/>
    <col min="13079" max="13079" width="9.5703125" style="452" bestFit="1" customWidth="1"/>
    <col min="13080" max="13081" width="10" style="452" bestFit="1" customWidth="1"/>
    <col min="13082" max="13082" width="10.5703125" style="452" bestFit="1" customWidth="1"/>
    <col min="13083" max="13083" width="10" style="452" bestFit="1" customWidth="1"/>
    <col min="13084" max="13084" width="9.140625" style="452"/>
    <col min="13085" max="13085" width="11" style="452" bestFit="1" customWidth="1"/>
    <col min="13086" max="13086" width="9.140625" style="452"/>
    <col min="13087" max="13087" width="10" style="452" bestFit="1" customWidth="1"/>
    <col min="13088" max="13088" width="9.5703125" style="452" bestFit="1" customWidth="1"/>
    <col min="13089" max="13090" width="10.5703125" style="452" bestFit="1" customWidth="1"/>
    <col min="13091" max="13091" width="10" style="452" bestFit="1" customWidth="1"/>
    <col min="13092" max="13092" width="9.140625" style="452"/>
    <col min="13093" max="13094" width="10" style="452" bestFit="1" customWidth="1"/>
    <col min="13095" max="13095" width="10.5703125" style="452" bestFit="1" customWidth="1"/>
    <col min="13096" max="13096" width="10.42578125" style="452" bestFit="1" customWidth="1"/>
    <col min="13097" max="13097" width="9.140625" style="452"/>
    <col min="13098" max="13098" width="9.5703125" style="452" bestFit="1" customWidth="1"/>
    <col min="13099" max="13099" width="10.42578125" style="452" bestFit="1" customWidth="1"/>
    <col min="13100" max="13100" width="10" style="452" bestFit="1" customWidth="1"/>
    <col min="13101" max="13101" width="12.42578125" style="452" bestFit="1" customWidth="1"/>
    <col min="13102" max="13318" width="9.140625" style="452"/>
    <col min="13319" max="13319" width="16.5703125" style="452" bestFit="1" customWidth="1"/>
    <col min="13320" max="13320" width="38.42578125" style="452" bestFit="1" customWidth="1"/>
    <col min="13321" max="13321" width="0" style="452" hidden="1" customWidth="1"/>
    <col min="13322" max="13322" width="36.5703125" style="452" customWidth="1"/>
    <col min="13323" max="13323" width="12.140625" style="452" customWidth="1"/>
    <col min="13324" max="13324" width="7.5703125" style="452" bestFit="1" customWidth="1"/>
    <col min="13325" max="13325" width="4.42578125" style="452" bestFit="1" customWidth="1"/>
    <col min="13326" max="13326" width="9.85546875" style="452" bestFit="1" customWidth="1"/>
    <col min="13327" max="13327" width="9.42578125" style="452" bestFit="1" customWidth="1"/>
    <col min="13328" max="13328" width="8.85546875" style="452" customWidth="1"/>
    <col min="13329" max="13329" width="9.140625" style="452"/>
    <col min="13330" max="13330" width="12.85546875" style="452" customWidth="1"/>
    <col min="13331" max="13331" width="9.140625" style="452"/>
    <col min="13332" max="13332" width="11.85546875" style="452" customWidth="1"/>
    <col min="13333" max="13333" width="11" style="452" bestFit="1" customWidth="1"/>
    <col min="13334" max="13334" width="10" style="452" bestFit="1" customWidth="1"/>
    <col min="13335" max="13335" width="9.5703125" style="452" bestFit="1" customWidth="1"/>
    <col min="13336" max="13337" width="10" style="452" bestFit="1" customWidth="1"/>
    <col min="13338" max="13338" width="10.5703125" style="452" bestFit="1" customWidth="1"/>
    <col min="13339" max="13339" width="10" style="452" bestFit="1" customWidth="1"/>
    <col min="13340" max="13340" width="9.140625" style="452"/>
    <col min="13341" max="13341" width="11" style="452" bestFit="1" customWidth="1"/>
    <col min="13342" max="13342" width="9.140625" style="452"/>
    <col min="13343" max="13343" width="10" style="452" bestFit="1" customWidth="1"/>
    <col min="13344" max="13344" width="9.5703125" style="452" bestFit="1" customWidth="1"/>
    <col min="13345" max="13346" width="10.5703125" style="452" bestFit="1" customWidth="1"/>
    <col min="13347" max="13347" width="10" style="452" bestFit="1" customWidth="1"/>
    <col min="13348" max="13348" width="9.140625" style="452"/>
    <col min="13349" max="13350" width="10" style="452" bestFit="1" customWidth="1"/>
    <col min="13351" max="13351" width="10.5703125" style="452" bestFit="1" customWidth="1"/>
    <col min="13352" max="13352" width="10.42578125" style="452" bestFit="1" customWidth="1"/>
    <col min="13353" max="13353" width="9.140625" style="452"/>
    <col min="13354" max="13354" width="9.5703125" style="452" bestFit="1" customWidth="1"/>
    <col min="13355" max="13355" width="10.42578125" style="452" bestFit="1" customWidth="1"/>
    <col min="13356" max="13356" width="10" style="452" bestFit="1" customWidth="1"/>
    <col min="13357" max="13357" width="12.42578125" style="452" bestFit="1" customWidth="1"/>
    <col min="13358" max="13574" width="9.140625" style="452"/>
    <col min="13575" max="13575" width="16.5703125" style="452" bestFit="1" customWidth="1"/>
    <col min="13576" max="13576" width="38.42578125" style="452" bestFit="1" customWidth="1"/>
    <col min="13577" max="13577" width="0" style="452" hidden="1" customWidth="1"/>
    <col min="13578" max="13578" width="36.5703125" style="452" customWidth="1"/>
    <col min="13579" max="13579" width="12.140625" style="452" customWidth="1"/>
    <col min="13580" max="13580" width="7.5703125" style="452" bestFit="1" customWidth="1"/>
    <col min="13581" max="13581" width="4.42578125" style="452" bestFit="1" customWidth="1"/>
    <col min="13582" max="13582" width="9.85546875" style="452" bestFit="1" customWidth="1"/>
    <col min="13583" max="13583" width="9.42578125" style="452" bestFit="1" customWidth="1"/>
    <col min="13584" max="13584" width="8.85546875" style="452" customWidth="1"/>
    <col min="13585" max="13585" width="9.140625" style="452"/>
    <col min="13586" max="13586" width="12.85546875" style="452" customWidth="1"/>
    <col min="13587" max="13587" width="9.140625" style="452"/>
    <col min="13588" max="13588" width="11.85546875" style="452" customWidth="1"/>
    <col min="13589" max="13589" width="11" style="452" bestFit="1" customWidth="1"/>
    <col min="13590" max="13590" width="10" style="452" bestFit="1" customWidth="1"/>
    <col min="13591" max="13591" width="9.5703125" style="452" bestFit="1" customWidth="1"/>
    <col min="13592" max="13593" width="10" style="452" bestFit="1" customWidth="1"/>
    <col min="13594" max="13594" width="10.5703125" style="452" bestFit="1" customWidth="1"/>
    <col min="13595" max="13595" width="10" style="452" bestFit="1" customWidth="1"/>
    <col min="13596" max="13596" width="9.140625" style="452"/>
    <col min="13597" max="13597" width="11" style="452" bestFit="1" customWidth="1"/>
    <col min="13598" max="13598" width="9.140625" style="452"/>
    <col min="13599" max="13599" width="10" style="452" bestFit="1" customWidth="1"/>
    <col min="13600" max="13600" width="9.5703125" style="452" bestFit="1" customWidth="1"/>
    <col min="13601" max="13602" width="10.5703125" style="452" bestFit="1" customWidth="1"/>
    <col min="13603" max="13603" width="10" style="452" bestFit="1" customWidth="1"/>
    <col min="13604" max="13604" width="9.140625" style="452"/>
    <col min="13605" max="13606" width="10" style="452" bestFit="1" customWidth="1"/>
    <col min="13607" max="13607" width="10.5703125" style="452" bestFit="1" customWidth="1"/>
    <col min="13608" max="13608" width="10.42578125" style="452" bestFit="1" customWidth="1"/>
    <col min="13609" max="13609" width="9.140625" style="452"/>
    <col min="13610" max="13610" width="9.5703125" style="452" bestFit="1" customWidth="1"/>
    <col min="13611" max="13611" width="10.42578125" style="452" bestFit="1" customWidth="1"/>
    <col min="13612" max="13612" width="10" style="452" bestFit="1" customWidth="1"/>
    <col min="13613" max="13613" width="12.42578125" style="452" bestFit="1" customWidth="1"/>
    <col min="13614" max="13830" width="9.140625" style="452"/>
    <col min="13831" max="13831" width="16.5703125" style="452" bestFit="1" customWidth="1"/>
    <col min="13832" max="13832" width="38.42578125" style="452" bestFit="1" customWidth="1"/>
    <col min="13833" max="13833" width="0" style="452" hidden="1" customWidth="1"/>
    <col min="13834" max="13834" width="36.5703125" style="452" customWidth="1"/>
    <col min="13835" max="13835" width="12.140625" style="452" customWidth="1"/>
    <col min="13836" max="13836" width="7.5703125" style="452" bestFit="1" customWidth="1"/>
    <col min="13837" max="13837" width="4.42578125" style="452" bestFit="1" customWidth="1"/>
    <col min="13838" max="13838" width="9.85546875" style="452" bestFit="1" customWidth="1"/>
    <col min="13839" max="13839" width="9.42578125" style="452" bestFit="1" customWidth="1"/>
    <col min="13840" max="13840" width="8.85546875" style="452" customWidth="1"/>
    <col min="13841" max="13841" width="9.140625" style="452"/>
    <col min="13842" max="13842" width="12.85546875" style="452" customWidth="1"/>
    <col min="13843" max="13843" width="9.140625" style="452"/>
    <col min="13844" max="13844" width="11.85546875" style="452" customWidth="1"/>
    <col min="13845" max="13845" width="11" style="452" bestFit="1" customWidth="1"/>
    <col min="13846" max="13846" width="10" style="452" bestFit="1" customWidth="1"/>
    <col min="13847" max="13847" width="9.5703125" style="452" bestFit="1" customWidth="1"/>
    <col min="13848" max="13849" width="10" style="452" bestFit="1" customWidth="1"/>
    <col min="13850" max="13850" width="10.5703125" style="452" bestFit="1" customWidth="1"/>
    <col min="13851" max="13851" width="10" style="452" bestFit="1" customWidth="1"/>
    <col min="13852" max="13852" width="9.140625" style="452"/>
    <col min="13853" max="13853" width="11" style="452" bestFit="1" customWidth="1"/>
    <col min="13854" max="13854" width="9.140625" style="452"/>
    <col min="13855" max="13855" width="10" style="452" bestFit="1" customWidth="1"/>
    <col min="13856" max="13856" width="9.5703125" style="452" bestFit="1" customWidth="1"/>
    <col min="13857" max="13858" width="10.5703125" style="452" bestFit="1" customWidth="1"/>
    <col min="13859" max="13859" width="10" style="452" bestFit="1" customWidth="1"/>
    <col min="13860" max="13860" width="9.140625" style="452"/>
    <col min="13861" max="13862" width="10" style="452" bestFit="1" customWidth="1"/>
    <col min="13863" max="13863" width="10.5703125" style="452" bestFit="1" customWidth="1"/>
    <col min="13864" max="13864" width="10.42578125" style="452" bestFit="1" customWidth="1"/>
    <col min="13865" max="13865" width="9.140625" style="452"/>
    <col min="13866" max="13866" width="9.5703125" style="452" bestFit="1" customWidth="1"/>
    <col min="13867" max="13867" width="10.42578125" style="452" bestFit="1" customWidth="1"/>
    <col min="13868" max="13868" width="10" style="452" bestFit="1" customWidth="1"/>
    <col min="13869" max="13869" width="12.42578125" style="452" bestFit="1" customWidth="1"/>
    <col min="13870" max="14086" width="9.140625" style="452"/>
    <col min="14087" max="14087" width="16.5703125" style="452" bestFit="1" customWidth="1"/>
    <col min="14088" max="14088" width="38.42578125" style="452" bestFit="1" customWidth="1"/>
    <col min="14089" max="14089" width="0" style="452" hidden="1" customWidth="1"/>
    <col min="14090" max="14090" width="36.5703125" style="452" customWidth="1"/>
    <col min="14091" max="14091" width="12.140625" style="452" customWidth="1"/>
    <col min="14092" max="14092" width="7.5703125" style="452" bestFit="1" customWidth="1"/>
    <col min="14093" max="14093" width="4.42578125" style="452" bestFit="1" customWidth="1"/>
    <col min="14094" max="14094" width="9.85546875" style="452" bestFit="1" customWidth="1"/>
    <col min="14095" max="14095" width="9.42578125" style="452" bestFit="1" customWidth="1"/>
    <col min="14096" max="14096" width="8.85546875" style="452" customWidth="1"/>
    <col min="14097" max="14097" width="9.140625" style="452"/>
    <col min="14098" max="14098" width="12.85546875" style="452" customWidth="1"/>
    <col min="14099" max="14099" width="9.140625" style="452"/>
    <col min="14100" max="14100" width="11.85546875" style="452" customWidth="1"/>
    <col min="14101" max="14101" width="11" style="452" bestFit="1" customWidth="1"/>
    <col min="14102" max="14102" width="10" style="452" bestFit="1" customWidth="1"/>
    <col min="14103" max="14103" width="9.5703125" style="452" bestFit="1" customWidth="1"/>
    <col min="14104" max="14105" width="10" style="452" bestFit="1" customWidth="1"/>
    <col min="14106" max="14106" width="10.5703125" style="452" bestFit="1" customWidth="1"/>
    <col min="14107" max="14107" width="10" style="452" bestFit="1" customWidth="1"/>
    <col min="14108" max="14108" width="9.140625" style="452"/>
    <col min="14109" max="14109" width="11" style="452" bestFit="1" customWidth="1"/>
    <col min="14110" max="14110" width="9.140625" style="452"/>
    <col min="14111" max="14111" width="10" style="452" bestFit="1" customWidth="1"/>
    <col min="14112" max="14112" width="9.5703125" style="452" bestFit="1" customWidth="1"/>
    <col min="14113" max="14114" width="10.5703125" style="452" bestFit="1" customWidth="1"/>
    <col min="14115" max="14115" width="10" style="452" bestFit="1" customWidth="1"/>
    <col min="14116" max="14116" width="9.140625" style="452"/>
    <col min="14117" max="14118" width="10" style="452" bestFit="1" customWidth="1"/>
    <col min="14119" max="14119" width="10.5703125" style="452" bestFit="1" customWidth="1"/>
    <col min="14120" max="14120" width="10.42578125" style="452" bestFit="1" customWidth="1"/>
    <col min="14121" max="14121" width="9.140625" style="452"/>
    <col min="14122" max="14122" width="9.5703125" style="452" bestFit="1" customWidth="1"/>
    <col min="14123" max="14123" width="10.42578125" style="452" bestFit="1" customWidth="1"/>
    <col min="14124" max="14124" width="10" style="452" bestFit="1" customWidth="1"/>
    <col min="14125" max="14125" width="12.42578125" style="452" bestFit="1" customWidth="1"/>
    <col min="14126" max="14342" width="9.140625" style="452"/>
    <col min="14343" max="14343" width="16.5703125" style="452" bestFit="1" customWidth="1"/>
    <col min="14344" max="14344" width="38.42578125" style="452" bestFit="1" customWidth="1"/>
    <col min="14345" max="14345" width="0" style="452" hidden="1" customWidth="1"/>
    <col min="14346" max="14346" width="36.5703125" style="452" customWidth="1"/>
    <col min="14347" max="14347" width="12.140625" style="452" customWidth="1"/>
    <col min="14348" max="14348" width="7.5703125" style="452" bestFit="1" customWidth="1"/>
    <col min="14349" max="14349" width="4.42578125" style="452" bestFit="1" customWidth="1"/>
    <col min="14350" max="14350" width="9.85546875" style="452" bestFit="1" customWidth="1"/>
    <col min="14351" max="14351" width="9.42578125" style="452" bestFit="1" customWidth="1"/>
    <col min="14352" max="14352" width="8.85546875" style="452" customWidth="1"/>
    <col min="14353" max="14353" width="9.140625" style="452"/>
    <col min="14354" max="14354" width="12.85546875" style="452" customWidth="1"/>
    <col min="14355" max="14355" width="9.140625" style="452"/>
    <col min="14356" max="14356" width="11.85546875" style="452" customWidth="1"/>
    <col min="14357" max="14357" width="11" style="452" bestFit="1" customWidth="1"/>
    <col min="14358" max="14358" width="10" style="452" bestFit="1" customWidth="1"/>
    <col min="14359" max="14359" width="9.5703125" style="452" bestFit="1" customWidth="1"/>
    <col min="14360" max="14361" width="10" style="452" bestFit="1" customWidth="1"/>
    <col min="14362" max="14362" width="10.5703125" style="452" bestFit="1" customWidth="1"/>
    <col min="14363" max="14363" width="10" style="452" bestFit="1" customWidth="1"/>
    <col min="14364" max="14364" width="9.140625" style="452"/>
    <col min="14365" max="14365" width="11" style="452" bestFit="1" customWidth="1"/>
    <col min="14366" max="14366" width="9.140625" style="452"/>
    <col min="14367" max="14367" width="10" style="452" bestFit="1" customWidth="1"/>
    <col min="14368" max="14368" width="9.5703125" style="452" bestFit="1" customWidth="1"/>
    <col min="14369" max="14370" width="10.5703125" style="452" bestFit="1" customWidth="1"/>
    <col min="14371" max="14371" width="10" style="452" bestFit="1" customWidth="1"/>
    <col min="14372" max="14372" width="9.140625" style="452"/>
    <col min="14373" max="14374" width="10" style="452" bestFit="1" customWidth="1"/>
    <col min="14375" max="14375" width="10.5703125" style="452" bestFit="1" customWidth="1"/>
    <col min="14376" max="14376" width="10.42578125" style="452" bestFit="1" customWidth="1"/>
    <col min="14377" max="14377" width="9.140625" style="452"/>
    <col min="14378" max="14378" width="9.5703125" style="452" bestFit="1" customWidth="1"/>
    <col min="14379" max="14379" width="10.42578125" style="452" bestFit="1" customWidth="1"/>
    <col min="14380" max="14380" width="10" style="452" bestFit="1" customWidth="1"/>
    <col min="14381" max="14381" width="12.42578125" style="452" bestFit="1" customWidth="1"/>
    <col min="14382" max="14598" width="9.140625" style="452"/>
    <col min="14599" max="14599" width="16.5703125" style="452" bestFit="1" customWidth="1"/>
    <col min="14600" max="14600" width="38.42578125" style="452" bestFit="1" customWidth="1"/>
    <col min="14601" max="14601" width="0" style="452" hidden="1" customWidth="1"/>
    <col min="14602" max="14602" width="36.5703125" style="452" customWidth="1"/>
    <col min="14603" max="14603" width="12.140625" style="452" customWidth="1"/>
    <col min="14604" max="14604" width="7.5703125" style="452" bestFit="1" customWidth="1"/>
    <col min="14605" max="14605" width="4.42578125" style="452" bestFit="1" customWidth="1"/>
    <col min="14606" max="14606" width="9.85546875" style="452" bestFit="1" customWidth="1"/>
    <col min="14607" max="14607" width="9.42578125" style="452" bestFit="1" customWidth="1"/>
    <col min="14608" max="14608" width="8.85546875" style="452" customWidth="1"/>
    <col min="14609" max="14609" width="9.140625" style="452"/>
    <col min="14610" max="14610" width="12.85546875" style="452" customWidth="1"/>
    <col min="14611" max="14611" width="9.140625" style="452"/>
    <col min="14612" max="14612" width="11.85546875" style="452" customWidth="1"/>
    <col min="14613" max="14613" width="11" style="452" bestFit="1" customWidth="1"/>
    <col min="14614" max="14614" width="10" style="452" bestFit="1" customWidth="1"/>
    <col min="14615" max="14615" width="9.5703125" style="452" bestFit="1" customWidth="1"/>
    <col min="14616" max="14617" width="10" style="452" bestFit="1" customWidth="1"/>
    <col min="14618" max="14618" width="10.5703125" style="452" bestFit="1" customWidth="1"/>
    <col min="14619" max="14619" width="10" style="452" bestFit="1" customWidth="1"/>
    <col min="14620" max="14620" width="9.140625" style="452"/>
    <col min="14621" max="14621" width="11" style="452" bestFit="1" customWidth="1"/>
    <col min="14622" max="14622" width="9.140625" style="452"/>
    <col min="14623" max="14623" width="10" style="452" bestFit="1" customWidth="1"/>
    <col min="14624" max="14624" width="9.5703125" style="452" bestFit="1" customWidth="1"/>
    <col min="14625" max="14626" width="10.5703125" style="452" bestFit="1" customWidth="1"/>
    <col min="14627" max="14627" width="10" style="452" bestFit="1" customWidth="1"/>
    <col min="14628" max="14628" width="9.140625" style="452"/>
    <col min="14629" max="14630" width="10" style="452" bestFit="1" customWidth="1"/>
    <col min="14631" max="14631" width="10.5703125" style="452" bestFit="1" customWidth="1"/>
    <col min="14632" max="14632" width="10.42578125" style="452" bestFit="1" customWidth="1"/>
    <col min="14633" max="14633" width="9.140625" style="452"/>
    <col min="14634" max="14634" width="9.5703125" style="452" bestFit="1" customWidth="1"/>
    <col min="14635" max="14635" width="10.42578125" style="452" bestFit="1" customWidth="1"/>
    <col min="14636" max="14636" width="10" style="452" bestFit="1" customWidth="1"/>
    <col min="14637" max="14637" width="12.42578125" style="452" bestFit="1" customWidth="1"/>
    <col min="14638" max="14854" width="9.140625" style="452"/>
    <col min="14855" max="14855" width="16.5703125" style="452" bestFit="1" customWidth="1"/>
    <col min="14856" max="14856" width="38.42578125" style="452" bestFit="1" customWidth="1"/>
    <col min="14857" max="14857" width="0" style="452" hidden="1" customWidth="1"/>
    <col min="14858" max="14858" width="36.5703125" style="452" customWidth="1"/>
    <col min="14859" max="14859" width="12.140625" style="452" customWidth="1"/>
    <col min="14860" max="14860" width="7.5703125" style="452" bestFit="1" customWidth="1"/>
    <col min="14861" max="14861" width="4.42578125" style="452" bestFit="1" customWidth="1"/>
    <col min="14862" max="14862" width="9.85546875" style="452" bestFit="1" customWidth="1"/>
    <col min="14863" max="14863" width="9.42578125" style="452" bestFit="1" customWidth="1"/>
    <col min="14864" max="14864" width="8.85546875" style="452" customWidth="1"/>
    <col min="14865" max="14865" width="9.140625" style="452"/>
    <col min="14866" max="14866" width="12.85546875" style="452" customWidth="1"/>
    <col min="14867" max="14867" width="9.140625" style="452"/>
    <col min="14868" max="14868" width="11.85546875" style="452" customWidth="1"/>
    <col min="14869" max="14869" width="11" style="452" bestFit="1" customWidth="1"/>
    <col min="14870" max="14870" width="10" style="452" bestFit="1" customWidth="1"/>
    <col min="14871" max="14871" width="9.5703125" style="452" bestFit="1" customWidth="1"/>
    <col min="14872" max="14873" width="10" style="452" bestFit="1" customWidth="1"/>
    <col min="14874" max="14874" width="10.5703125" style="452" bestFit="1" customWidth="1"/>
    <col min="14875" max="14875" width="10" style="452" bestFit="1" customWidth="1"/>
    <col min="14876" max="14876" width="9.140625" style="452"/>
    <col min="14877" max="14877" width="11" style="452" bestFit="1" customWidth="1"/>
    <col min="14878" max="14878" width="9.140625" style="452"/>
    <col min="14879" max="14879" width="10" style="452" bestFit="1" customWidth="1"/>
    <col min="14880" max="14880" width="9.5703125" style="452" bestFit="1" customWidth="1"/>
    <col min="14881" max="14882" width="10.5703125" style="452" bestFit="1" customWidth="1"/>
    <col min="14883" max="14883" width="10" style="452" bestFit="1" customWidth="1"/>
    <col min="14884" max="14884" width="9.140625" style="452"/>
    <col min="14885" max="14886" width="10" style="452" bestFit="1" customWidth="1"/>
    <col min="14887" max="14887" width="10.5703125" style="452" bestFit="1" customWidth="1"/>
    <col min="14888" max="14888" width="10.42578125" style="452" bestFit="1" customWidth="1"/>
    <col min="14889" max="14889" width="9.140625" style="452"/>
    <col min="14890" max="14890" width="9.5703125" style="452" bestFit="1" customWidth="1"/>
    <col min="14891" max="14891" width="10.42578125" style="452" bestFit="1" customWidth="1"/>
    <col min="14892" max="14892" width="10" style="452" bestFit="1" customWidth="1"/>
    <col min="14893" max="14893" width="12.42578125" style="452" bestFit="1" customWidth="1"/>
    <col min="14894" max="15110" width="9.140625" style="452"/>
    <col min="15111" max="15111" width="16.5703125" style="452" bestFit="1" customWidth="1"/>
    <col min="15112" max="15112" width="38.42578125" style="452" bestFit="1" customWidth="1"/>
    <col min="15113" max="15113" width="0" style="452" hidden="1" customWidth="1"/>
    <col min="15114" max="15114" width="36.5703125" style="452" customWidth="1"/>
    <col min="15115" max="15115" width="12.140625" style="452" customWidth="1"/>
    <col min="15116" max="15116" width="7.5703125" style="452" bestFit="1" customWidth="1"/>
    <col min="15117" max="15117" width="4.42578125" style="452" bestFit="1" customWidth="1"/>
    <col min="15118" max="15118" width="9.85546875" style="452" bestFit="1" customWidth="1"/>
    <col min="15119" max="15119" width="9.42578125" style="452" bestFit="1" customWidth="1"/>
    <col min="15120" max="15120" width="8.85546875" style="452" customWidth="1"/>
    <col min="15121" max="15121" width="9.140625" style="452"/>
    <col min="15122" max="15122" width="12.85546875" style="452" customWidth="1"/>
    <col min="15123" max="15123" width="9.140625" style="452"/>
    <col min="15124" max="15124" width="11.85546875" style="452" customWidth="1"/>
    <col min="15125" max="15125" width="11" style="452" bestFit="1" customWidth="1"/>
    <col min="15126" max="15126" width="10" style="452" bestFit="1" customWidth="1"/>
    <col min="15127" max="15127" width="9.5703125" style="452" bestFit="1" customWidth="1"/>
    <col min="15128" max="15129" width="10" style="452" bestFit="1" customWidth="1"/>
    <col min="15130" max="15130" width="10.5703125" style="452" bestFit="1" customWidth="1"/>
    <col min="15131" max="15131" width="10" style="452" bestFit="1" customWidth="1"/>
    <col min="15132" max="15132" width="9.140625" style="452"/>
    <col min="15133" max="15133" width="11" style="452" bestFit="1" customWidth="1"/>
    <col min="15134" max="15134" width="9.140625" style="452"/>
    <col min="15135" max="15135" width="10" style="452" bestFit="1" customWidth="1"/>
    <col min="15136" max="15136" width="9.5703125" style="452" bestFit="1" customWidth="1"/>
    <col min="15137" max="15138" width="10.5703125" style="452" bestFit="1" customWidth="1"/>
    <col min="15139" max="15139" width="10" style="452" bestFit="1" customWidth="1"/>
    <col min="15140" max="15140" width="9.140625" style="452"/>
    <col min="15141" max="15142" width="10" style="452" bestFit="1" customWidth="1"/>
    <col min="15143" max="15143" width="10.5703125" style="452" bestFit="1" customWidth="1"/>
    <col min="15144" max="15144" width="10.42578125" style="452" bestFit="1" customWidth="1"/>
    <col min="15145" max="15145" width="9.140625" style="452"/>
    <col min="15146" max="15146" width="9.5703125" style="452" bestFit="1" customWidth="1"/>
    <col min="15147" max="15147" width="10.42578125" style="452" bestFit="1" customWidth="1"/>
    <col min="15148" max="15148" width="10" style="452" bestFit="1" customWidth="1"/>
    <col min="15149" max="15149" width="12.42578125" style="452" bestFit="1" customWidth="1"/>
    <col min="15150" max="15366" width="9.140625" style="452"/>
    <col min="15367" max="15367" width="16.5703125" style="452" bestFit="1" customWidth="1"/>
    <col min="15368" max="15368" width="38.42578125" style="452" bestFit="1" customWidth="1"/>
    <col min="15369" max="15369" width="0" style="452" hidden="1" customWidth="1"/>
    <col min="15370" max="15370" width="36.5703125" style="452" customWidth="1"/>
    <col min="15371" max="15371" width="12.140625" style="452" customWidth="1"/>
    <col min="15372" max="15372" width="7.5703125" style="452" bestFit="1" customWidth="1"/>
    <col min="15373" max="15373" width="4.42578125" style="452" bestFit="1" customWidth="1"/>
    <col min="15374" max="15374" width="9.85546875" style="452" bestFit="1" customWidth="1"/>
    <col min="15375" max="15375" width="9.42578125" style="452" bestFit="1" customWidth="1"/>
    <col min="15376" max="15376" width="8.85546875" style="452" customWidth="1"/>
    <col min="15377" max="15377" width="9.140625" style="452"/>
    <col min="15378" max="15378" width="12.85546875" style="452" customWidth="1"/>
    <col min="15379" max="15379" width="9.140625" style="452"/>
    <col min="15380" max="15380" width="11.85546875" style="452" customWidth="1"/>
    <col min="15381" max="15381" width="11" style="452" bestFit="1" customWidth="1"/>
    <col min="15382" max="15382" width="10" style="452" bestFit="1" customWidth="1"/>
    <col min="15383" max="15383" width="9.5703125" style="452" bestFit="1" customWidth="1"/>
    <col min="15384" max="15385" width="10" style="452" bestFit="1" customWidth="1"/>
    <col min="15386" max="15386" width="10.5703125" style="452" bestFit="1" customWidth="1"/>
    <col min="15387" max="15387" width="10" style="452" bestFit="1" customWidth="1"/>
    <col min="15388" max="15388" width="9.140625" style="452"/>
    <col min="15389" max="15389" width="11" style="452" bestFit="1" customWidth="1"/>
    <col min="15390" max="15390" width="9.140625" style="452"/>
    <col min="15391" max="15391" width="10" style="452" bestFit="1" customWidth="1"/>
    <col min="15392" max="15392" width="9.5703125" style="452" bestFit="1" customWidth="1"/>
    <col min="15393" max="15394" width="10.5703125" style="452" bestFit="1" customWidth="1"/>
    <col min="15395" max="15395" width="10" style="452" bestFit="1" customWidth="1"/>
    <col min="15396" max="15396" width="9.140625" style="452"/>
    <col min="15397" max="15398" width="10" style="452" bestFit="1" customWidth="1"/>
    <col min="15399" max="15399" width="10.5703125" style="452" bestFit="1" customWidth="1"/>
    <col min="15400" max="15400" width="10.42578125" style="452" bestFit="1" customWidth="1"/>
    <col min="15401" max="15401" width="9.140625" style="452"/>
    <col min="15402" max="15402" width="9.5703125" style="452" bestFit="1" customWidth="1"/>
    <col min="15403" max="15403" width="10.42578125" style="452" bestFit="1" customWidth="1"/>
    <col min="15404" max="15404" width="10" style="452" bestFit="1" customWidth="1"/>
    <col min="15405" max="15405" width="12.42578125" style="452" bestFit="1" customWidth="1"/>
    <col min="15406" max="15622" width="9.140625" style="452"/>
    <col min="15623" max="15623" width="16.5703125" style="452" bestFit="1" customWidth="1"/>
    <col min="15624" max="15624" width="38.42578125" style="452" bestFit="1" customWidth="1"/>
    <col min="15625" max="15625" width="0" style="452" hidden="1" customWidth="1"/>
    <col min="15626" max="15626" width="36.5703125" style="452" customWidth="1"/>
    <col min="15627" max="15627" width="12.140625" style="452" customWidth="1"/>
    <col min="15628" max="15628" width="7.5703125" style="452" bestFit="1" customWidth="1"/>
    <col min="15629" max="15629" width="4.42578125" style="452" bestFit="1" customWidth="1"/>
    <col min="15630" max="15630" width="9.85546875" style="452" bestFit="1" customWidth="1"/>
    <col min="15631" max="15631" width="9.42578125" style="452" bestFit="1" customWidth="1"/>
    <col min="15632" max="15632" width="8.85546875" style="452" customWidth="1"/>
    <col min="15633" max="15633" width="9.140625" style="452"/>
    <col min="15634" max="15634" width="12.85546875" style="452" customWidth="1"/>
    <col min="15635" max="15635" width="9.140625" style="452"/>
    <col min="15636" max="15636" width="11.85546875" style="452" customWidth="1"/>
    <col min="15637" max="15637" width="11" style="452" bestFit="1" customWidth="1"/>
    <col min="15638" max="15638" width="10" style="452" bestFit="1" customWidth="1"/>
    <col min="15639" max="15639" width="9.5703125" style="452" bestFit="1" customWidth="1"/>
    <col min="15640" max="15641" width="10" style="452" bestFit="1" customWidth="1"/>
    <col min="15642" max="15642" width="10.5703125" style="452" bestFit="1" customWidth="1"/>
    <col min="15643" max="15643" width="10" style="452" bestFit="1" customWidth="1"/>
    <col min="15644" max="15644" width="9.140625" style="452"/>
    <col min="15645" max="15645" width="11" style="452" bestFit="1" customWidth="1"/>
    <col min="15646" max="15646" width="9.140625" style="452"/>
    <col min="15647" max="15647" width="10" style="452" bestFit="1" customWidth="1"/>
    <col min="15648" max="15648" width="9.5703125" style="452" bestFit="1" customWidth="1"/>
    <col min="15649" max="15650" width="10.5703125" style="452" bestFit="1" customWidth="1"/>
    <col min="15651" max="15651" width="10" style="452" bestFit="1" customWidth="1"/>
    <col min="15652" max="15652" width="9.140625" style="452"/>
    <col min="15653" max="15654" width="10" style="452" bestFit="1" customWidth="1"/>
    <col min="15655" max="15655" width="10.5703125" style="452" bestFit="1" customWidth="1"/>
    <col min="15656" max="15656" width="10.42578125" style="452" bestFit="1" customWidth="1"/>
    <col min="15657" max="15657" width="9.140625" style="452"/>
    <col min="15658" max="15658" width="9.5703125" style="452" bestFit="1" customWidth="1"/>
    <col min="15659" max="15659" width="10.42578125" style="452" bestFit="1" customWidth="1"/>
    <col min="15660" max="15660" width="10" style="452" bestFit="1" customWidth="1"/>
    <col min="15661" max="15661" width="12.42578125" style="452" bestFit="1" customWidth="1"/>
    <col min="15662" max="15878" width="9.140625" style="452"/>
    <col min="15879" max="15879" width="16.5703125" style="452" bestFit="1" customWidth="1"/>
    <col min="15880" max="15880" width="38.42578125" style="452" bestFit="1" customWidth="1"/>
    <col min="15881" max="15881" width="0" style="452" hidden="1" customWidth="1"/>
    <col min="15882" max="15882" width="36.5703125" style="452" customWidth="1"/>
    <col min="15883" max="15883" width="12.140625" style="452" customWidth="1"/>
    <col min="15884" max="15884" width="7.5703125" style="452" bestFit="1" customWidth="1"/>
    <col min="15885" max="15885" width="4.42578125" style="452" bestFit="1" customWidth="1"/>
    <col min="15886" max="15886" width="9.85546875" style="452" bestFit="1" customWidth="1"/>
    <col min="15887" max="15887" width="9.42578125" style="452" bestFit="1" customWidth="1"/>
    <col min="15888" max="15888" width="8.85546875" style="452" customWidth="1"/>
    <col min="15889" max="15889" width="9.140625" style="452"/>
    <col min="15890" max="15890" width="12.85546875" style="452" customWidth="1"/>
    <col min="15891" max="15891" width="9.140625" style="452"/>
    <col min="15892" max="15892" width="11.85546875" style="452" customWidth="1"/>
    <col min="15893" max="15893" width="11" style="452" bestFit="1" customWidth="1"/>
    <col min="15894" max="15894" width="10" style="452" bestFit="1" customWidth="1"/>
    <col min="15895" max="15895" width="9.5703125" style="452" bestFit="1" customWidth="1"/>
    <col min="15896" max="15897" width="10" style="452" bestFit="1" customWidth="1"/>
    <col min="15898" max="15898" width="10.5703125" style="452" bestFit="1" customWidth="1"/>
    <col min="15899" max="15899" width="10" style="452" bestFit="1" customWidth="1"/>
    <col min="15900" max="15900" width="9.140625" style="452"/>
    <col min="15901" max="15901" width="11" style="452" bestFit="1" customWidth="1"/>
    <col min="15902" max="15902" width="9.140625" style="452"/>
    <col min="15903" max="15903" width="10" style="452" bestFit="1" customWidth="1"/>
    <col min="15904" max="15904" width="9.5703125" style="452" bestFit="1" customWidth="1"/>
    <col min="15905" max="15906" width="10.5703125" style="452" bestFit="1" customWidth="1"/>
    <col min="15907" max="15907" width="10" style="452" bestFit="1" customWidth="1"/>
    <col min="15908" max="15908" width="9.140625" style="452"/>
    <col min="15909" max="15910" width="10" style="452" bestFit="1" customWidth="1"/>
    <col min="15911" max="15911" width="10.5703125" style="452" bestFit="1" customWidth="1"/>
    <col min="15912" max="15912" width="10.42578125" style="452" bestFit="1" customWidth="1"/>
    <col min="15913" max="15913" width="9.140625" style="452"/>
    <col min="15914" max="15914" width="9.5703125" style="452" bestFit="1" customWidth="1"/>
    <col min="15915" max="15915" width="10.42578125" style="452" bestFit="1" customWidth="1"/>
    <col min="15916" max="15916" width="10" style="452" bestFit="1" customWidth="1"/>
    <col min="15917" max="15917" width="12.42578125" style="452" bestFit="1" customWidth="1"/>
    <col min="15918" max="16134" width="9.140625" style="452"/>
    <col min="16135" max="16135" width="16.5703125" style="452" bestFit="1" customWidth="1"/>
    <col min="16136" max="16136" width="38.42578125" style="452" bestFit="1" customWidth="1"/>
    <col min="16137" max="16137" width="0" style="452" hidden="1" customWidth="1"/>
    <col min="16138" max="16138" width="36.5703125" style="452" customWidth="1"/>
    <col min="16139" max="16139" width="12.140625" style="452" customWidth="1"/>
    <col min="16140" max="16140" width="7.5703125" style="452" bestFit="1" customWidth="1"/>
    <col min="16141" max="16141" width="4.42578125" style="452" bestFit="1" customWidth="1"/>
    <col min="16142" max="16142" width="9.85546875" style="452" bestFit="1" customWidth="1"/>
    <col min="16143" max="16143" width="9.42578125" style="452" bestFit="1" customWidth="1"/>
    <col min="16144" max="16144" width="8.85546875" style="452" customWidth="1"/>
    <col min="16145" max="16145" width="9.140625" style="452"/>
    <col min="16146" max="16146" width="12.85546875" style="452" customWidth="1"/>
    <col min="16147" max="16147" width="9.140625" style="452"/>
    <col min="16148" max="16148" width="11.85546875" style="452" customWidth="1"/>
    <col min="16149" max="16149" width="11" style="452" bestFit="1" customWidth="1"/>
    <col min="16150" max="16150" width="10" style="452" bestFit="1" customWidth="1"/>
    <col min="16151" max="16151" width="9.5703125" style="452" bestFit="1" customWidth="1"/>
    <col min="16152" max="16153" width="10" style="452" bestFit="1" customWidth="1"/>
    <col min="16154" max="16154" width="10.5703125" style="452" bestFit="1" customWidth="1"/>
    <col min="16155" max="16155" width="10" style="452" bestFit="1" customWidth="1"/>
    <col min="16156" max="16156" width="9.140625" style="452"/>
    <col min="16157" max="16157" width="11" style="452" bestFit="1" customWidth="1"/>
    <col min="16158" max="16158" width="9.140625" style="452"/>
    <col min="16159" max="16159" width="10" style="452" bestFit="1" customWidth="1"/>
    <col min="16160" max="16160" width="9.5703125" style="452" bestFit="1" customWidth="1"/>
    <col min="16161" max="16162" width="10.5703125" style="452" bestFit="1" customWidth="1"/>
    <col min="16163" max="16163" width="10" style="452" bestFit="1" customWidth="1"/>
    <col min="16164" max="16164" width="9.140625" style="452"/>
    <col min="16165" max="16166" width="10" style="452" bestFit="1" customWidth="1"/>
    <col min="16167" max="16167" width="10.5703125" style="452" bestFit="1" customWidth="1"/>
    <col min="16168" max="16168" width="10.42578125" style="452" bestFit="1" customWidth="1"/>
    <col min="16169" max="16169" width="9.140625" style="452"/>
    <col min="16170" max="16170" width="9.5703125" style="452" bestFit="1" customWidth="1"/>
    <col min="16171" max="16171" width="10.42578125" style="452" bestFit="1" customWidth="1"/>
    <col min="16172" max="16172" width="10" style="452" bestFit="1" customWidth="1"/>
    <col min="16173" max="16173" width="12.42578125" style="452" bestFit="1" customWidth="1"/>
    <col min="16174" max="16384" width="9.140625" style="452"/>
  </cols>
  <sheetData>
    <row r="1" spans="1:45" ht="48.75" customHeight="1" x14ac:dyDescent="0.2">
      <c r="C1" s="453"/>
      <c r="D1" s="454"/>
      <c r="E1" s="455"/>
      <c r="F1" s="455"/>
      <c r="G1" s="454"/>
      <c r="H1" s="456"/>
      <c r="I1" s="456"/>
      <c r="J1" s="454"/>
      <c r="K1" s="454"/>
      <c r="L1" s="454"/>
    </row>
    <row r="2" spans="1:45" ht="13.35" customHeight="1" thickBot="1" x14ac:dyDescent="0.25">
      <c r="C2" s="454"/>
      <c r="D2" s="454"/>
      <c r="E2" s="458"/>
      <c r="F2" s="458"/>
      <c r="G2" s="453"/>
      <c r="H2" s="459"/>
      <c r="I2" s="459"/>
      <c r="J2" s="453"/>
      <c r="K2" s="453"/>
      <c r="L2" s="453"/>
    </row>
    <row r="3" spans="1:45" ht="19.5" customHeight="1" x14ac:dyDescent="0.2">
      <c r="C3" s="454"/>
      <c r="D3" s="460"/>
      <c r="E3" s="461"/>
      <c r="F3" s="461"/>
      <c r="G3" s="461"/>
      <c r="H3" s="462"/>
      <c r="I3" s="463"/>
      <c r="J3" s="464"/>
      <c r="K3" s="465"/>
      <c r="L3" s="466"/>
      <c r="M3" s="776" t="s">
        <v>65</v>
      </c>
      <c r="N3" s="777"/>
      <c r="O3" s="777"/>
      <c r="P3" s="777"/>
      <c r="Q3" s="777"/>
      <c r="R3" s="777"/>
      <c r="S3" s="778"/>
    </row>
    <row r="4" spans="1:45" ht="27.95" customHeight="1" x14ac:dyDescent="0.2">
      <c r="D4" s="467"/>
      <c r="E4" s="468" t="s">
        <v>66</v>
      </c>
      <c r="F4" s="468" t="s">
        <v>67</v>
      </c>
      <c r="G4" s="469" t="s">
        <v>68</v>
      </c>
      <c r="H4" s="470" t="s">
        <v>69</v>
      </c>
      <c r="I4" s="471" t="s">
        <v>70</v>
      </c>
      <c r="J4" s="469" t="s">
        <v>71</v>
      </c>
      <c r="K4" s="472" t="s">
        <v>72</v>
      </c>
      <c r="L4" s="473" t="s">
        <v>73</v>
      </c>
      <c r="M4" s="779" t="s">
        <v>74</v>
      </c>
      <c r="N4" s="474" t="s">
        <v>75</v>
      </c>
      <c r="O4" s="475"/>
      <c r="P4" s="781" t="s">
        <v>75</v>
      </c>
      <c r="Q4" s="781" t="s">
        <v>77</v>
      </c>
      <c r="R4" s="476"/>
      <c r="S4" s="783" t="s">
        <v>78</v>
      </c>
      <c r="T4" s="477">
        <v>1</v>
      </c>
      <c r="U4" s="469">
        <v>2</v>
      </c>
      <c r="V4" s="469">
        <v>3</v>
      </c>
      <c r="W4" s="469">
        <v>4</v>
      </c>
      <c r="X4" s="469">
        <v>5</v>
      </c>
      <c r="Y4" s="469">
        <v>6</v>
      </c>
      <c r="Z4" s="469">
        <v>7</v>
      </c>
      <c r="AA4" s="469">
        <v>8</v>
      </c>
      <c r="AB4" s="469">
        <v>9</v>
      </c>
      <c r="AC4" s="469">
        <v>10</v>
      </c>
      <c r="AD4" s="469">
        <v>11</v>
      </c>
      <c r="AE4" s="469">
        <v>12</v>
      </c>
      <c r="AF4" s="469">
        <v>13</v>
      </c>
      <c r="AG4" s="469">
        <v>14</v>
      </c>
      <c r="AH4" s="469">
        <v>15</v>
      </c>
      <c r="AI4" s="469">
        <v>16</v>
      </c>
      <c r="AJ4" s="469">
        <v>17</v>
      </c>
      <c r="AK4" s="469">
        <v>18</v>
      </c>
      <c r="AL4" s="469">
        <v>19</v>
      </c>
      <c r="AM4" s="469">
        <v>20</v>
      </c>
      <c r="AN4" s="469">
        <v>21</v>
      </c>
      <c r="AO4" s="469">
        <v>22</v>
      </c>
      <c r="AP4" s="469">
        <v>23</v>
      </c>
      <c r="AQ4" s="469">
        <v>24</v>
      </c>
      <c r="AR4" s="469">
        <v>25</v>
      </c>
      <c r="AS4" s="469" t="s">
        <v>28</v>
      </c>
    </row>
    <row r="5" spans="1:45" ht="18" customHeight="1" thickBot="1" x14ac:dyDescent="0.25">
      <c r="E5" s="478"/>
      <c r="F5" s="478"/>
      <c r="G5" s="479"/>
      <c r="H5" s="480"/>
      <c r="I5" s="481"/>
      <c r="J5" s="479"/>
      <c r="K5" s="482">
        <v>0.05</v>
      </c>
      <c r="L5" s="483"/>
      <c r="M5" s="780"/>
      <c r="N5" s="484"/>
      <c r="O5" s="485"/>
      <c r="P5" s="782"/>
      <c r="Q5" s="782"/>
      <c r="R5" s="486"/>
      <c r="S5" s="784"/>
      <c r="T5" s="487"/>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9"/>
    </row>
    <row r="6" spans="1:45" ht="13.35" customHeight="1" thickBot="1" x14ac:dyDescent="0.25">
      <c r="A6" s="490" t="s">
        <v>41</v>
      </c>
      <c r="B6" s="490" t="s">
        <v>41</v>
      </c>
      <c r="C6" s="490" t="s">
        <v>41</v>
      </c>
      <c r="D6" s="491" t="s">
        <v>79</v>
      </c>
      <c r="E6" s="492"/>
      <c r="F6" s="492"/>
      <c r="G6" s="493"/>
      <c r="H6" s="494"/>
      <c r="I6" s="495"/>
      <c r="J6" s="493"/>
      <c r="K6" s="496"/>
      <c r="L6" s="497"/>
      <c r="M6" s="498"/>
      <c r="N6" s="498"/>
      <c r="O6" s="498"/>
      <c r="P6" s="493"/>
      <c r="Q6" s="493"/>
      <c r="R6" s="499"/>
      <c r="S6" s="500"/>
      <c r="T6" s="50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502"/>
    </row>
    <row r="7" spans="1:45" ht="15.95" customHeight="1" thickBot="1" x14ac:dyDescent="0.25">
      <c r="A7" s="775">
        <f>'Option A'!A7</f>
        <v>1</v>
      </c>
      <c r="B7" s="503" t="s">
        <v>80</v>
      </c>
      <c r="C7" s="504">
        <f>IF('Option A'!B7="x",'Option A'!C7,0)</f>
        <v>0</v>
      </c>
      <c r="D7" s="505">
        <f>IF('Option A'!B7="x",'Option A'!D7, 0)</f>
        <v>0</v>
      </c>
      <c r="E7" s="506"/>
      <c r="F7" s="506">
        <f>IF('Option A'!$B7="x",'Option A'!J7,0)</f>
        <v>0</v>
      </c>
      <c r="G7" s="506">
        <f>IF('Option A'!$B7="x",'Option A'!K7,0)</f>
        <v>0</v>
      </c>
      <c r="H7" s="507">
        <f>IF('Option A'!$B7="x",'Option A'!L7,0)</f>
        <v>0</v>
      </c>
      <c r="I7" s="507">
        <f>IF('Option A'!$B7="x",'Option A'!M7,0)</f>
        <v>0</v>
      </c>
      <c r="J7" s="508"/>
      <c r="K7" s="509">
        <f>J7*(1+$K$5)</f>
        <v>0</v>
      </c>
      <c r="L7" s="510"/>
      <c r="M7" s="511">
        <f>'ECM Options Lifecycle'!N12</f>
        <v>0</v>
      </c>
      <c r="N7" s="512">
        <f>IF(D7=0,0,(VLOOKUP(D7,'Technology Inputs'!$D$44:$E$172,2,FALSE)))</f>
        <v>0</v>
      </c>
      <c r="O7" s="513"/>
      <c r="P7" s="512">
        <f>IF(D7=0,0,(ROUNDUP(VLOOKUP(D7,'Technology Inputs'!$D$44:$E$172,2,FALSE),0)))</f>
        <v>0</v>
      </c>
      <c r="Q7" s="514">
        <v>1</v>
      </c>
      <c r="R7" s="515"/>
      <c r="S7" s="516">
        <f>I7*Q7</f>
        <v>0</v>
      </c>
      <c r="T7" s="517">
        <f>IF(T$4&lt;$M7,0,IF($P7=0,0,IF(T$4=$M7,$S7,IF((T$4-$M7)/$P7=INT((T$4-$M7)/$P7),$S7,0))))-IF(T$4=$M7, $S7, 0)</f>
        <v>0</v>
      </c>
      <c r="U7" s="517">
        <f t="shared" ref="U7:AR7" si="0">IF(U$4&lt;$M7,0,IF($P7=0,0,IF(U$4=$M7,$S7,IF((U$4-$M7)/$P7=INT((U$4-$M7)/$P7),$S7,0))))-IF(U$4=$M7, $S7, 0)</f>
        <v>0</v>
      </c>
      <c r="V7" s="517">
        <f t="shared" si="0"/>
        <v>0</v>
      </c>
      <c r="W7" s="517">
        <f t="shared" si="0"/>
        <v>0</v>
      </c>
      <c r="X7" s="517">
        <f t="shared" si="0"/>
        <v>0</v>
      </c>
      <c r="Y7" s="517">
        <f t="shared" si="0"/>
        <v>0</v>
      </c>
      <c r="Z7" s="517">
        <f t="shared" si="0"/>
        <v>0</v>
      </c>
      <c r="AA7" s="517">
        <f t="shared" si="0"/>
        <v>0</v>
      </c>
      <c r="AB7" s="517">
        <f t="shared" si="0"/>
        <v>0</v>
      </c>
      <c r="AC7" s="517">
        <f t="shared" si="0"/>
        <v>0</v>
      </c>
      <c r="AD7" s="517">
        <f t="shared" si="0"/>
        <v>0</v>
      </c>
      <c r="AE7" s="517">
        <f t="shared" si="0"/>
        <v>0</v>
      </c>
      <c r="AF7" s="517">
        <f t="shared" si="0"/>
        <v>0</v>
      </c>
      <c r="AG7" s="517">
        <f t="shared" si="0"/>
        <v>0</v>
      </c>
      <c r="AH7" s="517">
        <f t="shared" si="0"/>
        <v>0</v>
      </c>
      <c r="AI7" s="517">
        <f t="shared" si="0"/>
        <v>0</v>
      </c>
      <c r="AJ7" s="517">
        <f t="shared" si="0"/>
        <v>0</v>
      </c>
      <c r="AK7" s="517">
        <f t="shared" si="0"/>
        <v>0</v>
      </c>
      <c r="AL7" s="517">
        <f t="shared" si="0"/>
        <v>0</v>
      </c>
      <c r="AM7" s="517">
        <f t="shared" si="0"/>
        <v>0</v>
      </c>
      <c r="AN7" s="517">
        <f t="shared" si="0"/>
        <v>0</v>
      </c>
      <c r="AO7" s="517">
        <f t="shared" si="0"/>
        <v>0</v>
      </c>
      <c r="AP7" s="517">
        <f t="shared" si="0"/>
        <v>0</v>
      </c>
      <c r="AQ7" s="517">
        <f t="shared" si="0"/>
        <v>0</v>
      </c>
      <c r="AR7" s="517">
        <f t="shared" si="0"/>
        <v>0</v>
      </c>
      <c r="AS7" s="518">
        <f t="shared" ref="AS7" si="1">SUM(T7:AR7)</f>
        <v>0</v>
      </c>
    </row>
    <row r="8" spans="1:45" ht="14.45" customHeight="1" x14ac:dyDescent="0.2">
      <c r="A8" s="775"/>
      <c r="B8" s="503" t="s">
        <v>81</v>
      </c>
      <c r="C8" s="503" t="b">
        <f>IF('Option A'!$B7="x",IF('Option A'!$E7="Yes", 'Option A'!G7),0)</f>
        <v>0</v>
      </c>
      <c r="D8" s="503" t="b">
        <f>IF('Option A'!$B7="x",IF('Option A'!$E7="Yes", 'Option A'!H7),0)</f>
        <v>0</v>
      </c>
      <c r="E8" s="519">
        <f>IF('Option A'!$B7="x",'ECM Options Lifecycle'!F13,0)</f>
        <v>0</v>
      </c>
      <c r="F8" s="519">
        <f>IF('Option A'!$B7="x",'ECM Options Lifecycle'!G13,0)</f>
        <v>0</v>
      </c>
      <c r="G8" s="520" t="str">
        <f>IF('Option A'!$B7="x",'ECM Options Lifecycle'!H13,0)</f>
        <v xml:space="preserve"> </v>
      </c>
      <c r="H8" s="521">
        <f>IF('Option A'!$B7="x",'ECM Options Lifecycle'!I13,0)</f>
        <v>0</v>
      </c>
      <c r="I8" s="522">
        <f>F8*H8</f>
        <v>0</v>
      </c>
      <c r="J8" s="523"/>
      <c r="K8" s="524"/>
      <c r="L8" s="525"/>
      <c r="M8" s="511">
        <f>'ECM Options Lifecycle'!N13</f>
        <v>0</v>
      </c>
      <c r="N8" s="526">
        <f>'Option A'!I7</f>
        <v>0</v>
      </c>
      <c r="O8" s="523"/>
      <c r="P8" s="526">
        <f>ROUNDUP(N8, 0)</f>
        <v>0</v>
      </c>
      <c r="Q8" s="527">
        <v>1</v>
      </c>
      <c r="R8" s="528"/>
      <c r="S8" s="516">
        <f>I8*Q8</f>
        <v>0</v>
      </c>
      <c r="T8" s="517">
        <f t="shared" ref="T8:AC8" si="2">IF(T$4&lt;$M8,0,IF($P8=0,0,IF(T$4=$M8,$S8,IF((T$4-$M8)/$P8=INT((T$4-$M8)/$P8),$S8,0))))</f>
        <v>0</v>
      </c>
      <c r="U8" s="517">
        <f t="shared" si="2"/>
        <v>0</v>
      </c>
      <c r="V8" s="517">
        <f t="shared" si="2"/>
        <v>0</v>
      </c>
      <c r="W8" s="517">
        <f t="shared" si="2"/>
        <v>0</v>
      </c>
      <c r="X8" s="517">
        <f t="shared" si="2"/>
        <v>0</v>
      </c>
      <c r="Y8" s="517">
        <f t="shared" si="2"/>
        <v>0</v>
      </c>
      <c r="Z8" s="517">
        <f t="shared" si="2"/>
        <v>0</v>
      </c>
      <c r="AA8" s="517">
        <f t="shared" si="2"/>
        <v>0</v>
      </c>
      <c r="AB8" s="517">
        <f t="shared" si="2"/>
        <v>0</v>
      </c>
      <c r="AC8" s="517">
        <f t="shared" si="2"/>
        <v>0</v>
      </c>
      <c r="AD8" s="517">
        <f t="shared" ref="AD8:AR8" si="3">IF(AD$4&lt;$M8,0,IF($P8=0,0,IF(AD$4=$M8,$S8,IF((AD$4-$M8)/$P8=INT((AD$4-$M8)/$P8),$S8,0))))</f>
        <v>0</v>
      </c>
      <c r="AE8" s="517">
        <f t="shared" si="3"/>
        <v>0</v>
      </c>
      <c r="AF8" s="517">
        <f t="shared" si="3"/>
        <v>0</v>
      </c>
      <c r="AG8" s="517">
        <f t="shared" si="3"/>
        <v>0</v>
      </c>
      <c r="AH8" s="517">
        <f t="shared" si="3"/>
        <v>0</v>
      </c>
      <c r="AI8" s="517">
        <f t="shared" si="3"/>
        <v>0</v>
      </c>
      <c r="AJ8" s="517">
        <f t="shared" si="3"/>
        <v>0</v>
      </c>
      <c r="AK8" s="517">
        <f t="shared" si="3"/>
        <v>0</v>
      </c>
      <c r="AL8" s="517">
        <f t="shared" si="3"/>
        <v>0</v>
      </c>
      <c r="AM8" s="517">
        <f t="shared" si="3"/>
        <v>0</v>
      </c>
      <c r="AN8" s="517">
        <f t="shared" si="3"/>
        <v>0</v>
      </c>
      <c r="AO8" s="517">
        <f t="shared" si="3"/>
        <v>0</v>
      </c>
      <c r="AP8" s="517">
        <f t="shared" si="3"/>
        <v>0</v>
      </c>
      <c r="AQ8" s="517">
        <f t="shared" si="3"/>
        <v>0</v>
      </c>
      <c r="AR8" s="517">
        <f t="shared" si="3"/>
        <v>0</v>
      </c>
      <c r="AS8" s="518">
        <f t="shared" ref="AS8:AS10" si="4">SUM(T8:AR8)</f>
        <v>0</v>
      </c>
    </row>
    <row r="9" spans="1:45" ht="11.1" customHeight="1" thickBot="1" x14ac:dyDescent="0.25">
      <c r="A9" s="775"/>
      <c r="B9" s="503" t="s">
        <v>82</v>
      </c>
      <c r="C9" s="529"/>
      <c r="D9" s="530"/>
      <c r="E9" s="531"/>
      <c r="F9" s="531"/>
      <c r="G9" s="532"/>
      <c r="H9" s="533"/>
      <c r="I9" s="534"/>
      <c r="J9" s="535"/>
      <c r="K9" s="536"/>
      <c r="L9" s="537"/>
      <c r="M9" s="538"/>
      <c r="N9" s="535"/>
      <c r="O9" s="535"/>
      <c r="P9" s="538"/>
      <c r="Q9" s="539"/>
      <c r="R9" s="540"/>
      <c r="S9" s="541"/>
      <c r="T9" s="517">
        <f>T7-T8</f>
        <v>0</v>
      </c>
      <c r="U9" s="517">
        <f t="shared" ref="U9:AR9" si="5">U7-U8</f>
        <v>0</v>
      </c>
      <c r="V9" s="517">
        <f t="shared" si="5"/>
        <v>0</v>
      </c>
      <c r="W9" s="517">
        <f t="shared" si="5"/>
        <v>0</v>
      </c>
      <c r="X9" s="517">
        <f t="shared" si="5"/>
        <v>0</v>
      </c>
      <c r="Y9" s="517">
        <f t="shared" si="5"/>
        <v>0</v>
      </c>
      <c r="Z9" s="517">
        <f t="shared" si="5"/>
        <v>0</v>
      </c>
      <c r="AA9" s="517">
        <f t="shared" si="5"/>
        <v>0</v>
      </c>
      <c r="AB9" s="517">
        <f t="shared" si="5"/>
        <v>0</v>
      </c>
      <c r="AC9" s="517">
        <f t="shared" si="5"/>
        <v>0</v>
      </c>
      <c r="AD9" s="517">
        <f t="shared" si="5"/>
        <v>0</v>
      </c>
      <c r="AE9" s="517">
        <f t="shared" si="5"/>
        <v>0</v>
      </c>
      <c r="AF9" s="517">
        <f t="shared" si="5"/>
        <v>0</v>
      </c>
      <c r="AG9" s="517">
        <f t="shared" si="5"/>
        <v>0</v>
      </c>
      <c r="AH9" s="517">
        <f t="shared" si="5"/>
        <v>0</v>
      </c>
      <c r="AI9" s="517">
        <f t="shared" si="5"/>
        <v>0</v>
      </c>
      <c r="AJ9" s="517">
        <f t="shared" si="5"/>
        <v>0</v>
      </c>
      <c r="AK9" s="517">
        <f t="shared" si="5"/>
        <v>0</v>
      </c>
      <c r="AL9" s="517">
        <f t="shared" si="5"/>
        <v>0</v>
      </c>
      <c r="AM9" s="517">
        <f t="shared" si="5"/>
        <v>0</v>
      </c>
      <c r="AN9" s="517">
        <f t="shared" si="5"/>
        <v>0</v>
      </c>
      <c r="AO9" s="517">
        <f t="shared" si="5"/>
        <v>0</v>
      </c>
      <c r="AP9" s="517">
        <f t="shared" si="5"/>
        <v>0</v>
      </c>
      <c r="AQ9" s="517">
        <f t="shared" si="5"/>
        <v>0</v>
      </c>
      <c r="AR9" s="517">
        <f t="shared" si="5"/>
        <v>0</v>
      </c>
      <c r="AS9" s="518">
        <f t="shared" si="4"/>
        <v>0</v>
      </c>
    </row>
    <row r="10" spans="1:45" ht="15.95" customHeight="1" thickBot="1" x14ac:dyDescent="0.25">
      <c r="A10" s="775">
        <f>'Option A'!A8</f>
        <v>2</v>
      </c>
      <c r="B10" s="503" t="s">
        <v>80</v>
      </c>
      <c r="C10" s="504">
        <f>IF('Option A'!$B8="x",'Option A'!C8,0)</f>
        <v>0</v>
      </c>
      <c r="D10" s="504">
        <f>IF('Option A'!$B8="x",'Option A'!D8,0)</f>
        <v>0</v>
      </c>
      <c r="E10" s="542"/>
      <c r="F10" s="542">
        <f>IF('Option A'!$B8="x",'Option A'!J8,0)</f>
        <v>0</v>
      </c>
      <c r="G10" s="542">
        <f>IF('Option A'!$B8="x",'Option A'!K8,0)</f>
        <v>0</v>
      </c>
      <c r="H10" s="542">
        <f>IF('Option A'!$B8="x",'Option A'!L8,0)</f>
        <v>0</v>
      </c>
      <c r="I10" s="543">
        <f>IF('Option A'!$B8="x",'Option A'!M8,0)</f>
        <v>0</v>
      </c>
      <c r="J10" s="508"/>
      <c r="K10" s="509">
        <f>J10*(1+$K$5)</f>
        <v>0</v>
      </c>
      <c r="L10" s="510"/>
      <c r="M10" s="511">
        <f>'ECM Options Lifecycle'!N15</f>
        <v>0</v>
      </c>
      <c r="N10" s="512">
        <f>IF(D10=0,0,(VLOOKUP(D10,'Technology Inputs'!$D$44:$E$172,2,FALSE)))</f>
        <v>0</v>
      </c>
      <c r="O10" s="513"/>
      <c r="P10" s="512">
        <f>IF(D10=0,0,(ROUNDUP(VLOOKUP(D10,'Technology Inputs'!$D$44:$E$172,2,FALSE),0)))</f>
        <v>0</v>
      </c>
      <c r="Q10" s="514">
        <v>1</v>
      </c>
      <c r="R10" s="515"/>
      <c r="S10" s="516">
        <f>I10*Q10</f>
        <v>0</v>
      </c>
      <c r="T10" s="517">
        <f>IF(T$4&lt;$M10,0,IF($P10=0,0,IF(T$4=$M10,$S10,IF((T$4-$M10)/$P10=INT((T$4-$M10)/$P10),$S10,0))))-IF(T$4=$M10, $S10, 0)</f>
        <v>0</v>
      </c>
      <c r="U10" s="517">
        <f t="shared" ref="U10:AR10" si="6">IF(U$4&lt;$M10,0,IF($P10=0,0,IF(U$4=$M10,$S10,IF((U$4-$M10)/$P10=INT((U$4-$M10)/$P10),$S10,0))))-IF(U$4=$M10, $S10, 0)</f>
        <v>0</v>
      </c>
      <c r="V10" s="517">
        <f t="shared" si="6"/>
        <v>0</v>
      </c>
      <c r="W10" s="517">
        <f t="shared" si="6"/>
        <v>0</v>
      </c>
      <c r="X10" s="517">
        <f t="shared" si="6"/>
        <v>0</v>
      </c>
      <c r="Y10" s="517">
        <f t="shared" si="6"/>
        <v>0</v>
      </c>
      <c r="Z10" s="517">
        <f t="shared" si="6"/>
        <v>0</v>
      </c>
      <c r="AA10" s="517">
        <f t="shared" si="6"/>
        <v>0</v>
      </c>
      <c r="AB10" s="517">
        <f t="shared" si="6"/>
        <v>0</v>
      </c>
      <c r="AC10" s="517">
        <f t="shared" si="6"/>
        <v>0</v>
      </c>
      <c r="AD10" s="517">
        <f t="shared" si="6"/>
        <v>0</v>
      </c>
      <c r="AE10" s="517">
        <f t="shared" si="6"/>
        <v>0</v>
      </c>
      <c r="AF10" s="517">
        <f t="shared" si="6"/>
        <v>0</v>
      </c>
      <c r="AG10" s="517">
        <f t="shared" si="6"/>
        <v>0</v>
      </c>
      <c r="AH10" s="517">
        <f t="shared" si="6"/>
        <v>0</v>
      </c>
      <c r="AI10" s="517">
        <f t="shared" si="6"/>
        <v>0</v>
      </c>
      <c r="AJ10" s="517">
        <f t="shared" si="6"/>
        <v>0</v>
      </c>
      <c r="AK10" s="517">
        <f t="shared" si="6"/>
        <v>0</v>
      </c>
      <c r="AL10" s="517">
        <f t="shared" si="6"/>
        <v>0</v>
      </c>
      <c r="AM10" s="517">
        <f t="shared" si="6"/>
        <v>0</v>
      </c>
      <c r="AN10" s="517">
        <f t="shared" si="6"/>
        <v>0</v>
      </c>
      <c r="AO10" s="517">
        <f t="shared" si="6"/>
        <v>0</v>
      </c>
      <c r="AP10" s="517">
        <f t="shared" si="6"/>
        <v>0</v>
      </c>
      <c r="AQ10" s="517">
        <f t="shared" si="6"/>
        <v>0</v>
      </c>
      <c r="AR10" s="517">
        <f t="shared" si="6"/>
        <v>0</v>
      </c>
      <c r="AS10" s="518">
        <f t="shared" si="4"/>
        <v>0</v>
      </c>
    </row>
    <row r="11" spans="1:45" ht="14.45" customHeight="1" x14ac:dyDescent="0.2">
      <c r="A11" s="775"/>
      <c r="B11" s="503" t="s">
        <v>81</v>
      </c>
      <c r="C11" s="503" t="b">
        <f>IF('Option A'!$B8="x",IF('Option A'!$E8="Yes", 'Option A'!G8),0)</f>
        <v>0</v>
      </c>
      <c r="D11" s="503" t="b">
        <f>IF('Option A'!$B8="x",IF('Option A'!$E8="Yes", 'Option A'!H8),0)</f>
        <v>0</v>
      </c>
      <c r="E11" s="519">
        <f>IF('Option A'!$B8="x",'ECM Options Lifecycle'!F16,0)</f>
        <v>0</v>
      </c>
      <c r="F11" s="519">
        <f>IF('Option A'!$B8="x",'ECM Options Lifecycle'!G16,0)</f>
        <v>0</v>
      </c>
      <c r="G11" s="520" t="str">
        <f>IF('Option A'!$B8="x",'ECM Options Lifecycle'!H16,0)</f>
        <v xml:space="preserve"> </v>
      </c>
      <c r="H11" s="521">
        <f>IF('Option A'!$B8="x",'ECM Options Lifecycle'!I16,0)</f>
        <v>0</v>
      </c>
      <c r="I11" s="522">
        <f>F11*H11</f>
        <v>0</v>
      </c>
      <c r="J11" s="523"/>
      <c r="K11" s="524"/>
      <c r="L11" s="525"/>
      <c r="M11" s="511">
        <f>'ECM Options Lifecycle'!N16</f>
        <v>0</v>
      </c>
      <c r="N11" s="526">
        <f>'Option A'!I8</f>
        <v>0</v>
      </c>
      <c r="O11" s="523"/>
      <c r="P11" s="526">
        <f>ROUNDUP(N11, 0)</f>
        <v>0</v>
      </c>
      <c r="Q11" s="527">
        <v>1</v>
      </c>
      <c r="R11" s="528"/>
      <c r="S11" s="516">
        <f>I11*Q11</f>
        <v>0</v>
      </c>
      <c r="T11" s="517">
        <f t="shared" ref="T11:AC11" si="7">IF(T$4&lt;$M11,0,IF($P11=0,0,IF(T$4=$M11,$S11,IF((T$4-$M11)/$P11=INT((T$4-$M11)/$P11),$S11,0))))</f>
        <v>0</v>
      </c>
      <c r="U11" s="517">
        <f t="shared" si="7"/>
        <v>0</v>
      </c>
      <c r="V11" s="517">
        <f t="shared" si="7"/>
        <v>0</v>
      </c>
      <c r="W11" s="517">
        <f t="shared" si="7"/>
        <v>0</v>
      </c>
      <c r="X11" s="517">
        <f t="shared" si="7"/>
        <v>0</v>
      </c>
      <c r="Y11" s="517">
        <f t="shared" si="7"/>
        <v>0</v>
      </c>
      <c r="Z11" s="517">
        <f t="shared" si="7"/>
        <v>0</v>
      </c>
      <c r="AA11" s="517">
        <f t="shared" si="7"/>
        <v>0</v>
      </c>
      <c r="AB11" s="517">
        <f t="shared" si="7"/>
        <v>0</v>
      </c>
      <c r="AC11" s="517">
        <f t="shared" si="7"/>
        <v>0</v>
      </c>
      <c r="AD11" s="517">
        <f t="shared" ref="AD11:AR11" si="8">IF(AD$4&lt;$M11,0,IF($P11=0,0,IF(AD$4=$M11,$S11,IF((AD$4-$M11)/$P11=INT((AD$4-$M11)/$P11),$S11,0))))</f>
        <v>0</v>
      </c>
      <c r="AE11" s="517">
        <f t="shared" si="8"/>
        <v>0</v>
      </c>
      <c r="AF11" s="517">
        <f t="shared" si="8"/>
        <v>0</v>
      </c>
      <c r="AG11" s="517">
        <f t="shared" si="8"/>
        <v>0</v>
      </c>
      <c r="AH11" s="517">
        <f t="shared" si="8"/>
        <v>0</v>
      </c>
      <c r="AI11" s="517">
        <f t="shared" si="8"/>
        <v>0</v>
      </c>
      <c r="AJ11" s="517">
        <f t="shared" si="8"/>
        <v>0</v>
      </c>
      <c r="AK11" s="517">
        <f t="shared" si="8"/>
        <v>0</v>
      </c>
      <c r="AL11" s="517">
        <f t="shared" si="8"/>
        <v>0</v>
      </c>
      <c r="AM11" s="517">
        <f t="shared" si="8"/>
        <v>0</v>
      </c>
      <c r="AN11" s="517">
        <f t="shared" si="8"/>
        <v>0</v>
      </c>
      <c r="AO11" s="517">
        <f t="shared" si="8"/>
        <v>0</v>
      </c>
      <c r="AP11" s="517">
        <f t="shared" si="8"/>
        <v>0</v>
      </c>
      <c r="AQ11" s="517">
        <f t="shared" si="8"/>
        <v>0</v>
      </c>
      <c r="AR11" s="517">
        <f t="shared" si="8"/>
        <v>0</v>
      </c>
      <c r="AS11" s="518">
        <f t="shared" ref="AS11:AS13" si="9">SUM(T11:AR11)</f>
        <v>0</v>
      </c>
    </row>
    <row r="12" spans="1:45" ht="11.1" customHeight="1" thickBot="1" x14ac:dyDescent="0.25">
      <c r="A12" s="775"/>
      <c r="B12" s="503" t="s">
        <v>82</v>
      </c>
      <c r="C12" s="529"/>
      <c r="D12" s="530"/>
      <c r="E12" s="531"/>
      <c r="F12" s="531"/>
      <c r="G12" s="532"/>
      <c r="H12" s="533"/>
      <c r="I12" s="534"/>
      <c r="J12" s="535"/>
      <c r="K12" s="536"/>
      <c r="L12" s="537"/>
      <c r="M12" s="538"/>
      <c r="N12" s="535"/>
      <c r="O12" s="535"/>
      <c r="P12" s="538"/>
      <c r="Q12" s="539"/>
      <c r="R12" s="540"/>
      <c r="S12" s="541"/>
      <c r="T12" s="517">
        <f>T10-T11</f>
        <v>0</v>
      </c>
      <c r="U12" s="517">
        <f t="shared" ref="U12" si="10">U10-U11</f>
        <v>0</v>
      </c>
      <c r="V12" s="517">
        <f t="shared" ref="V12" si="11">V10-V11</f>
        <v>0</v>
      </c>
      <c r="W12" s="517">
        <f t="shared" ref="W12" si="12">W10-W11</f>
        <v>0</v>
      </c>
      <c r="X12" s="517">
        <f t="shared" ref="X12" si="13">X10-X11</f>
        <v>0</v>
      </c>
      <c r="Y12" s="517">
        <f t="shared" ref="Y12" si="14">Y10-Y11</f>
        <v>0</v>
      </c>
      <c r="Z12" s="517">
        <f t="shared" ref="Z12" si="15">Z10-Z11</f>
        <v>0</v>
      </c>
      <c r="AA12" s="517">
        <f t="shared" ref="AA12" si="16">AA10-AA11</f>
        <v>0</v>
      </c>
      <c r="AB12" s="517">
        <f t="shared" ref="AB12" si="17">AB10-AB11</f>
        <v>0</v>
      </c>
      <c r="AC12" s="517">
        <f t="shared" ref="AC12" si="18">AC10-AC11</f>
        <v>0</v>
      </c>
      <c r="AD12" s="517">
        <f t="shared" ref="AD12" si="19">AD10-AD11</f>
        <v>0</v>
      </c>
      <c r="AE12" s="517">
        <f t="shared" ref="AE12" si="20">AE10-AE11</f>
        <v>0</v>
      </c>
      <c r="AF12" s="517">
        <f t="shared" ref="AF12" si="21">AF10-AF11</f>
        <v>0</v>
      </c>
      <c r="AG12" s="517">
        <f t="shared" ref="AG12" si="22">AG10-AG11</f>
        <v>0</v>
      </c>
      <c r="AH12" s="517">
        <f t="shared" ref="AH12" si="23">AH10-AH11</f>
        <v>0</v>
      </c>
      <c r="AI12" s="517">
        <f t="shared" ref="AI12" si="24">AI10-AI11</f>
        <v>0</v>
      </c>
      <c r="AJ12" s="517">
        <f t="shared" ref="AJ12" si="25">AJ10-AJ11</f>
        <v>0</v>
      </c>
      <c r="AK12" s="517">
        <f t="shared" ref="AK12" si="26">AK10-AK11</f>
        <v>0</v>
      </c>
      <c r="AL12" s="517">
        <f t="shared" ref="AL12" si="27">AL10-AL11</f>
        <v>0</v>
      </c>
      <c r="AM12" s="517">
        <f t="shared" ref="AM12" si="28">AM10-AM11</f>
        <v>0</v>
      </c>
      <c r="AN12" s="517">
        <f t="shared" ref="AN12" si="29">AN10-AN11</f>
        <v>0</v>
      </c>
      <c r="AO12" s="517">
        <f t="shared" ref="AO12" si="30">AO10-AO11</f>
        <v>0</v>
      </c>
      <c r="AP12" s="517">
        <f t="shared" ref="AP12" si="31">AP10-AP11</f>
        <v>0</v>
      </c>
      <c r="AQ12" s="517">
        <f t="shared" ref="AQ12" si="32">AQ10-AQ11</f>
        <v>0</v>
      </c>
      <c r="AR12" s="517">
        <f t="shared" ref="AR12" si="33">AR10-AR11</f>
        <v>0</v>
      </c>
      <c r="AS12" s="518">
        <f t="shared" si="9"/>
        <v>0</v>
      </c>
    </row>
    <row r="13" spans="1:45" ht="15.95" customHeight="1" thickBot="1" x14ac:dyDescent="0.25">
      <c r="A13" s="775">
        <f>'Option A'!A9</f>
        <v>3</v>
      </c>
      <c r="B13" s="503" t="s">
        <v>80</v>
      </c>
      <c r="C13" s="504">
        <f>IF('Option A'!$B9="x",'Option A'!C9,0)</f>
        <v>0</v>
      </c>
      <c r="D13" s="504">
        <f>IF('Option A'!$B9="x",'Option A'!D9,0)</f>
        <v>0</v>
      </c>
      <c r="E13" s="542"/>
      <c r="F13" s="542">
        <f>IF('Option A'!$B9="x",'Option A'!J9,0)</f>
        <v>0</v>
      </c>
      <c r="G13" s="542">
        <f>IF('Option A'!$B9="x",'Option A'!K9,0)</f>
        <v>0</v>
      </c>
      <c r="H13" s="542">
        <f>IF('Option A'!$B9="x",'Option A'!L9,0)</f>
        <v>0</v>
      </c>
      <c r="I13" s="543">
        <f>IF('Option A'!$B9="x",'Option A'!M9,0)</f>
        <v>0</v>
      </c>
      <c r="J13" s="508"/>
      <c r="K13" s="509">
        <f>J13*(1+$K$5)</f>
        <v>0</v>
      </c>
      <c r="L13" s="510"/>
      <c r="M13" s="511">
        <f>'ECM Options Lifecycle'!N18</f>
        <v>0</v>
      </c>
      <c r="N13" s="512">
        <f>IF(D13=0,0,(VLOOKUP(D13,'Technology Inputs'!$D$44:$E$172,2,FALSE)))</f>
        <v>0</v>
      </c>
      <c r="O13" s="513"/>
      <c r="P13" s="512">
        <f>IF(D13=0,0,(ROUNDUP(VLOOKUP(D13,'Technology Inputs'!$D$44:$E$172,2,FALSE),0)))</f>
        <v>0</v>
      </c>
      <c r="Q13" s="514">
        <v>1</v>
      </c>
      <c r="R13" s="515"/>
      <c r="S13" s="516">
        <f>I13*Q13</f>
        <v>0</v>
      </c>
      <c r="T13" s="517">
        <f>IF(T$4&lt;$M13,0,IF($P13=0,0,IF(T$4=$M13,$S13,IF((T$4-$M13)/$P13=INT((T$4-$M13)/$P13),$S13,0))))-IF(T$4=$M13, $S13, 0)</f>
        <v>0</v>
      </c>
      <c r="U13" s="517">
        <f t="shared" ref="U13:AR13" si="34">IF(U$4&lt;$M13,0,IF($P13=0,0,IF(U$4=$M13,$S13,IF((U$4-$M13)/$P13=INT((U$4-$M13)/$P13),$S13,0))))-IF(U$4=$M13, $S13, 0)</f>
        <v>0</v>
      </c>
      <c r="V13" s="517">
        <f t="shared" si="34"/>
        <v>0</v>
      </c>
      <c r="W13" s="517">
        <f t="shared" si="34"/>
        <v>0</v>
      </c>
      <c r="X13" s="517">
        <f t="shared" si="34"/>
        <v>0</v>
      </c>
      <c r="Y13" s="517">
        <f t="shared" si="34"/>
        <v>0</v>
      </c>
      <c r="Z13" s="517">
        <f t="shared" si="34"/>
        <v>0</v>
      </c>
      <c r="AA13" s="517">
        <f t="shared" si="34"/>
        <v>0</v>
      </c>
      <c r="AB13" s="517">
        <f t="shared" si="34"/>
        <v>0</v>
      </c>
      <c r="AC13" s="517">
        <f t="shared" si="34"/>
        <v>0</v>
      </c>
      <c r="AD13" s="517">
        <f t="shared" si="34"/>
        <v>0</v>
      </c>
      <c r="AE13" s="517">
        <f t="shared" si="34"/>
        <v>0</v>
      </c>
      <c r="AF13" s="517">
        <f t="shared" si="34"/>
        <v>0</v>
      </c>
      <c r="AG13" s="517">
        <f t="shared" si="34"/>
        <v>0</v>
      </c>
      <c r="AH13" s="517">
        <f t="shared" si="34"/>
        <v>0</v>
      </c>
      <c r="AI13" s="517">
        <f t="shared" si="34"/>
        <v>0</v>
      </c>
      <c r="AJ13" s="517">
        <f t="shared" si="34"/>
        <v>0</v>
      </c>
      <c r="AK13" s="517">
        <f t="shared" si="34"/>
        <v>0</v>
      </c>
      <c r="AL13" s="517">
        <f t="shared" si="34"/>
        <v>0</v>
      </c>
      <c r="AM13" s="517">
        <f t="shared" si="34"/>
        <v>0</v>
      </c>
      <c r="AN13" s="517">
        <f t="shared" si="34"/>
        <v>0</v>
      </c>
      <c r="AO13" s="517">
        <f t="shared" si="34"/>
        <v>0</v>
      </c>
      <c r="AP13" s="517">
        <f t="shared" si="34"/>
        <v>0</v>
      </c>
      <c r="AQ13" s="517">
        <f t="shared" si="34"/>
        <v>0</v>
      </c>
      <c r="AR13" s="517">
        <f t="shared" si="34"/>
        <v>0</v>
      </c>
      <c r="AS13" s="518">
        <f t="shared" si="9"/>
        <v>0</v>
      </c>
    </row>
    <row r="14" spans="1:45" ht="14.45" customHeight="1" x14ac:dyDescent="0.2">
      <c r="A14" s="775"/>
      <c r="B14" s="503" t="s">
        <v>81</v>
      </c>
      <c r="C14" s="503" t="b">
        <f>IF('Option A'!$B9="x",IF('Option A'!$E9="Yes", 'Option A'!G9),0)</f>
        <v>0</v>
      </c>
      <c r="D14" s="503" t="b">
        <f>IF('Option A'!$B9="x",IF('Option A'!$E9="Yes", 'Option A'!H9),0)</f>
        <v>0</v>
      </c>
      <c r="E14" s="519">
        <f>IF('Option A'!$B9="x",'ECM Options Lifecycle'!F19,0)</f>
        <v>0</v>
      </c>
      <c r="F14" s="519">
        <f>IF('Option A'!$B9="x",'ECM Options Lifecycle'!G19,0)</f>
        <v>0</v>
      </c>
      <c r="G14" s="520" t="str">
        <f>IF('Option A'!$B9="x",'ECM Options Lifecycle'!H19,0)</f>
        <v xml:space="preserve"> </v>
      </c>
      <c r="H14" s="521">
        <f>IF('Option A'!$B9="x",'ECM Options Lifecycle'!I19,0)</f>
        <v>0</v>
      </c>
      <c r="I14" s="522">
        <f>F14*H14</f>
        <v>0</v>
      </c>
      <c r="J14" s="523"/>
      <c r="K14" s="524"/>
      <c r="L14" s="525"/>
      <c r="M14" s="511">
        <f>'ECM Options Lifecycle'!N19</f>
        <v>0</v>
      </c>
      <c r="N14" s="526">
        <f>'Option A'!I9</f>
        <v>0</v>
      </c>
      <c r="O14" s="523"/>
      <c r="P14" s="526">
        <f>ROUNDUP(N14, 0)</f>
        <v>0</v>
      </c>
      <c r="Q14" s="527">
        <v>1</v>
      </c>
      <c r="R14" s="528"/>
      <c r="S14" s="516">
        <f>I14*Q14</f>
        <v>0</v>
      </c>
      <c r="T14" s="517">
        <f t="shared" ref="T14:AC14" si="35">IF(T$4&lt;$M14,0,IF($P14=0,0,IF(T$4=$M14,$S14,IF((T$4-$M14)/$P14=INT((T$4-$M14)/$P14),$S14,0))))</f>
        <v>0</v>
      </c>
      <c r="U14" s="517">
        <f t="shared" si="35"/>
        <v>0</v>
      </c>
      <c r="V14" s="517">
        <f t="shared" si="35"/>
        <v>0</v>
      </c>
      <c r="W14" s="517">
        <f t="shared" si="35"/>
        <v>0</v>
      </c>
      <c r="X14" s="517">
        <f t="shared" si="35"/>
        <v>0</v>
      </c>
      <c r="Y14" s="517">
        <f t="shared" si="35"/>
        <v>0</v>
      </c>
      <c r="Z14" s="517">
        <f t="shared" si="35"/>
        <v>0</v>
      </c>
      <c r="AA14" s="517">
        <f t="shared" si="35"/>
        <v>0</v>
      </c>
      <c r="AB14" s="517">
        <f t="shared" si="35"/>
        <v>0</v>
      </c>
      <c r="AC14" s="517">
        <f t="shared" si="35"/>
        <v>0</v>
      </c>
      <c r="AD14" s="517">
        <f t="shared" ref="AD14:AR14" si="36">IF(AD$4&lt;$M14,0,IF($P14=0,0,IF(AD$4=$M14,$S14,IF((AD$4-$M14)/$P14=INT((AD$4-$M14)/$P14),$S14,0))))</f>
        <v>0</v>
      </c>
      <c r="AE14" s="517">
        <f t="shared" si="36"/>
        <v>0</v>
      </c>
      <c r="AF14" s="517">
        <f t="shared" si="36"/>
        <v>0</v>
      </c>
      <c r="AG14" s="517">
        <f t="shared" si="36"/>
        <v>0</v>
      </c>
      <c r="AH14" s="517">
        <f t="shared" si="36"/>
        <v>0</v>
      </c>
      <c r="AI14" s="517">
        <f t="shared" si="36"/>
        <v>0</v>
      </c>
      <c r="AJ14" s="517">
        <f t="shared" si="36"/>
        <v>0</v>
      </c>
      <c r="AK14" s="517">
        <f t="shared" si="36"/>
        <v>0</v>
      </c>
      <c r="AL14" s="517">
        <f t="shared" si="36"/>
        <v>0</v>
      </c>
      <c r="AM14" s="517">
        <f t="shared" si="36"/>
        <v>0</v>
      </c>
      <c r="AN14" s="517">
        <f t="shared" si="36"/>
        <v>0</v>
      </c>
      <c r="AO14" s="517">
        <f t="shared" si="36"/>
        <v>0</v>
      </c>
      <c r="AP14" s="517">
        <f t="shared" si="36"/>
        <v>0</v>
      </c>
      <c r="AQ14" s="517">
        <f t="shared" si="36"/>
        <v>0</v>
      </c>
      <c r="AR14" s="517">
        <f t="shared" si="36"/>
        <v>0</v>
      </c>
      <c r="AS14" s="518">
        <f t="shared" ref="AS14:AS16" si="37">SUM(T14:AR14)</f>
        <v>0</v>
      </c>
    </row>
    <row r="15" spans="1:45" ht="11.1" customHeight="1" thickBot="1" x14ac:dyDescent="0.25">
      <c r="A15" s="775"/>
      <c r="B15" s="503" t="s">
        <v>82</v>
      </c>
      <c r="C15" s="529"/>
      <c r="D15" s="530"/>
      <c r="E15" s="531"/>
      <c r="F15" s="531"/>
      <c r="G15" s="532"/>
      <c r="H15" s="533"/>
      <c r="I15" s="534"/>
      <c r="J15" s="535"/>
      <c r="K15" s="536"/>
      <c r="L15" s="537"/>
      <c r="M15" s="538"/>
      <c r="N15" s="535"/>
      <c r="O15" s="535"/>
      <c r="P15" s="538"/>
      <c r="Q15" s="539"/>
      <c r="R15" s="540"/>
      <c r="S15" s="541"/>
      <c r="T15" s="517">
        <f>T13-T14</f>
        <v>0</v>
      </c>
      <c r="U15" s="517">
        <f t="shared" ref="U15" si="38">U13-U14</f>
        <v>0</v>
      </c>
      <c r="V15" s="517">
        <f t="shared" ref="V15" si="39">V13-V14</f>
        <v>0</v>
      </c>
      <c r="W15" s="517">
        <f t="shared" ref="W15" si="40">W13-W14</f>
        <v>0</v>
      </c>
      <c r="X15" s="517">
        <f t="shared" ref="X15" si="41">X13-X14</f>
        <v>0</v>
      </c>
      <c r="Y15" s="517">
        <f t="shared" ref="Y15" si="42">Y13-Y14</f>
        <v>0</v>
      </c>
      <c r="Z15" s="517">
        <f t="shared" ref="Z15" si="43">Z13-Z14</f>
        <v>0</v>
      </c>
      <c r="AA15" s="517">
        <f t="shared" ref="AA15" si="44">AA13-AA14</f>
        <v>0</v>
      </c>
      <c r="AB15" s="517">
        <f t="shared" ref="AB15" si="45">AB13-AB14</f>
        <v>0</v>
      </c>
      <c r="AC15" s="517">
        <f t="shared" ref="AC15" si="46">AC13-AC14</f>
        <v>0</v>
      </c>
      <c r="AD15" s="517">
        <f t="shared" ref="AD15" si="47">AD13-AD14</f>
        <v>0</v>
      </c>
      <c r="AE15" s="517">
        <f t="shared" ref="AE15" si="48">AE13-AE14</f>
        <v>0</v>
      </c>
      <c r="AF15" s="517">
        <f t="shared" ref="AF15" si="49">AF13-AF14</f>
        <v>0</v>
      </c>
      <c r="AG15" s="517">
        <f t="shared" ref="AG15" si="50">AG13-AG14</f>
        <v>0</v>
      </c>
      <c r="AH15" s="517">
        <f t="shared" ref="AH15" si="51">AH13-AH14</f>
        <v>0</v>
      </c>
      <c r="AI15" s="517">
        <f t="shared" ref="AI15" si="52">AI13-AI14</f>
        <v>0</v>
      </c>
      <c r="AJ15" s="517">
        <f t="shared" ref="AJ15" si="53">AJ13-AJ14</f>
        <v>0</v>
      </c>
      <c r="AK15" s="517">
        <f t="shared" ref="AK15" si="54">AK13-AK14</f>
        <v>0</v>
      </c>
      <c r="AL15" s="517">
        <f t="shared" ref="AL15" si="55">AL13-AL14</f>
        <v>0</v>
      </c>
      <c r="AM15" s="517">
        <f t="shared" ref="AM15" si="56">AM13-AM14</f>
        <v>0</v>
      </c>
      <c r="AN15" s="517">
        <f t="shared" ref="AN15" si="57">AN13-AN14</f>
        <v>0</v>
      </c>
      <c r="AO15" s="517">
        <f t="shared" ref="AO15" si="58">AO13-AO14</f>
        <v>0</v>
      </c>
      <c r="AP15" s="517">
        <f t="shared" ref="AP15" si="59">AP13-AP14</f>
        <v>0</v>
      </c>
      <c r="AQ15" s="517">
        <f t="shared" ref="AQ15" si="60">AQ13-AQ14</f>
        <v>0</v>
      </c>
      <c r="AR15" s="517">
        <f t="shared" ref="AR15" si="61">AR13-AR14</f>
        <v>0</v>
      </c>
      <c r="AS15" s="518">
        <f t="shared" si="37"/>
        <v>0</v>
      </c>
    </row>
    <row r="16" spans="1:45" ht="15.95" customHeight="1" thickBot="1" x14ac:dyDescent="0.25">
      <c r="A16" s="775">
        <f>'Option A'!A10</f>
        <v>4</v>
      </c>
      <c r="B16" s="503" t="s">
        <v>80</v>
      </c>
      <c r="C16" s="504">
        <f>IF('Option A'!B10="x",'Option A'!C10,0)</f>
        <v>0</v>
      </c>
      <c r="D16" s="504">
        <f>IF('Option A'!B10="x",'Option A'!D10,0)</f>
        <v>0</v>
      </c>
      <c r="E16" s="544"/>
      <c r="F16" s="542">
        <f>IF('Option A'!$B10="x",'Option A'!J10,0)</f>
        <v>0</v>
      </c>
      <c r="G16" s="542">
        <f>IF('Option A'!$B10="x",'Option A'!K10,0)</f>
        <v>0</v>
      </c>
      <c r="H16" s="542">
        <f>IF('Option A'!$B10="x",'Option A'!L10,0)</f>
        <v>0</v>
      </c>
      <c r="I16" s="543">
        <f>IF('Option A'!$B10="x",'Option A'!M10,0)</f>
        <v>0</v>
      </c>
      <c r="J16" s="508"/>
      <c r="K16" s="509">
        <f>J16*(1+$K$5)</f>
        <v>0</v>
      </c>
      <c r="L16" s="510"/>
      <c r="M16" s="511">
        <f>'ECM Options Lifecycle'!N21</f>
        <v>0</v>
      </c>
      <c r="N16" s="512">
        <f>IF(D16=0,0,(VLOOKUP(D16,'Technology Inputs'!$D$44:$E$172,2,FALSE)))</f>
        <v>0</v>
      </c>
      <c r="O16" s="513"/>
      <c r="P16" s="512">
        <f>IF(D16=0,0,(ROUNDUP(VLOOKUP(D16,'Technology Inputs'!$D$44:$E$172,2,FALSE),0)))</f>
        <v>0</v>
      </c>
      <c r="Q16" s="514">
        <v>1</v>
      </c>
      <c r="R16" s="515"/>
      <c r="S16" s="516">
        <f>I16*Q16</f>
        <v>0</v>
      </c>
      <c r="T16" s="517">
        <f>IF(T$4&lt;$M16,0,IF($P16=0,0,IF(T$4=$M16,$S16,IF((T$4-$M16)/$P16=INT((T$4-$M16)/$P16),$S16,0))))-IF(T$4=$M16, $S16, 0)</f>
        <v>0</v>
      </c>
      <c r="U16" s="517">
        <f t="shared" ref="U16:AR16" si="62">IF(U$4&lt;$M16,0,IF($P16=0,0,IF(U$4=$M16,$S16,IF((U$4-$M16)/$P16=INT((U$4-$M16)/$P16),$S16,0))))-IF(U$4=$M16, $S16, 0)</f>
        <v>0</v>
      </c>
      <c r="V16" s="517">
        <f t="shared" si="62"/>
        <v>0</v>
      </c>
      <c r="W16" s="517">
        <f t="shared" si="62"/>
        <v>0</v>
      </c>
      <c r="X16" s="517">
        <f t="shared" si="62"/>
        <v>0</v>
      </c>
      <c r="Y16" s="517">
        <f t="shared" si="62"/>
        <v>0</v>
      </c>
      <c r="Z16" s="517">
        <f t="shared" si="62"/>
        <v>0</v>
      </c>
      <c r="AA16" s="517">
        <f t="shared" si="62"/>
        <v>0</v>
      </c>
      <c r="AB16" s="517">
        <f t="shared" si="62"/>
        <v>0</v>
      </c>
      <c r="AC16" s="517">
        <f t="shared" si="62"/>
        <v>0</v>
      </c>
      <c r="AD16" s="517">
        <f t="shared" si="62"/>
        <v>0</v>
      </c>
      <c r="AE16" s="517">
        <f t="shared" si="62"/>
        <v>0</v>
      </c>
      <c r="AF16" s="517">
        <f t="shared" si="62"/>
        <v>0</v>
      </c>
      <c r="AG16" s="517">
        <f t="shared" si="62"/>
        <v>0</v>
      </c>
      <c r="AH16" s="517">
        <f t="shared" si="62"/>
        <v>0</v>
      </c>
      <c r="AI16" s="517">
        <f t="shared" si="62"/>
        <v>0</v>
      </c>
      <c r="AJ16" s="517">
        <f t="shared" si="62"/>
        <v>0</v>
      </c>
      <c r="AK16" s="517">
        <f t="shared" si="62"/>
        <v>0</v>
      </c>
      <c r="AL16" s="517">
        <f t="shared" si="62"/>
        <v>0</v>
      </c>
      <c r="AM16" s="517">
        <f t="shared" si="62"/>
        <v>0</v>
      </c>
      <c r="AN16" s="517">
        <f t="shared" si="62"/>
        <v>0</v>
      </c>
      <c r="AO16" s="517">
        <f t="shared" si="62"/>
        <v>0</v>
      </c>
      <c r="AP16" s="517">
        <f t="shared" si="62"/>
        <v>0</v>
      </c>
      <c r="AQ16" s="517">
        <f t="shared" si="62"/>
        <v>0</v>
      </c>
      <c r="AR16" s="517">
        <f t="shared" si="62"/>
        <v>0</v>
      </c>
      <c r="AS16" s="518">
        <f t="shared" si="37"/>
        <v>0</v>
      </c>
    </row>
    <row r="17" spans="1:45" ht="14.45" customHeight="1" x14ac:dyDescent="0.2">
      <c r="A17" s="775"/>
      <c r="B17" s="503" t="s">
        <v>81</v>
      </c>
      <c r="C17" s="503" t="b">
        <f>IF('Option A'!$B10="x",IF('Option A'!$E10="Yes", 'Option A'!G10),0)</f>
        <v>0</v>
      </c>
      <c r="D17" s="503" t="b">
        <f>IF('Option A'!$B10="x",IF('Option A'!$E10="Yes", 'Option A'!H10),0)</f>
        <v>0</v>
      </c>
      <c r="E17" s="519">
        <f>IF('Option A'!$B10="x",'ECM Options Lifecycle'!F22,0)</f>
        <v>0</v>
      </c>
      <c r="F17" s="519">
        <f>IF('Option A'!$B10="x",'ECM Options Lifecycle'!G22,0)</f>
        <v>0</v>
      </c>
      <c r="G17" s="520" t="str">
        <f>IF('Option A'!$B10="x",'ECM Options Lifecycle'!H22,0)</f>
        <v xml:space="preserve"> </v>
      </c>
      <c r="H17" s="521">
        <f>IF('Option A'!$B10="x",'ECM Options Lifecycle'!I22,0)</f>
        <v>0</v>
      </c>
      <c r="I17" s="522">
        <f>F17*H17</f>
        <v>0</v>
      </c>
      <c r="J17" s="523"/>
      <c r="K17" s="524"/>
      <c r="L17" s="525"/>
      <c r="M17" s="511">
        <f>'ECM Options Lifecycle'!N22</f>
        <v>0</v>
      </c>
      <c r="N17" s="526">
        <f>'Option A'!I10</f>
        <v>0</v>
      </c>
      <c r="O17" s="523"/>
      <c r="P17" s="526">
        <f>ROUNDUP(N17, 0)</f>
        <v>0</v>
      </c>
      <c r="Q17" s="527">
        <v>1</v>
      </c>
      <c r="R17" s="528"/>
      <c r="S17" s="516">
        <f>I17*Q17</f>
        <v>0</v>
      </c>
      <c r="T17" s="517">
        <f t="shared" ref="T17:AC17" si="63">IF(T$4&lt;$M17,0,IF($P17=0,0,IF(T$4=$M17,$S17,IF((T$4-$M17)/$P17=INT((T$4-$M17)/$P17),$S17,0))))</f>
        <v>0</v>
      </c>
      <c r="U17" s="517">
        <f t="shared" si="63"/>
        <v>0</v>
      </c>
      <c r="V17" s="517">
        <f t="shared" si="63"/>
        <v>0</v>
      </c>
      <c r="W17" s="517">
        <f t="shared" si="63"/>
        <v>0</v>
      </c>
      <c r="X17" s="517">
        <f t="shared" si="63"/>
        <v>0</v>
      </c>
      <c r="Y17" s="517">
        <f t="shared" si="63"/>
        <v>0</v>
      </c>
      <c r="Z17" s="517">
        <f t="shared" si="63"/>
        <v>0</v>
      </c>
      <c r="AA17" s="517">
        <f t="shared" si="63"/>
        <v>0</v>
      </c>
      <c r="AB17" s="517">
        <f t="shared" si="63"/>
        <v>0</v>
      </c>
      <c r="AC17" s="517">
        <f t="shared" si="63"/>
        <v>0</v>
      </c>
      <c r="AD17" s="517">
        <f t="shared" ref="AD17:AR17" si="64">IF(AD$4&lt;$M17,0,IF($P17=0,0,IF(AD$4=$M17,$S17,IF((AD$4-$M17)/$P17=INT((AD$4-$M17)/$P17),$S17,0))))</f>
        <v>0</v>
      </c>
      <c r="AE17" s="517">
        <f t="shared" si="64"/>
        <v>0</v>
      </c>
      <c r="AF17" s="517">
        <f t="shared" si="64"/>
        <v>0</v>
      </c>
      <c r="AG17" s="517">
        <f t="shared" si="64"/>
        <v>0</v>
      </c>
      <c r="AH17" s="517">
        <f t="shared" si="64"/>
        <v>0</v>
      </c>
      <c r="AI17" s="517">
        <f t="shared" si="64"/>
        <v>0</v>
      </c>
      <c r="AJ17" s="517">
        <f t="shared" si="64"/>
        <v>0</v>
      </c>
      <c r="AK17" s="517">
        <f t="shared" si="64"/>
        <v>0</v>
      </c>
      <c r="AL17" s="517">
        <f t="shared" si="64"/>
        <v>0</v>
      </c>
      <c r="AM17" s="517">
        <f t="shared" si="64"/>
        <v>0</v>
      </c>
      <c r="AN17" s="517">
        <f t="shared" si="64"/>
        <v>0</v>
      </c>
      <c r="AO17" s="517">
        <f t="shared" si="64"/>
        <v>0</v>
      </c>
      <c r="AP17" s="517">
        <f t="shared" si="64"/>
        <v>0</v>
      </c>
      <c r="AQ17" s="517">
        <f t="shared" si="64"/>
        <v>0</v>
      </c>
      <c r="AR17" s="517">
        <f t="shared" si="64"/>
        <v>0</v>
      </c>
      <c r="AS17" s="518">
        <f t="shared" ref="AS17:AS19" si="65">SUM(T17:AR17)</f>
        <v>0</v>
      </c>
    </row>
    <row r="18" spans="1:45" ht="11.1" customHeight="1" thickBot="1" x14ac:dyDescent="0.25">
      <c r="A18" s="775"/>
      <c r="B18" s="503" t="s">
        <v>82</v>
      </c>
      <c r="C18" s="529"/>
      <c r="D18" s="530"/>
      <c r="E18" s="531"/>
      <c r="F18" s="531"/>
      <c r="G18" s="532"/>
      <c r="H18" s="533"/>
      <c r="I18" s="534"/>
      <c r="J18" s="535"/>
      <c r="K18" s="536"/>
      <c r="L18" s="537"/>
      <c r="M18" s="538"/>
      <c r="N18" s="535"/>
      <c r="O18" s="535"/>
      <c r="P18" s="538"/>
      <c r="Q18" s="539"/>
      <c r="R18" s="540"/>
      <c r="S18" s="541"/>
      <c r="T18" s="517">
        <f>T16-T17</f>
        <v>0</v>
      </c>
      <c r="U18" s="517">
        <f t="shared" ref="U18" si="66">U16-U17</f>
        <v>0</v>
      </c>
      <c r="V18" s="517">
        <f t="shared" ref="V18" si="67">V16-V17</f>
        <v>0</v>
      </c>
      <c r="W18" s="517">
        <f t="shared" ref="W18" si="68">W16-W17</f>
        <v>0</v>
      </c>
      <c r="X18" s="517">
        <f t="shared" ref="X18" si="69">X16-X17</f>
        <v>0</v>
      </c>
      <c r="Y18" s="517">
        <f t="shared" ref="Y18" si="70">Y16-Y17</f>
        <v>0</v>
      </c>
      <c r="Z18" s="517">
        <f t="shared" ref="Z18" si="71">Z16-Z17</f>
        <v>0</v>
      </c>
      <c r="AA18" s="517">
        <f t="shared" ref="AA18" si="72">AA16-AA17</f>
        <v>0</v>
      </c>
      <c r="AB18" s="517">
        <f t="shared" ref="AB18" si="73">AB16-AB17</f>
        <v>0</v>
      </c>
      <c r="AC18" s="517">
        <f t="shared" ref="AC18" si="74">AC16-AC17</f>
        <v>0</v>
      </c>
      <c r="AD18" s="517">
        <f t="shared" ref="AD18" si="75">AD16-AD17</f>
        <v>0</v>
      </c>
      <c r="AE18" s="517">
        <f t="shared" ref="AE18" si="76">AE16-AE17</f>
        <v>0</v>
      </c>
      <c r="AF18" s="517">
        <f t="shared" ref="AF18" si="77">AF16-AF17</f>
        <v>0</v>
      </c>
      <c r="AG18" s="517">
        <f t="shared" ref="AG18" si="78">AG16-AG17</f>
        <v>0</v>
      </c>
      <c r="AH18" s="517">
        <f t="shared" ref="AH18" si="79">AH16-AH17</f>
        <v>0</v>
      </c>
      <c r="AI18" s="517">
        <f t="shared" ref="AI18" si="80">AI16-AI17</f>
        <v>0</v>
      </c>
      <c r="AJ18" s="517">
        <f t="shared" ref="AJ18" si="81">AJ16-AJ17</f>
        <v>0</v>
      </c>
      <c r="AK18" s="517">
        <f t="shared" ref="AK18" si="82">AK16-AK17</f>
        <v>0</v>
      </c>
      <c r="AL18" s="517">
        <f t="shared" ref="AL18" si="83">AL16-AL17</f>
        <v>0</v>
      </c>
      <c r="AM18" s="517">
        <f t="shared" ref="AM18" si="84">AM16-AM17</f>
        <v>0</v>
      </c>
      <c r="AN18" s="517">
        <f t="shared" ref="AN18" si="85">AN16-AN17</f>
        <v>0</v>
      </c>
      <c r="AO18" s="517">
        <f t="shared" ref="AO18" si="86">AO16-AO17</f>
        <v>0</v>
      </c>
      <c r="AP18" s="517">
        <f t="shared" ref="AP18" si="87">AP16-AP17</f>
        <v>0</v>
      </c>
      <c r="AQ18" s="517">
        <f t="shared" ref="AQ18" si="88">AQ16-AQ17</f>
        <v>0</v>
      </c>
      <c r="AR18" s="517">
        <f t="shared" ref="AR18" si="89">AR16-AR17</f>
        <v>0</v>
      </c>
      <c r="AS18" s="518">
        <f t="shared" si="65"/>
        <v>0</v>
      </c>
    </row>
    <row r="19" spans="1:45" ht="15.95" customHeight="1" thickBot="1" x14ac:dyDescent="0.25">
      <c r="A19" s="775">
        <f>'Option A'!A11</f>
        <v>5</v>
      </c>
      <c r="B19" s="503" t="s">
        <v>80</v>
      </c>
      <c r="C19" s="504">
        <f>IF('Option A'!$B11="x",'Option A'!C11,0)</f>
        <v>0</v>
      </c>
      <c r="D19" s="504">
        <f>IF('Option A'!$B11="x",'Option A'!D11,0)</f>
        <v>0</v>
      </c>
      <c r="E19" s="544"/>
      <c r="F19" s="542">
        <f>IF('Option A'!$B11="x",'Option A'!J11,0)</f>
        <v>0</v>
      </c>
      <c r="G19" s="542">
        <f>IF('Option A'!$B11="x",'Option A'!K11,0)</f>
        <v>0</v>
      </c>
      <c r="H19" s="542">
        <f>IF('Option A'!$B11="x",'Option A'!L11,0)</f>
        <v>0</v>
      </c>
      <c r="I19" s="543">
        <f>IF('Option A'!$B11="x",'Option A'!M11,0)</f>
        <v>0</v>
      </c>
      <c r="J19" s="508"/>
      <c r="K19" s="509">
        <f>J19*(1+$K$5)</f>
        <v>0</v>
      </c>
      <c r="L19" s="510"/>
      <c r="M19" s="511">
        <f>'ECM Options Lifecycle'!N24</f>
        <v>0</v>
      </c>
      <c r="N19" s="512">
        <f>IF(D19=0,0,(VLOOKUP(D19,'Technology Inputs'!$D$44:$E$172,2,FALSE)))</f>
        <v>0</v>
      </c>
      <c r="O19" s="513"/>
      <c r="P19" s="512">
        <f>IF(D19=0,0,(ROUNDUP(VLOOKUP(D19,'Technology Inputs'!$D$44:$E$172,2,FALSE),0)))</f>
        <v>0</v>
      </c>
      <c r="Q19" s="514">
        <v>1</v>
      </c>
      <c r="R19" s="515"/>
      <c r="S19" s="516">
        <f>I19*Q19</f>
        <v>0</v>
      </c>
      <c r="T19" s="517">
        <f>IF(T$4&lt;$M19,0,IF($P19=0,0,IF(T$4=$M19,$S19,IF((T$4-$M19)/$P19=INT((T$4-$M19)/$P19),$S19,0))))-IF(T$4=$M19, $S19, 0)</f>
        <v>0</v>
      </c>
      <c r="U19" s="517">
        <f t="shared" ref="U19:AR19" si="90">IF(U$4&lt;$M19,0,IF($P19=0,0,IF(U$4=$M19,$S19,IF((U$4-$M19)/$P19=INT((U$4-$M19)/$P19),$S19,0))))-IF(U$4=$M19, $S19, 0)</f>
        <v>0</v>
      </c>
      <c r="V19" s="517">
        <f t="shared" si="90"/>
        <v>0</v>
      </c>
      <c r="W19" s="517">
        <f t="shared" si="90"/>
        <v>0</v>
      </c>
      <c r="X19" s="517">
        <f t="shared" si="90"/>
        <v>0</v>
      </c>
      <c r="Y19" s="517">
        <f t="shared" si="90"/>
        <v>0</v>
      </c>
      <c r="Z19" s="517">
        <f t="shared" si="90"/>
        <v>0</v>
      </c>
      <c r="AA19" s="517">
        <f t="shared" si="90"/>
        <v>0</v>
      </c>
      <c r="AB19" s="517">
        <f t="shared" si="90"/>
        <v>0</v>
      </c>
      <c r="AC19" s="517">
        <f t="shared" si="90"/>
        <v>0</v>
      </c>
      <c r="AD19" s="517">
        <f t="shared" si="90"/>
        <v>0</v>
      </c>
      <c r="AE19" s="517">
        <f t="shared" si="90"/>
        <v>0</v>
      </c>
      <c r="AF19" s="517">
        <f t="shared" si="90"/>
        <v>0</v>
      </c>
      <c r="AG19" s="517">
        <f t="shared" si="90"/>
        <v>0</v>
      </c>
      <c r="AH19" s="517">
        <f>IF(AH$4&lt;$M19,0,IF($P19=0,0,IF(AH$4=$M19,$S19,IF((AH$4-$M19)/$P19=INT((AH$4-$M19)/$P19),$S19,0))))-IF(AH$4=$M19, $S19, 0)</f>
        <v>0</v>
      </c>
      <c r="AI19" s="517">
        <f t="shared" si="90"/>
        <v>0</v>
      </c>
      <c r="AJ19" s="517">
        <f t="shared" si="90"/>
        <v>0</v>
      </c>
      <c r="AK19" s="517">
        <f t="shared" si="90"/>
        <v>0</v>
      </c>
      <c r="AL19" s="517">
        <f t="shared" si="90"/>
        <v>0</v>
      </c>
      <c r="AM19" s="517">
        <f t="shared" si="90"/>
        <v>0</v>
      </c>
      <c r="AN19" s="517">
        <f t="shared" si="90"/>
        <v>0</v>
      </c>
      <c r="AO19" s="517">
        <f t="shared" si="90"/>
        <v>0</v>
      </c>
      <c r="AP19" s="517">
        <f t="shared" si="90"/>
        <v>0</v>
      </c>
      <c r="AQ19" s="517">
        <f t="shared" si="90"/>
        <v>0</v>
      </c>
      <c r="AR19" s="517">
        <f t="shared" si="90"/>
        <v>0</v>
      </c>
      <c r="AS19" s="518">
        <f t="shared" si="65"/>
        <v>0</v>
      </c>
    </row>
    <row r="20" spans="1:45" ht="14.45" customHeight="1" x14ac:dyDescent="0.2">
      <c r="A20" s="775"/>
      <c r="B20" s="503" t="s">
        <v>81</v>
      </c>
      <c r="C20" s="503" t="b">
        <f>IF('Option A'!$B11="x",IF('Option A'!$E11="Yes", 'Option A'!G11),0)</f>
        <v>0</v>
      </c>
      <c r="D20" s="503" t="b">
        <f>IF('Option A'!$B11="x",IF('Option A'!$E11="Yes", 'Option A'!H11),0)</f>
        <v>0</v>
      </c>
      <c r="E20" s="519">
        <f>IF('Option A'!$B11="x",'ECM Options Lifecycle'!F25,0)</f>
        <v>0</v>
      </c>
      <c r="F20" s="519">
        <f>IF('Option A'!$B11="x",'ECM Options Lifecycle'!G25,0)</f>
        <v>0</v>
      </c>
      <c r="G20" s="520">
        <f>IF('Option A'!$B11="x",'ECM Options Lifecycle'!H25,0)</f>
        <v>0</v>
      </c>
      <c r="H20" s="521">
        <f>IF('Option A'!$B11="x",'ECM Options Lifecycle'!I25,0)</f>
        <v>0</v>
      </c>
      <c r="I20" s="522">
        <f>F20*H20</f>
        <v>0</v>
      </c>
      <c r="J20" s="523"/>
      <c r="K20" s="524"/>
      <c r="L20" s="525"/>
      <c r="M20" s="511">
        <f>'ECM Options Lifecycle'!N25</f>
        <v>0</v>
      </c>
      <c r="N20" s="526">
        <f>'Option A'!I11</f>
        <v>0</v>
      </c>
      <c r="O20" s="523"/>
      <c r="P20" s="526">
        <f>ROUNDUP(N20, 0)</f>
        <v>0</v>
      </c>
      <c r="Q20" s="527">
        <v>1</v>
      </c>
      <c r="R20" s="528"/>
      <c r="S20" s="516">
        <f>I20*Q20</f>
        <v>0</v>
      </c>
      <c r="T20" s="517">
        <f t="shared" ref="T20:AC20" si="91">IF(T$4&lt;$M20,0,IF($P20=0,0,IF(T$4=$M20,$S20,IF((T$4-$M20)/$P20=INT((T$4-$M20)/$P20),$S20,0))))</f>
        <v>0</v>
      </c>
      <c r="U20" s="517">
        <f t="shared" si="91"/>
        <v>0</v>
      </c>
      <c r="V20" s="517">
        <f t="shared" si="91"/>
        <v>0</v>
      </c>
      <c r="W20" s="517">
        <f t="shared" si="91"/>
        <v>0</v>
      </c>
      <c r="X20" s="517">
        <f t="shared" si="91"/>
        <v>0</v>
      </c>
      <c r="Y20" s="517">
        <f t="shared" si="91"/>
        <v>0</v>
      </c>
      <c r="Z20" s="517">
        <f t="shared" si="91"/>
        <v>0</v>
      </c>
      <c r="AA20" s="517">
        <f t="shared" si="91"/>
        <v>0</v>
      </c>
      <c r="AB20" s="517">
        <f t="shared" si="91"/>
        <v>0</v>
      </c>
      <c r="AC20" s="517">
        <f t="shared" si="91"/>
        <v>0</v>
      </c>
      <c r="AD20" s="517">
        <f t="shared" ref="AD20:AR20" si="92">IF(AD$4&lt;$M20,0,IF($P20=0,0,IF(AD$4=$M20,$S20,IF((AD$4-$M20)/$P20=INT((AD$4-$M20)/$P20),$S20,0))))</f>
        <v>0</v>
      </c>
      <c r="AE20" s="517">
        <f t="shared" si="92"/>
        <v>0</v>
      </c>
      <c r="AF20" s="517">
        <f t="shared" si="92"/>
        <v>0</v>
      </c>
      <c r="AG20" s="517">
        <f t="shared" si="92"/>
        <v>0</v>
      </c>
      <c r="AH20" s="517">
        <f t="shared" si="92"/>
        <v>0</v>
      </c>
      <c r="AI20" s="517">
        <f t="shared" si="92"/>
        <v>0</v>
      </c>
      <c r="AJ20" s="517">
        <f t="shared" si="92"/>
        <v>0</v>
      </c>
      <c r="AK20" s="517">
        <f t="shared" si="92"/>
        <v>0</v>
      </c>
      <c r="AL20" s="517">
        <f t="shared" si="92"/>
        <v>0</v>
      </c>
      <c r="AM20" s="517">
        <f t="shared" si="92"/>
        <v>0</v>
      </c>
      <c r="AN20" s="517">
        <f t="shared" si="92"/>
        <v>0</v>
      </c>
      <c r="AO20" s="517">
        <f t="shared" si="92"/>
        <v>0</v>
      </c>
      <c r="AP20" s="517">
        <f t="shared" si="92"/>
        <v>0</v>
      </c>
      <c r="AQ20" s="517">
        <f t="shared" si="92"/>
        <v>0</v>
      </c>
      <c r="AR20" s="517">
        <f t="shared" si="92"/>
        <v>0</v>
      </c>
      <c r="AS20" s="518">
        <f t="shared" ref="AS20:AS22" si="93">SUM(T20:AR20)</f>
        <v>0</v>
      </c>
    </row>
    <row r="21" spans="1:45" ht="11.1" customHeight="1" thickBot="1" x14ac:dyDescent="0.25">
      <c r="A21" s="775"/>
      <c r="B21" s="503" t="s">
        <v>82</v>
      </c>
      <c r="C21" s="529"/>
      <c r="D21" s="530"/>
      <c r="E21" s="531"/>
      <c r="F21" s="531"/>
      <c r="G21" s="532"/>
      <c r="H21" s="533"/>
      <c r="I21" s="534"/>
      <c r="J21" s="535"/>
      <c r="K21" s="536"/>
      <c r="L21" s="537"/>
      <c r="M21" s="538"/>
      <c r="N21" s="535"/>
      <c r="O21" s="535"/>
      <c r="P21" s="538"/>
      <c r="Q21" s="539"/>
      <c r="R21" s="540"/>
      <c r="S21" s="541"/>
      <c r="T21" s="517">
        <f>T19-T20</f>
        <v>0</v>
      </c>
      <c r="U21" s="517">
        <f t="shared" ref="U21" si="94">U19-U20</f>
        <v>0</v>
      </c>
      <c r="V21" s="517">
        <f t="shared" ref="V21" si="95">V19-V20</f>
        <v>0</v>
      </c>
      <c r="W21" s="517">
        <f t="shared" ref="W21" si="96">W19-W20</f>
        <v>0</v>
      </c>
      <c r="X21" s="517">
        <f t="shared" ref="X21" si="97">X19-X20</f>
        <v>0</v>
      </c>
      <c r="Y21" s="517">
        <f t="shared" ref="Y21" si="98">Y19-Y20</f>
        <v>0</v>
      </c>
      <c r="Z21" s="517">
        <f t="shared" ref="Z21" si="99">Z19-Z20</f>
        <v>0</v>
      </c>
      <c r="AA21" s="517">
        <f t="shared" ref="AA21" si="100">AA19-AA20</f>
        <v>0</v>
      </c>
      <c r="AB21" s="517">
        <f t="shared" ref="AB21" si="101">AB19-AB20</f>
        <v>0</v>
      </c>
      <c r="AC21" s="517">
        <f t="shared" ref="AC21" si="102">AC19-AC20</f>
        <v>0</v>
      </c>
      <c r="AD21" s="517">
        <f t="shared" ref="AD21" si="103">AD19-AD20</f>
        <v>0</v>
      </c>
      <c r="AE21" s="517">
        <f t="shared" ref="AE21" si="104">AE19-AE20</f>
        <v>0</v>
      </c>
      <c r="AF21" s="517">
        <f t="shared" ref="AF21" si="105">AF19-AF20</f>
        <v>0</v>
      </c>
      <c r="AG21" s="517">
        <f t="shared" ref="AG21" si="106">AG19-AG20</f>
        <v>0</v>
      </c>
      <c r="AH21" s="517">
        <f t="shared" ref="AH21" si="107">AH19-AH20</f>
        <v>0</v>
      </c>
      <c r="AI21" s="517">
        <f t="shared" ref="AI21" si="108">AI19-AI20</f>
        <v>0</v>
      </c>
      <c r="AJ21" s="517">
        <f t="shared" ref="AJ21" si="109">AJ19-AJ20</f>
        <v>0</v>
      </c>
      <c r="AK21" s="517">
        <f t="shared" ref="AK21" si="110">AK19-AK20</f>
        <v>0</v>
      </c>
      <c r="AL21" s="517">
        <f t="shared" ref="AL21" si="111">AL19-AL20</f>
        <v>0</v>
      </c>
      <c r="AM21" s="517">
        <f t="shared" ref="AM21" si="112">AM19-AM20</f>
        <v>0</v>
      </c>
      <c r="AN21" s="517">
        <f t="shared" ref="AN21" si="113">AN19-AN20</f>
        <v>0</v>
      </c>
      <c r="AO21" s="517">
        <f t="shared" ref="AO21" si="114">AO19-AO20</f>
        <v>0</v>
      </c>
      <c r="AP21" s="517">
        <f t="shared" ref="AP21" si="115">AP19-AP20</f>
        <v>0</v>
      </c>
      <c r="AQ21" s="517">
        <f t="shared" ref="AQ21" si="116">AQ19-AQ20</f>
        <v>0</v>
      </c>
      <c r="AR21" s="517">
        <f t="shared" ref="AR21" si="117">AR19-AR20</f>
        <v>0</v>
      </c>
      <c r="AS21" s="518">
        <f t="shared" si="93"/>
        <v>0</v>
      </c>
    </row>
    <row r="22" spans="1:45" ht="15.95" customHeight="1" thickBot="1" x14ac:dyDescent="0.25">
      <c r="A22" s="775">
        <f>'Option A'!A12</f>
        <v>6</v>
      </c>
      <c r="B22" s="503" t="s">
        <v>80</v>
      </c>
      <c r="C22" s="504">
        <f>IF('Option A'!$B12="x",'Option A'!C12,0)</f>
        <v>0</v>
      </c>
      <c r="D22" s="504">
        <f>IF('Option A'!$B12="x",'Option A'!D12,0)</f>
        <v>0</v>
      </c>
      <c r="E22" s="544"/>
      <c r="F22" s="542">
        <f>IF('Option A'!$B12="x",'Option A'!J12,0)</f>
        <v>0</v>
      </c>
      <c r="G22" s="542">
        <f>IF('Option A'!$B12="x",'Option A'!K12,0)</f>
        <v>0</v>
      </c>
      <c r="H22" s="542">
        <f>IF('Option A'!$B12="x",'Option A'!L12,0)</f>
        <v>0</v>
      </c>
      <c r="I22" s="543">
        <f>IF('Option A'!$B12="x",'Option A'!M12,0)</f>
        <v>0</v>
      </c>
      <c r="J22" s="508"/>
      <c r="K22" s="509">
        <f>J22*(1+$K$5)</f>
        <v>0</v>
      </c>
      <c r="L22" s="510"/>
      <c r="M22" s="511">
        <f>'ECM Options Lifecycle'!N27</f>
        <v>0</v>
      </c>
      <c r="N22" s="512">
        <f>IF(D22=0,0,(VLOOKUP(D22,'Technology Inputs'!$D$44:$E$172,2,FALSE)))</f>
        <v>0</v>
      </c>
      <c r="O22" s="513"/>
      <c r="P22" s="512">
        <f>IF(D22=0,0,(ROUNDUP(VLOOKUP(D22,'Technology Inputs'!$D$44:$E$172,2,FALSE),0)))</f>
        <v>0</v>
      </c>
      <c r="Q22" s="514">
        <v>1</v>
      </c>
      <c r="R22" s="515"/>
      <c r="S22" s="516">
        <f>I22*Q22</f>
        <v>0</v>
      </c>
      <c r="T22" s="517">
        <f>IF(T$4&lt;$M22,0,IF($P22=0,0,IF(T$4=$M22,$S22,IF((T$4-$M22)/$P22=INT((T$4-$M22)/$P22),$S22,0))))-IF(T$4=$M22, $S22, 0)</f>
        <v>0</v>
      </c>
      <c r="U22" s="517">
        <f t="shared" ref="U22:AR22" si="118">IF(U$4&lt;$M22,0,IF($P22=0,0,IF(U$4=$M22,$S22,IF((U$4-$M22)/$P22=INT((U$4-$M22)/$P22),$S22,0))))-IF(U$4=$M22, $S22, 0)</f>
        <v>0</v>
      </c>
      <c r="V22" s="517">
        <f t="shared" si="118"/>
        <v>0</v>
      </c>
      <c r="W22" s="517">
        <f t="shared" si="118"/>
        <v>0</v>
      </c>
      <c r="X22" s="517">
        <f t="shared" si="118"/>
        <v>0</v>
      </c>
      <c r="Y22" s="517">
        <f t="shared" si="118"/>
        <v>0</v>
      </c>
      <c r="Z22" s="517">
        <f t="shared" si="118"/>
        <v>0</v>
      </c>
      <c r="AA22" s="517">
        <f t="shared" si="118"/>
        <v>0</v>
      </c>
      <c r="AB22" s="517">
        <f t="shared" si="118"/>
        <v>0</v>
      </c>
      <c r="AC22" s="517">
        <f t="shared" si="118"/>
        <v>0</v>
      </c>
      <c r="AD22" s="517">
        <f t="shared" si="118"/>
        <v>0</v>
      </c>
      <c r="AE22" s="517">
        <f t="shared" si="118"/>
        <v>0</v>
      </c>
      <c r="AF22" s="517">
        <f t="shared" si="118"/>
        <v>0</v>
      </c>
      <c r="AG22" s="517">
        <f t="shared" si="118"/>
        <v>0</v>
      </c>
      <c r="AH22" s="517">
        <f t="shared" si="118"/>
        <v>0</v>
      </c>
      <c r="AI22" s="517">
        <f t="shared" si="118"/>
        <v>0</v>
      </c>
      <c r="AJ22" s="517">
        <f t="shared" si="118"/>
        <v>0</v>
      </c>
      <c r="AK22" s="517">
        <f t="shared" si="118"/>
        <v>0</v>
      </c>
      <c r="AL22" s="517">
        <f t="shared" si="118"/>
        <v>0</v>
      </c>
      <c r="AM22" s="517">
        <f t="shared" si="118"/>
        <v>0</v>
      </c>
      <c r="AN22" s="517">
        <f t="shared" si="118"/>
        <v>0</v>
      </c>
      <c r="AO22" s="517">
        <f t="shared" si="118"/>
        <v>0</v>
      </c>
      <c r="AP22" s="517">
        <f t="shared" si="118"/>
        <v>0</v>
      </c>
      <c r="AQ22" s="517">
        <f t="shared" si="118"/>
        <v>0</v>
      </c>
      <c r="AR22" s="517">
        <f t="shared" si="118"/>
        <v>0</v>
      </c>
      <c r="AS22" s="518">
        <f t="shared" si="93"/>
        <v>0</v>
      </c>
    </row>
    <row r="23" spans="1:45" ht="14.45" customHeight="1" x14ac:dyDescent="0.2">
      <c r="A23" s="775"/>
      <c r="B23" s="503" t="s">
        <v>81</v>
      </c>
      <c r="C23" s="503" t="b">
        <f>IF('Option A'!$B12="x",IF('Option A'!$E12="Yes", 'Option A'!G12),0)</f>
        <v>0</v>
      </c>
      <c r="D23" s="503" t="b">
        <f>IF('Option A'!$B12="x",IF('Option A'!$E12="Yes", 'Option A'!H12),0)</f>
        <v>0</v>
      </c>
      <c r="E23" s="519">
        <f>IF('Option A'!$B12="x",'ECM Options Lifecycle'!F28,0)</f>
        <v>0</v>
      </c>
      <c r="F23" s="519">
        <f>IF('Option A'!$B12="x",'ECM Options Lifecycle'!G28,0)</f>
        <v>0</v>
      </c>
      <c r="G23" s="520">
        <f>IF('Option A'!$B12="x",'ECM Options Lifecycle'!H28,0)</f>
        <v>0</v>
      </c>
      <c r="H23" s="521">
        <f>IF('Option A'!$B12="x",'ECM Options Lifecycle'!I28,0)</f>
        <v>0</v>
      </c>
      <c r="I23" s="522">
        <f>F23*H23</f>
        <v>0</v>
      </c>
      <c r="J23" s="523"/>
      <c r="K23" s="524"/>
      <c r="L23" s="525"/>
      <c r="M23" s="511">
        <f>'ECM Options Lifecycle'!N28</f>
        <v>0</v>
      </c>
      <c r="N23" s="526">
        <f>'Option A'!I12</f>
        <v>0</v>
      </c>
      <c r="O23" s="523"/>
      <c r="P23" s="526">
        <f>ROUNDUP(N23, 0)</f>
        <v>0</v>
      </c>
      <c r="Q23" s="527">
        <v>1</v>
      </c>
      <c r="R23" s="528"/>
      <c r="S23" s="516">
        <f>I23*Q23</f>
        <v>0</v>
      </c>
      <c r="T23" s="517">
        <f t="shared" ref="T23:AC23" si="119">IF(T$4&lt;$M23,0,IF($P23=0,0,IF(T$4=$M23,$S23,IF((T$4-$M23)/$P23=INT((T$4-$M23)/$P23),$S23,0))))</f>
        <v>0</v>
      </c>
      <c r="U23" s="517">
        <f t="shared" si="119"/>
        <v>0</v>
      </c>
      <c r="V23" s="517">
        <f t="shared" si="119"/>
        <v>0</v>
      </c>
      <c r="W23" s="517">
        <f t="shared" si="119"/>
        <v>0</v>
      </c>
      <c r="X23" s="517">
        <f t="shared" si="119"/>
        <v>0</v>
      </c>
      <c r="Y23" s="517">
        <f t="shared" si="119"/>
        <v>0</v>
      </c>
      <c r="Z23" s="517">
        <f t="shared" si="119"/>
        <v>0</v>
      </c>
      <c r="AA23" s="517">
        <f t="shared" si="119"/>
        <v>0</v>
      </c>
      <c r="AB23" s="517">
        <f t="shared" si="119"/>
        <v>0</v>
      </c>
      <c r="AC23" s="517">
        <f t="shared" si="119"/>
        <v>0</v>
      </c>
      <c r="AD23" s="517">
        <f t="shared" ref="AD23:AR23" si="120">IF(AD$4&lt;$M23,0,IF($P23=0,0,IF(AD$4=$M23,$S23,IF((AD$4-$M23)/$P23=INT((AD$4-$M23)/$P23),$S23,0))))</f>
        <v>0</v>
      </c>
      <c r="AE23" s="517">
        <f t="shared" si="120"/>
        <v>0</v>
      </c>
      <c r="AF23" s="517">
        <f t="shared" si="120"/>
        <v>0</v>
      </c>
      <c r="AG23" s="517">
        <f t="shared" si="120"/>
        <v>0</v>
      </c>
      <c r="AH23" s="517">
        <f t="shared" si="120"/>
        <v>0</v>
      </c>
      <c r="AI23" s="517">
        <f t="shared" si="120"/>
        <v>0</v>
      </c>
      <c r="AJ23" s="517">
        <f t="shared" si="120"/>
        <v>0</v>
      </c>
      <c r="AK23" s="517">
        <f t="shared" si="120"/>
        <v>0</v>
      </c>
      <c r="AL23" s="517">
        <f t="shared" si="120"/>
        <v>0</v>
      </c>
      <c r="AM23" s="517">
        <f t="shared" si="120"/>
        <v>0</v>
      </c>
      <c r="AN23" s="517">
        <f t="shared" si="120"/>
        <v>0</v>
      </c>
      <c r="AO23" s="517">
        <f t="shared" si="120"/>
        <v>0</v>
      </c>
      <c r="AP23" s="517">
        <f t="shared" si="120"/>
        <v>0</v>
      </c>
      <c r="AQ23" s="517">
        <f t="shared" si="120"/>
        <v>0</v>
      </c>
      <c r="AR23" s="517">
        <f t="shared" si="120"/>
        <v>0</v>
      </c>
      <c r="AS23" s="518">
        <f t="shared" ref="AS23:AS25" si="121">SUM(T23:AR23)</f>
        <v>0</v>
      </c>
    </row>
    <row r="24" spans="1:45" ht="11.1" customHeight="1" thickBot="1" x14ac:dyDescent="0.25">
      <c r="A24" s="775"/>
      <c r="B24" s="503" t="s">
        <v>82</v>
      </c>
      <c r="C24" s="529"/>
      <c r="D24" s="530"/>
      <c r="E24" s="531"/>
      <c r="F24" s="531"/>
      <c r="G24" s="532"/>
      <c r="H24" s="533"/>
      <c r="I24" s="534"/>
      <c r="J24" s="535"/>
      <c r="K24" s="536"/>
      <c r="L24" s="537"/>
      <c r="M24" s="538"/>
      <c r="N24" s="535"/>
      <c r="O24" s="535"/>
      <c r="P24" s="538"/>
      <c r="Q24" s="539"/>
      <c r="R24" s="540"/>
      <c r="S24" s="541"/>
      <c r="T24" s="517">
        <f>T22-T23</f>
        <v>0</v>
      </c>
      <c r="U24" s="517">
        <f t="shared" ref="U24" si="122">U22-U23</f>
        <v>0</v>
      </c>
      <c r="V24" s="517">
        <f t="shared" ref="V24" si="123">V22-V23</f>
        <v>0</v>
      </c>
      <c r="W24" s="517">
        <f t="shared" ref="W24" si="124">W22-W23</f>
        <v>0</v>
      </c>
      <c r="X24" s="517">
        <f t="shared" ref="X24" si="125">X22-X23</f>
        <v>0</v>
      </c>
      <c r="Y24" s="517">
        <f t="shared" ref="Y24" si="126">Y22-Y23</f>
        <v>0</v>
      </c>
      <c r="Z24" s="517">
        <f t="shared" ref="Z24" si="127">Z22-Z23</f>
        <v>0</v>
      </c>
      <c r="AA24" s="517">
        <f t="shared" ref="AA24" si="128">AA22-AA23</f>
        <v>0</v>
      </c>
      <c r="AB24" s="517">
        <f t="shared" ref="AB24" si="129">AB22-AB23</f>
        <v>0</v>
      </c>
      <c r="AC24" s="517">
        <f t="shared" ref="AC24" si="130">AC22-AC23</f>
        <v>0</v>
      </c>
      <c r="AD24" s="517">
        <f t="shared" ref="AD24" si="131">AD22-AD23</f>
        <v>0</v>
      </c>
      <c r="AE24" s="517">
        <f t="shared" ref="AE24" si="132">AE22-AE23</f>
        <v>0</v>
      </c>
      <c r="AF24" s="517">
        <f t="shared" ref="AF24" si="133">AF22-AF23</f>
        <v>0</v>
      </c>
      <c r="AG24" s="517">
        <f t="shared" ref="AG24" si="134">AG22-AG23</f>
        <v>0</v>
      </c>
      <c r="AH24" s="517">
        <f t="shared" ref="AH24" si="135">AH22-AH23</f>
        <v>0</v>
      </c>
      <c r="AI24" s="517">
        <f t="shared" ref="AI24" si="136">AI22-AI23</f>
        <v>0</v>
      </c>
      <c r="AJ24" s="517">
        <f t="shared" ref="AJ24" si="137">AJ22-AJ23</f>
        <v>0</v>
      </c>
      <c r="AK24" s="517">
        <f t="shared" ref="AK24" si="138">AK22-AK23</f>
        <v>0</v>
      </c>
      <c r="AL24" s="517">
        <f t="shared" ref="AL24" si="139">AL22-AL23</f>
        <v>0</v>
      </c>
      <c r="AM24" s="517">
        <f t="shared" ref="AM24" si="140">AM22-AM23</f>
        <v>0</v>
      </c>
      <c r="AN24" s="517">
        <f t="shared" ref="AN24" si="141">AN22-AN23</f>
        <v>0</v>
      </c>
      <c r="AO24" s="517">
        <f t="shared" ref="AO24" si="142">AO22-AO23</f>
        <v>0</v>
      </c>
      <c r="AP24" s="517">
        <f t="shared" ref="AP24" si="143">AP22-AP23</f>
        <v>0</v>
      </c>
      <c r="AQ24" s="517">
        <f t="shared" ref="AQ24" si="144">AQ22-AQ23</f>
        <v>0</v>
      </c>
      <c r="AR24" s="517">
        <f t="shared" ref="AR24" si="145">AR22-AR23</f>
        <v>0</v>
      </c>
      <c r="AS24" s="518">
        <f t="shared" si="121"/>
        <v>0</v>
      </c>
    </row>
    <row r="25" spans="1:45" ht="15.95" customHeight="1" thickBot="1" x14ac:dyDescent="0.25">
      <c r="A25" s="775">
        <f>'Option A'!A13</f>
        <v>7</v>
      </c>
      <c r="B25" s="503" t="s">
        <v>80</v>
      </c>
      <c r="C25" s="504">
        <f>IF('Option A'!$B13="x",'Option A'!C13,0)</f>
        <v>0</v>
      </c>
      <c r="D25" s="504">
        <f>IF('Option A'!$B13="x",'Option A'!D13,0)</f>
        <v>0</v>
      </c>
      <c r="E25" s="544"/>
      <c r="F25" s="542">
        <f>IF('Option A'!$B13="x",'Option A'!J13,0)</f>
        <v>0</v>
      </c>
      <c r="G25" s="542">
        <f>IF('Option A'!$B13="x",'Option A'!K13,0)</f>
        <v>0</v>
      </c>
      <c r="H25" s="542">
        <f>IF('Option A'!$B13="x",'Option A'!L13,0)</f>
        <v>0</v>
      </c>
      <c r="I25" s="543">
        <f>IF('Option A'!$B13="x",'Option A'!M13,0)</f>
        <v>0</v>
      </c>
      <c r="J25" s="508"/>
      <c r="K25" s="509">
        <f>J25*(1+$K$5)</f>
        <v>0</v>
      </c>
      <c r="L25" s="510"/>
      <c r="M25" s="511">
        <f>'ECM Options Lifecycle'!N30</f>
        <v>0</v>
      </c>
      <c r="N25" s="512">
        <f>IF(D25=0,0,(VLOOKUP(D25,'Technology Inputs'!$D$44:$E$172,2,FALSE)))</f>
        <v>0</v>
      </c>
      <c r="O25" s="513"/>
      <c r="P25" s="512">
        <f>IF(D25=0,0,(ROUNDUP(VLOOKUP(D25,'Technology Inputs'!$D$44:$E$172,2,FALSE),0)))</f>
        <v>0</v>
      </c>
      <c r="Q25" s="514">
        <v>1</v>
      </c>
      <c r="R25" s="515"/>
      <c r="S25" s="516">
        <f>I25*Q25</f>
        <v>0</v>
      </c>
      <c r="T25" s="517">
        <f>IF(T$4&lt;$M25,0,IF($P25=0,0,IF(T$4=$M25,$S25,IF((T$4-$M25)/$P25=INT((T$4-$M25)/$P25),$S25,0))))-IF(T$4=$M25, $S25, 0)</f>
        <v>0</v>
      </c>
      <c r="U25" s="517">
        <f t="shared" ref="U25:AR25" si="146">IF(U$4&lt;$M25,0,IF($P25=0,0,IF(U$4=$M25,$S25,IF((U$4-$M25)/$P25=INT((U$4-$M25)/$P25),$S25,0))))-IF(U$4=$M25, $S25, 0)</f>
        <v>0</v>
      </c>
      <c r="V25" s="517">
        <f t="shared" si="146"/>
        <v>0</v>
      </c>
      <c r="W25" s="517">
        <f t="shared" si="146"/>
        <v>0</v>
      </c>
      <c r="X25" s="517">
        <f t="shared" si="146"/>
        <v>0</v>
      </c>
      <c r="Y25" s="517">
        <f t="shared" si="146"/>
        <v>0</v>
      </c>
      <c r="Z25" s="517">
        <f t="shared" si="146"/>
        <v>0</v>
      </c>
      <c r="AA25" s="517">
        <f t="shared" si="146"/>
        <v>0</v>
      </c>
      <c r="AB25" s="517">
        <f t="shared" si="146"/>
        <v>0</v>
      </c>
      <c r="AC25" s="517">
        <f t="shared" si="146"/>
        <v>0</v>
      </c>
      <c r="AD25" s="517">
        <f t="shared" si="146"/>
        <v>0</v>
      </c>
      <c r="AE25" s="517">
        <f t="shared" si="146"/>
        <v>0</v>
      </c>
      <c r="AF25" s="517">
        <f t="shared" si="146"/>
        <v>0</v>
      </c>
      <c r="AG25" s="517">
        <f t="shared" si="146"/>
        <v>0</v>
      </c>
      <c r="AH25" s="517">
        <f t="shared" si="146"/>
        <v>0</v>
      </c>
      <c r="AI25" s="517">
        <f t="shared" si="146"/>
        <v>0</v>
      </c>
      <c r="AJ25" s="517">
        <f t="shared" si="146"/>
        <v>0</v>
      </c>
      <c r="AK25" s="517">
        <f t="shared" si="146"/>
        <v>0</v>
      </c>
      <c r="AL25" s="517">
        <f t="shared" si="146"/>
        <v>0</v>
      </c>
      <c r="AM25" s="517">
        <f t="shared" si="146"/>
        <v>0</v>
      </c>
      <c r="AN25" s="517">
        <f t="shared" si="146"/>
        <v>0</v>
      </c>
      <c r="AO25" s="517">
        <f t="shared" si="146"/>
        <v>0</v>
      </c>
      <c r="AP25" s="517">
        <f t="shared" si="146"/>
        <v>0</v>
      </c>
      <c r="AQ25" s="517">
        <f t="shared" si="146"/>
        <v>0</v>
      </c>
      <c r="AR25" s="517">
        <f t="shared" si="146"/>
        <v>0</v>
      </c>
      <c r="AS25" s="518">
        <f t="shared" si="121"/>
        <v>0</v>
      </c>
    </row>
    <row r="26" spans="1:45" ht="14.45" customHeight="1" x14ac:dyDescent="0.2">
      <c r="A26" s="775"/>
      <c r="B26" s="503" t="s">
        <v>81</v>
      </c>
      <c r="C26" s="503" t="b">
        <f>IF('Option A'!$B13="x",IF('Option A'!$E13="Yes", 'Option A'!G13),0)</f>
        <v>0</v>
      </c>
      <c r="D26" s="503" t="b">
        <f>IF('Option A'!$B13="x",IF('Option A'!$E13="Yes", 'Option A'!H13),0)</f>
        <v>0</v>
      </c>
      <c r="E26" s="519">
        <f>IF('Option A'!$B13="x",'ECM Options Lifecycle'!F31,0)</f>
        <v>0</v>
      </c>
      <c r="F26" s="519">
        <f>IF('Option A'!$B13="x",'ECM Options Lifecycle'!G31,0)</f>
        <v>0</v>
      </c>
      <c r="G26" s="520" t="str">
        <f>IF('Option A'!$B13="x",'ECM Options Lifecycle'!H31,0)</f>
        <v xml:space="preserve"> </v>
      </c>
      <c r="H26" s="521">
        <f>IF('Option A'!$B13="x",'ECM Options Lifecycle'!I31,0)</f>
        <v>0</v>
      </c>
      <c r="I26" s="522">
        <f>F26*H26</f>
        <v>0</v>
      </c>
      <c r="J26" s="523"/>
      <c r="K26" s="524"/>
      <c r="L26" s="525"/>
      <c r="M26" s="511">
        <f>'ECM Options Lifecycle'!N31</f>
        <v>0</v>
      </c>
      <c r="N26" s="526">
        <f>'Option A'!I12</f>
        <v>0</v>
      </c>
      <c r="O26" s="523"/>
      <c r="P26" s="526">
        <f>ROUNDUP(N26, 0)</f>
        <v>0</v>
      </c>
      <c r="Q26" s="527">
        <v>1</v>
      </c>
      <c r="R26" s="528"/>
      <c r="S26" s="516">
        <f>I26*Q26</f>
        <v>0</v>
      </c>
      <c r="T26" s="517">
        <f t="shared" ref="T26:AC26" si="147">IF(T$4&lt;$M26,0,IF($P26=0,0,IF(T$4=$M26,$S26,IF((T$4-$M26)/$P26=INT((T$4-$M26)/$P26),$S26,0))))</f>
        <v>0</v>
      </c>
      <c r="U26" s="517">
        <f t="shared" si="147"/>
        <v>0</v>
      </c>
      <c r="V26" s="517">
        <f t="shared" si="147"/>
        <v>0</v>
      </c>
      <c r="W26" s="517">
        <f t="shared" si="147"/>
        <v>0</v>
      </c>
      <c r="X26" s="517">
        <f t="shared" si="147"/>
        <v>0</v>
      </c>
      <c r="Y26" s="517">
        <f t="shared" si="147"/>
        <v>0</v>
      </c>
      <c r="Z26" s="517">
        <f t="shared" si="147"/>
        <v>0</v>
      </c>
      <c r="AA26" s="517">
        <f t="shared" si="147"/>
        <v>0</v>
      </c>
      <c r="AB26" s="517">
        <f t="shared" si="147"/>
        <v>0</v>
      </c>
      <c r="AC26" s="517">
        <f t="shared" si="147"/>
        <v>0</v>
      </c>
      <c r="AD26" s="517">
        <f t="shared" ref="AD26:AR26" si="148">IF(AD$4&lt;$M26,0,IF($P26=0,0,IF(AD$4=$M26,$S26,IF((AD$4-$M26)/$P26=INT((AD$4-$M26)/$P26),$S26,0))))</f>
        <v>0</v>
      </c>
      <c r="AE26" s="517">
        <f t="shared" si="148"/>
        <v>0</v>
      </c>
      <c r="AF26" s="517">
        <f t="shared" si="148"/>
        <v>0</v>
      </c>
      <c r="AG26" s="517">
        <f t="shared" si="148"/>
        <v>0</v>
      </c>
      <c r="AH26" s="517">
        <f t="shared" si="148"/>
        <v>0</v>
      </c>
      <c r="AI26" s="517">
        <f t="shared" si="148"/>
        <v>0</v>
      </c>
      <c r="AJ26" s="517">
        <f t="shared" si="148"/>
        <v>0</v>
      </c>
      <c r="AK26" s="517">
        <f t="shared" si="148"/>
        <v>0</v>
      </c>
      <c r="AL26" s="517">
        <f t="shared" si="148"/>
        <v>0</v>
      </c>
      <c r="AM26" s="517">
        <f t="shared" si="148"/>
        <v>0</v>
      </c>
      <c r="AN26" s="517">
        <f t="shared" si="148"/>
        <v>0</v>
      </c>
      <c r="AO26" s="517">
        <f t="shared" si="148"/>
        <v>0</v>
      </c>
      <c r="AP26" s="517">
        <f t="shared" si="148"/>
        <v>0</v>
      </c>
      <c r="AQ26" s="517">
        <f t="shared" si="148"/>
        <v>0</v>
      </c>
      <c r="AR26" s="517">
        <f t="shared" si="148"/>
        <v>0</v>
      </c>
      <c r="AS26" s="518">
        <f t="shared" ref="AS26:AS28" si="149">SUM(T26:AR26)</f>
        <v>0</v>
      </c>
    </row>
    <row r="27" spans="1:45" ht="11.1" customHeight="1" thickBot="1" x14ac:dyDescent="0.25">
      <c r="A27" s="775"/>
      <c r="B27" s="503" t="s">
        <v>82</v>
      </c>
      <c r="C27" s="529"/>
      <c r="D27" s="530"/>
      <c r="E27" s="531"/>
      <c r="F27" s="531"/>
      <c r="G27" s="532"/>
      <c r="H27" s="533"/>
      <c r="I27" s="534"/>
      <c r="J27" s="535"/>
      <c r="K27" s="536"/>
      <c r="L27" s="537"/>
      <c r="M27" s="538"/>
      <c r="N27" s="535"/>
      <c r="O27" s="535"/>
      <c r="P27" s="538"/>
      <c r="Q27" s="539"/>
      <c r="R27" s="540"/>
      <c r="S27" s="541"/>
      <c r="T27" s="517">
        <f>T25-T26</f>
        <v>0</v>
      </c>
      <c r="U27" s="517">
        <f t="shared" ref="U27" si="150">U25-U26</f>
        <v>0</v>
      </c>
      <c r="V27" s="517">
        <f t="shared" ref="V27" si="151">V25-V26</f>
        <v>0</v>
      </c>
      <c r="W27" s="517">
        <f t="shared" ref="W27" si="152">W25-W26</f>
        <v>0</v>
      </c>
      <c r="X27" s="517">
        <f t="shared" ref="X27" si="153">X25-X26</f>
        <v>0</v>
      </c>
      <c r="Y27" s="517">
        <f t="shared" ref="Y27" si="154">Y25-Y26</f>
        <v>0</v>
      </c>
      <c r="Z27" s="517">
        <f t="shared" ref="Z27" si="155">Z25-Z26</f>
        <v>0</v>
      </c>
      <c r="AA27" s="517">
        <f t="shared" ref="AA27" si="156">AA25-AA26</f>
        <v>0</v>
      </c>
      <c r="AB27" s="517">
        <f t="shared" ref="AB27" si="157">AB25-AB26</f>
        <v>0</v>
      </c>
      <c r="AC27" s="517">
        <f t="shared" ref="AC27" si="158">AC25-AC26</f>
        <v>0</v>
      </c>
      <c r="AD27" s="517">
        <f t="shared" ref="AD27" si="159">AD25-AD26</f>
        <v>0</v>
      </c>
      <c r="AE27" s="517">
        <f t="shared" ref="AE27" si="160">AE25-AE26</f>
        <v>0</v>
      </c>
      <c r="AF27" s="517">
        <f t="shared" ref="AF27" si="161">AF25-AF26</f>
        <v>0</v>
      </c>
      <c r="AG27" s="517">
        <f t="shared" ref="AG27" si="162">AG25-AG26</f>
        <v>0</v>
      </c>
      <c r="AH27" s="517">
        <f t="shared" ref="AH27" si="163">AH25-AH26</f>
        <v>0</v>
      </c>
      <c r="AI27" s="517">
        <f t="shared" ref="AI27" si="164">AI25-AI26</f>
        <v>0</v>
      </c>
      <c r="AJ27" s="517">
        <f t="shared" ref="AJ27" si="165">AJ25-AJ26</f>
        <v>0</v>
      </c>
      <c r="AK27" s="517">
        <f t="shared" ref="AK27" si="166">AK25-AK26</f>
        <v>0</v>
      </c>
      <c r="AL27" s="517">
        <f t="shared" ref="AL27" si="167">AL25-AL26</f>
        <v>0</v>
      </c>
      <c r="AM27" s="517">
        <f t="shared" ref="AM27" si="168">AM25-AM26</f>
        <v>0</v>
      </c>
      <c r="AN27" s="517">
        <f t="shared" ref="AN27" si="169">AN25-AN26</f>
        <v>0</v>
      </c>
      <c r="AO27" s="517">
        <f t="shared" ref="AO27" si="170">AO25-AO26</f>
        <v>0</v>
      </c>
      <c r="AP27" s="517">
        <f t="shared" ref="AP27" si="171">AP25-AP26</f>
        <v>0</v>
      </c>
      <c r="AQ27" s="517">
        <f t="shared" ref="AQ27" si="172">AQ25-AQ26</f>
        <v>0</v>
      </c>
      <c r="AR27" s="517">
        <f t="shared" ref="AR27" si="173">AR25-AR26</f>
        <v>0</v>
      </c>
      <c r="AS27" s="518">
        <f t="shared" si="149"/>
        <v>0</v>
      </c>
    </row>
    <row r="28" spans="1:45" ht="15.95" customHeight="1" thickBot="1" x14ac:dyDescent="0.25">
      <c r="A28" s="775">
        <f>'Option A'!A14</f>
        <v>8</v>
      </c>
      <c r="B28" s="503" t="s">
        <v>80</v>
      </c>
      <c r="C28" s="504">
        <f>IF('Option A'!$B14="x",'Option A'!C14,0)</f>
        <v>0</v>
      </c>
      <c r="D28" s="504">
        <f>IF('Option A'!$B14="x",'Option A'!D14,0)</f>
        <v>0</v>
      </c>
      <c r="E28" s="544"/>
      <c r="F28" s="542">
        <f>IF('Option A'!$B14="x",'Option A'!J14,0)</f>
        <v>0</v>
      </c>
      <c r="G28" s="542">
        <f>IF('Option A'!$B14="x",'Option A'!K14,0)</f>
        <v>0</v>
      </c>
      <c r="H28" s="542">
        <f>IF('Option A'!$B14="x",'Option A'!L14,0)</f>
        <v>0</v>
      </c>
      <c r="I28" s="543">
        <f>IF('Option A'!$B14="x",'Option A'!M14,0)</f>
        <v>0</v>
      </c>
      <c r="J28" s="508"/>
      <c r="K28" s="509">
        <f>J28*(1+$K$5)</f>
        <v>0</v>
      </c>
      <c r="L28" s="510"/>
      <c r="M28" s="511">
        <f>'ECM Options Lifecycle'!N33</f>
        <v>0</v>
      </c>
      <c r="N28" s="512">
        <f>IF(D28=0,0,(VLOOKUP(D28,'Technology Inputs'!$D$44:$E$172,2,FALSE)))</f>
        <v>0</v>
      </c>
      <c r="O28" s="513"/>
      <c r="P28" s="512">
        <f>IF(D28=0,0,(ROUNDUP(VLOOKUP(D28,'Technology Inputs'!$D$44:$E$172,2,FALSE),0)))</f>
        <v>0</v>
      </c>
      <c r="Q28" s="514">
        <v>1</v>
      </c>
      <c r="R28" s="515"/>
      <c r="S28" s="516">
        <f>I28*Q28</f>
        <v>0</v>
      </c>
      <c r="T28" s="517">
        <f>IF(T$4&lt;$M28,0,IF($P28=0,0,IF(T$4=$M28,$S28,IF((T$4-$M28)/$P28=INT((T$4-$M28)/$P28),$S28,0))))-IF(T$4=$M28, $S28, 0)</f>
        <v>0</v>
      </c>
      <c r="U28" s="517">
        <f t="shared" ref="U28:AR28" si="174">IF(U$4&lt;$M28,0,IF($P28=0,0,IF(U$4=$M28,$S28,IF((U$4-$M28)/$P28=INT((U$4-$M28)/$P28),$S28,0))))-IF(U$4=$M28, $S28, 0)</f>
        <v>0</v>
      </c>
      <c r="V28" s="517">
        <f t="shared" si="174"/>
        <v>0</v>
      </c>
      <c r="W28" s="517">
        <f t="shared" si="174"/>
        <v>0</v>
      </c>
      <c r="X28" s="517">
        <f t="shared" si="174"/>
        <v>0</v>
      </c>
      <c r="Y28" s="517">
        <f t="shared" si="174"/>
        <v>0</v>
      </c>
      <c r="Z28" s="517">
        <f t="shared" si="174"/>
        <v>0</v>
      </c>
      <c r="AA28" s="517">
        <f t="shared" si="174"/>
        <v>0</v>
      </c>
      <c r="AB28" s="517">
        <f t="shared" si="174"/>
        <v>0</v>
      </c>
      <c r="AC28" s="517">
        <f t="shared" si="174"/>
        <v>0</v>
      </c>
      <c r="AD28" s="517">
        <f t="shared" si="174"/>
        <v>0</v>
      </c>
      <c r="AE28" s="517">
        <f t="shared" si="174"/>
        <v>0</v>
      </c>
      <c r="AF28" s="517">
        <f t="shared" si="174"/>
        <v>0</v>
      </c>
      <c r="AG28" s="517">
        <f t="shared" si="174"/>
        <v>0</v>
      </c>
      <c r="AH28" s="517">
        <f t="shared" si="174"/>
        <v>0</v>
      </c>
      <c r="AI28" s="517">
        <f t="shared" si="174"/>
        <v>0</v>
      </c>
      <c r="AJ28" s="517">
        <f t="shared" si="174"/>
        <v>0</v>
      </c>
      <c r="AK28" s="517">
        <f t="shared" si="174"/>
        <v>0</v>
      </c>
      <c r="AL28" s="517">
        <f t="shared" si="174"/>
        <v>0</v>
      </c>
      <c r="AM28" s="517">
        <f t="shared" si="174"/>
        <v>0</v>
      </c>
      <c r="AN28" s="517">
        <f t="shared" si="174"/>
        <v>0</v>
      </c>
      <c r="AO28" s="517">
        <f t="shared" si="174"/>
        <v>0</v>
      </c>
      <c r="AP28" s="517">
        <f t="shared" si="174"/>
        <v>0</v>
      </c>
      <c r="AQ28" s="517">
        <f t="shared" si="174"/>
        <v>0</v>
      </c>
      <c r="AR28" s="517">
        <f t="shared" si="174"/>
        <v>0</v>
      </c>
      <c r="AS28" s="518">
        <f t="shared" si="149"/>
        <v>0</v>
      </c>
    </row>
    <row r="29" spans="1:45" ht="14.45" customHeight="1" x14ac:dyDescent="0.2">
      <c r="A29" s="775"/>
      <c r="B29" s="503" t="s">
        <v>81</v>
      </c>
      <c r="C29" s="503" t="b">
        <f>IF('Option A'!$B14="x",IF('Option A'!$E14="Yes", 'Option A'!G14),0)</f>
        <v>0</v>
      </c>
      <c r="D29" s="503" t="b">
        <f>IF('Option A'!$B14="x",IF('Option A'!$E14="Yes", 'Option A'!H14),0)</f>
        <v>0</v>
      </c>
      <c r="E29" s="519">
        <f>IF('Option A'!$B14="x",'ECM Options Lifecycle'!F34,0)</f>
        <v>0</v>
      </c>
      <c r="F29" s="519">
        <f>IF('Option A'!$B14="x",'ECM Options Lifecycle'!G34,0)</f>
        <v>0</v>
      </c>
      <c r="G29" s="520">
        <f>IF('Option A'!$B14="x",'ECM Options Lifecycle'!H34,0)</f>
        <v>0</v>
      </c>
      <c r="H29" s="521">
        <f>IF('Option A'!$B14="x",'ECM Options Lifecycle'!I34,0)</f>
        <v>0</v>
      </c>
      <c r="I29" s="522">
        <f>F29*H29</f>
        <v>0</v>
      </c>
      <c r="J29" s="523"/>
      <c r="K29" s="524"/>
      <c r="L29" s="525"/>
      <c r="M29" s="511">
        <f>'ECM Options Lifecycle'!N34</f>
        <v>0</v>
      </c>
      <c r="N29" s="526">
        <f>'Option A'!I13</f>
        <v>0</v>
      </c>
      <c r="O29" s="523"/>
      <c r="P29" s="526">
        <f>ROUNDUP(N29, 0)</f>
        <v>0</v>
      </c>
      <c r="Q29" s="527">
        <v>1</v>
      </c>
      <c r="R29" s="528"/>
      <c r="S29" s="516">
        <f>I29*Q29</f>
        <v>0</v>
      </c>
      <c r="T29" s="517">
        <f t="shared" ref="T29:AC29" si="175">IF(T$4&lt;$M29,0,IF($P29=0,0,IF(T$4=$M29,$S29,IF((T$4-$M29)/$P29=INT((T$4-$M29)/$P29),$S29,0))))</f>
        <v>0</v>
      </c>
      <c r="U29" s="517">
        <f t="shared" si="175"/>
        <v>0</v>
      </c>
      <c r="V29" s="517">
        <f t="shared" si="175"/>
        <v>0</v>
      </c>
      <c r="W29" s="517">
        <f t="shared" si="175"/>
        <v>0</v>
      </c>
      <c r="X29" s="517">
        <f t="shared" si="175"/>
        <v>0</v>
      </c>
      <c r="Y29" s="517">
        <f t="shared" si="175"/>
        <v>0</v>
      </c>
      <c r="Z29" s="517">
        <f t="shared" si="175"/>
        <v>0</v>
      </c>
      <c r="AA29" s="517">
        <f t="shared" si="175"/>
        <v>0</v>
      </c>
      <c r="AB29" s="517">
        <f t="shared" si="175"/>
        <v>0</v>
      </c>
      <c r="AC29" s="517">
        <f t="shared" si="175"/>
        <v>0</v>
      </c>
      <c r="AD29" s="517">
        <f t="shared" ref="AD29:AR29" si="176">IF(AD$4&lt;$M29,0,IF($P29=0,0,IF(AD$4=$M29,$S29,IF((AD$4-$M29)/$P29=INT((AD$4-$M29)/$P29),$S29,0))))</f>
        <v>0</v>
      </c>
      <c r="AE29" s="517">
        <f t="shared" si="176"/>
        <v>0</v>
      </c>
      <c r="AF29" s="517">
        <f t="shared" si="176"/>
        <v>0</v>
      </c>
      <c r="AG29" s="517">
        <f t="shared" si="176"/>
        <v>0</v>
      </c>
      <c r="AH29" s="517">
        <f t="shared" si="176"/>
        <v>0</v>
      </c>
      <c r="AI29" s="517">
        <f t="shared" si="176"/>
        <v>0</v>
      </c>
      <c r="AJ29" s="517">
        <f t="shared" si="176"/>
        <v>0</v>
      </c>
      <c r="AK29" s="517">
        <f t="shared" si="176"/>
        <v>0</v>
      </c>
      <c r="AL29" s="517">
        <f t="shared" si="176"/>
        <v>0</v>
      </c>
      <c r="AM29" s="517">
        <f t="shared" si="176"/>
        <v>0</v>
      </c>
      <c r="AN29" s="517">
        <f t="shared" si="176"/>
        <v>0</v>
      </c>
      <c r="AO29" s="517">
        <f t="shared" si="176"/>
        <v>0</v>
      </c>
      <c r="AP29" s="517">
        <f t="shared" si="176"/>
        <v>0</v>
      </c>
      <c r="AQ29" s="517">
        <f t="shared" si="176"/>
        <v>0</v>
      </c>
      <c r="AR29" s="517">
        <f t="shared" si="176"/>
        <v>0</v>
      </c>
      <c r="AS29" s="518">
        <f t="shared" ref="AS29:AS31" si="177">SUM(T29:AR29)</f>
        <v>0</v>
      </c>
    </row>
    <row r="30" spans="1:45" ht="11.1" customHeight="1" thickBot="1" x14ac:dyDescent="0.25">
      <c r="A30" s="775"/>
      <c r="B30" s="503" t="s">
        <v>82</v>
      </c>
      <c r="C30" s="529"/>
      <c r="D30" s="530"/>
      <c r="E30" s="531"/>
      <c r="F30" s="531"/>
      <c r="G30" s="532"/>
      <c r="H30" s="533"/>
      <c r="I30" s="534"/>
      <c r="J30" s="535"/>
      <c r="K30" s="536"/>
      <c r="L30" s="537"/>
      <c r="M30" s="538"/>
      <c r="N30" s="535"/>
      <c r="O30" s="535"/>
      <c r="P30" s="538"/>
      <c r="Q30" s="539"/>
      <c r="R30" s="540"/>
      <c r="S30" s="541"/>
      <c r="T30" s="517">
        <f>T28-T29</f>
        <v>0</v>
      </c>
      <c r="U30" s="517">
        <f t="shared" ref="U30" si="178">U28-U29</f>
        <v>0</v>
      </c>
      <c r="V30" s="517">
        <f t="shared" ref="V30" si="179">V28-V29</f>
        <v>0</v>
      </c>
      <c r="W30" s="517">
        <f t="shared" ref="W30" si="180">W28-W29</f>
        <v>0</v>
      </c>
      <c r="X30" s="517">
        <f t="shared" ref="X30" si="181">X28-X29</f>
        <v>0</v>
      </c>
      <c r="Y30" s="517">
        <f t="shared" ref="Y30" si="182">Y28-Y29</f>
        <v>0</v>
      </c>
      <c r="Z30" s="517">
        <f t="shared" ref="Z30" si="183">Z28-Z29</f>
        <v>0</v>
      </c>
      <c r="AA30" s="517">
        <f t="shared" ref="AA30" si="184">AA28-AA29</f>
        <v>0</v>
      </c>
      <c r="AB30" s="517">
        <f t="shared" ref="AB30" si="185">AB28-AB29</f>
        <v>0</v>
      </c>
      <c r="AC30" s="517">
        <f t="shared" ref="AC30" si="186">AC28-AC29</f>
        <v>0</v>
      </c>
      <c r="AD30" s="517">
        <f t="shared" ref="AD30" si="187">AD28-AD29</f>
        <v>0</v>
      </c>
      <c r="AE30" s="517">
        <f t="shared" ref="AE30" si="188">AE28-AE29</f>
        <v>0</v>
      </c>
      <c r="AF30" s="517">
        <f t="shared" ref="AF30" si="189">AF28-AF29</f>
        <v>0</v>
      </c>
      <c r="AG30" s="517">
        <f t="shared" ref="AG30" si="190">AG28-AG29</f>
        <v>0</v>
      </c>
      <c r="AH30" s="517">
        <f t="shared" ref="AH30" si="191">AH28-AH29</f>
        <v>0</v>
      </c>
      <c r="AI30" s="517">
        <f t="shared" ref="AI30" si="192">AI28-AI29</f>
        <v>0</v>
      </c>
      <c r="AJ30" s="517">
        <f t="shared" ref="AJ30" si="193">AJ28-AJ29</f>
        <v>0</v>
      </c>
      <c r="AK30" s="517">
        <f t="shared" ref="AK30" si="194">AK28-AK29</f>
        <v>0</v>
      </c>
      <c r="AL30" s="517">
        <f t="shared" ref="AL30" si="195">AL28-AL29</f>
        <v>0</v>
      </c>
      <c r="AM30" s="517">
        <f t="shared" ref="AM30" si="196">AM28-AM29</f>
        <v>0</v>
      </c>
      <c r="AN30" s="517">
        <f t="shared" ref="AN30" si="197">AN28-AN29</f>
        <v>0</v>
      </c>
      <c r="AO30" s="517">
        <f t="shared" ref="AO30" si="198">AO28-AO29</f>
        <v>0</v>
      </c>
      <c r="AP30" s="517">
        <f t="shared" ref="AP30" si="199">AP28-AP29</f>
        <v>0</v>
      </c>
      <c r="AQ30" s="517">
        <f t="shared" ref="AQ30" si="200">AQ28-AQ29</f>
        <v>0</v>
      </c>
      <c r="AR30" s="517">
        <f t="shared" ref="AR30" si="201">AR28-AR29</f>
        <v>0</v>
      </c>
      <c r="AS30" s="518">
        <f t="shared" si="177"/>
        <v>0</v>
      </c>
    </row>
    <row r="31" spans="1:45" ht="15.95" customHeight="1" thickBot="1" x14ac:dyDescent="0.25">
      <c r="A31" s="775">
        <f>'Option A'!A15</f>
        <v>9</v>
      </c>
      <c r="B31" s="503" t="s">
        <v>80</v>
      </c>
      <c r="C31" s="504">
        <f>IF('Option A'!$B15="x",'Option A'!C15,0)</f>
        <v>0</v>
      </c>
      <c r="D31" s="504">
        <f>IF('Option A'!$B15="x",'Option A'!D15,0)</f>
        <v>0</v>
      </c>
      <c r="E31" s="544"/>
      <c r="F31" s="542">
        <f>IF('Option A'!$B15="x",'Option A'!J15,0)</f>
        <v>0</v>
      </c>
      <c r="G31" s="542">
        <f>IF('Option A'!$B15="x",'Option A'!K15,0)</f>
        <v>0</v>
      </c>
      <c r="H31" s="542">
        <f>IF('Option A'!$B15="x",'Option A'!L15,0)</f>
        <v>0</v>
      </c>
      <c r="I31" s="543">
        <f>IF('Option A'!$B15="x",'Option A'!M15,0)</f>
        <v>0</v>
      </c>
      <c r="J31" s="508"/>
      <c r="K31" s="509">
        <f>J31*(1+$K$5)</f>
        <v>0</v>
      </c>
      <c r="L31" s="510"/>
      <c r="M31" s="511">
        <f>'ECM Options Lifecycle'!N36</f>
        <v>0</v>
      </c>
      <c r="N31" s="512">
        <f>IF(D31=0,0,(VLOOKUP(D31,'Technology Inputs'!$D$44:$E$172,2,FALSE)))</f>
        <v>0</v>
      </c>
      <c r="O31" s="513"/>
      <c r="P31" s="512">
        <f>IF(D31=0,0,(ROUNDUP(VLOOKUP(D31,'Technology Inputs'!$D$44:$E$172,2,FALSE),0)))</f>
        <v>0</v>
      </c>
      <c r="Q31" s="514">
        <v>1</v>
      </c>
      <c r="R31" s="515"/>
      <c r="S31" s="516">
        <f>I31*Q31</f>
        <v>0</v>
      </c>
      <c r="T31" s="517">
        <f>IF(T$4&lt;$M31,0,IF($P31=0,0,IF(T$4=$M31,$S31,IF((T$4-$M31)/$P31=INT((T$4-$M31)/$P31),$S31,0))))-IF(T$4=$M31, $S31, 0)</f>
        <v>0</v>
      </c>
      <c r="U31" s="517">
        <f t="shared" ref="U31:AR31" si="202">IF(U$4&lt;$M31,0,IF($P31=0,0,IF(U$4=$M31,$S31,IF((U$4-$M31)/$P31=INT((U$4-$M31)/$P31),$S31,0))))-IF(U$4=$M31, $S31, 0)</f>
        <v>0</v>
      </c>
      <c r="V31" s="517">
        <f t="shared" si="202"/>
        <v>0</v>
      </c>
      <c r="W31" s="517">
        <f t="shared" si="202"/>
        <v>0</v>
      </c>
      <c r="X31" s="517">
        <f t="shared" si="202"/>
        <v>0</v>
      </c>
      <c r="Y31" s="517">
        <f t="shared" si="202"/>
        <v>0</v>
      </c>
      <c r="Z31" s="517">
        <f t="shared" si="202"/>
        <v>0</v>
      </c>
      <c r="AA31" s="517">
        <f t="shared" si="202"/>
        <v>0</v>
      </c>
      <c r="AB31" s="517">
        <f t="shared" si="202"/>
        <v>0</v>
      </c>
      <c r="AC31" s="517">
        <f t="shared" si="202"/>
        <v>0</v>
      </c>
      <c r="AD31" s="517">
        <f t="shared" si="202"/>
        <v>0</v>
      </c>
      <c r="AE31" s="517">
        <f t="shared" si="202"/>
        <v>0</v>
      </c>
      <c r="AF31" s="517">
        <f t="shared" si="202"/>
        <v>0</v>
      </c>
      <c r="AG31" s="517">
        <f t="shared" si="202"/>
        <v>0</v>
      </c>
      <c r="AH31" s="517">
        <f t="shared" si="202"/>
        <v>0</v>
      </c>
      <c r="AI31" s="517">
        <f t="shared" si="202"/>
        <v>0</v>
      </c>
      <c r="AJ31" s="517">
        <f t="shared" si="202"/>
        <v>0</v>
      </c>
      <c r="AK31" s="517">
        <f t="shared" si="202"/>
        <v>0</v>
      </c>
      <c r="AL31" s="517">
        <f t="shared" si="202"/>
        <v>0</v>
      </c>
      <c r="AM31" s="517">
        <f t="shared" si="202"/>
        <v>0</v>
      </c>
      <c r="AN31" s="517">
        <f t="shared" si="202"/>
        <v>0</v>
      </c>
      <c r="AO31" s="517">
        <f t="shared" si="202"/>
        <v>0</v>
      </c>
      <c r="AP31" s="517">
        <f t="shared" si="202"/>
        <v>0</v>
      </c>
      <c r="AQ31" s="517">
        <f t="shared" si="202"/>
        <v>0</v>
      </c>
      <c r="AR31" s="517">
        <f t="shared" si="202"/>
        <v>0</v>
      </c>
      <c r="AS31" s="518">
        <f t="shared" si="177"/>
        <v>0</v>
      </c>
    </row>
    <row r="32" spans="1:45" ht="14.45" customHeight="1" x14ac:dyDescent="0.2">
      <c r="A32" s="775"/>
      <c r="B32" s="503" t="s">
        <v>81</v>
      </c>
      <c r="C32" s="503" t="b">
        <f>IF('Option A'!$B15="x",IF('Option A'!$E15="Yes", 'Option A'!G15),0)</f>
        <v>0</v>
      </c>
      <c r="D32" s="503" t="b">
        <f>IF('Option A'!$B15="x",IF('Option A'!$E15="Yes", 'Option A'!H15),0)</f>
        <v>0</v>
      </c>
      <c r="E32" s="519">
        <f>IF('Option A'!$B15="x",'ECM Options Lifecycle'!F37,0)</f>
        <v>0</v>
      </c>
      <c r="F32" s="519">
        <f>IF('Option A'!$B15="x",'ECM Options Lifecycle'!G37,0)</f>
        <v>0</v>
      </c>
      <c r="G32" s="520">
        <f>IF('Option A'!$B15="x",'ECM Options Lifecycle'!H37,0)</f>
        <v>0</v>
      </c>
      <c r="H32" s="521">
        <f>IF('Option A'!$B15="x",'ECM Options Lifecycle'!I37,0)</f>
        <v>0</v>
      </c>
      <c r="I32" s="522">
        <f>F32*H32</f>
        <v>0</v>
      </c>
      <c r="J32" s="523"/>
      <c r="K32" s="524"/>
      <c r="L32" s="525"/>
      <c r="M32" s="511">
        <f>'ECM Options Lifecycle'!N37</f>
        <v>0</v>
      </c>
      <c r="N32" s="526">
        <f>'Option A'!I14</f>
        <v>0</v>
      </c>
      <c r="O32" s="523"/>
      <c r="P32" s="526">
        <f>ROUNDUP(N32, 0)</f>
        <v>0</v>
      </c>
      <c r="Q32" s="527">
        <v>1</v>
      </c>
      <c r="R32" s="528"/>
      <c r="S32" s="516">
        <f>I32*Q32</f>
        <v>0</v>
      </c>
      <c r="T32" s="517">
        <f t="shared" ref="T32:AC32" si="203">IF(T$4&lt;$M32,0,IF($P32=0,0,IF(T$4=$M32,$S32,IF((T$4-$M32)/$P32=INT((T$4-$M32)/$P32),$S32,0))))</f>
        <v>0</v>
      </c>
      <c r="U32" s="517">
        <f t="shared" si="203"/>
        <v>0</v>
      </c>
      <c r="V32" s="517">
        <f t="shared" si="203"/>
        <v>0</v>
      </c>
      <c r="W32" s="517">
        <f t="shared" si="203"/>
        <v>0</v>
      </c>
      <c r="X32" s="517">
        <f t="shared" si="203"/>
        <v>0</v>
      </c>
      <c r="Y32" s="517">
        <f t="shared" si="203"/>
        <v>0</v>
      </c>
      <c r="Z32" s="517">
        <f t="shared" si="203"/>
        <v>0</v>
      </c>
      <c r="AA32" s="517">
        <f t="shared" si="203"/>
        <v>0</v>
      </c>
      <c r="AB32" s="517">
        <f t="shared" si="203"/>
        <v>0</v>
      </c>
      <c r="AC32" s="517">
        <f t="shared" si="203"/>
        <v>0</v>
      </c>
      <c r="AD32" s="517">
        <f t="shared" ref="AD32:AR32" si="204">IF(AD$4&lt;$M32,0,IF($P32=0,0,IF(AD$4=$M32,$S32,IF((AD$4-$M32)/$P32=INT((AD$4-$M32)/$P32),$S32,0))))</f>
        <v>0</v>
      </c>
      <c r="AE32" s="517">
        <f t="shared" si="204"/>
        <v>0</v>
      </c>
      <c r="AF32" s="517">
        <f t="shared" si="204"/>
        <v>0</v>
      </c>
      <c r="AG32" s="517">
        <f t="shared" si="204"/>
        <v>0</v>
      </c>
      <c r="AH32" s="517">
        <f t="shared" si="204"/>
        <v>0</v>
      </c>
      <c r="AI32" s="517">
        <f t="shared" si="204"/>
        <v>0</v>
      </c>
      <c r="AJ32" s="517">
        <f t="shared" si="204"/>
        <v>0</v>
      </c>
      <c r="AK32" s="517">
        <f t="shared" si="204"/>
        <v>0</v>
      </c>
      <c r="AL32" s="517">
        <f t="shared" si="204"/>
        <v>0</v>
      </c>
      <c r="AM32" s="517">
        <f t="shared" si="204"/>
        <v>0</v>
      </c>
      <c r="AN32" s="517">
        <f t="shared" si="204"/>
        <v>0</v>
      </c>
      <c r="AO32" s="517">
        <f t="shared" si="204"/>
        <v>0</v>
      </c>
      <c r="AP32" s="517">
        <f t="shared" si="204"/>
        <v>0</v>
      </c>
      <c r="AQ32" s="517">
        <f t="shared" si="204"/>
        <v>0</v>
      </c>
      <c r="AR32" s="517">
        <f t="shared" si="204"/>
        <v>0</v>
      </c>
      <c r="AS32" s="518">
        <f t="shared" ref="AS32:AS33" si="205">SUM(T32:AR32)</f>
        <v>0</v>
      </c>
    </row>
    <row r="33" spans="1:45" ht="11.1" customHeight="1" thickBot="1" x14ac:dyDescent="0.25">
      <c r="A33" s="775"/>
      <c r="B33" s="503" t="s">
        <v>82</v>
      </c>
      <c r="C33" s="529"/>
      <c r="D33" s="530"/>
      <c r="E33" s="545"/>
      <c r="F33" s="545"/>
      <c r="G33" s="535"/>
      <c r="H33" s="546"/>
      <c r="I33" s="547"/>
      <c r="J33" s="535"/>
      <c r="K33" s="536"/>
      <c r="L33" s="537"/>
      <c r="M33" s="538"/>
      <c r="N33" s="535"/>
      <c r="O33" s="535"/>
      <c r="P33" s="538"/>
      <c r="Q33" s="539"/>
      <c r="R33" s="540"/>
      <c r="S33" s="541"/>
      <c r="T33" s="517">
        <f>T31-T32</f>
        <v>0</v>
      </c>
      <c r="U33" s="517">
        <f t="shared" ref="U33" si="206">U31-U32</f>
        <v>0</v>
      </c>
      <c r="V33" s="517">
        <f t="shared" ref="V33" si="207">V31-V32</f>
        <v>0</v>
      </c>
      <c r="W33" s="517">
        <f t="shared" ref="W33" si="208">W31-W32</f>
        <v>0</v>
      </c>
      <c r="X33" s="517">
        <f t="shared" ref="X33" si="209">X31-X32</f>
        <v>0</v>
      </c>
      <c r="Y33" s="517">
        <f t="shared" ref="Y33" si="210">Y31-Y32</f>
        <v>0</v>
      </c>
      <c r="Z33" s="517">
        <f t="shared" ref="Z33" si="211">Z31-Z32</f>
        <v>0</v>
      </c>
      <c r="AA33" s="517">
        <f t="shared" ref="AA33" si="212">AA31-AA32</f>
        <v>0</v>
      </c>
      <c r="AB33" s="517">
        <f t="shared" ref="AB33" si="213">AB31-AB32</f>
        <v>0</v>
      </c>
      <c r="AC33" s="517">
        <f t="shared" ref="AC33" si="214">AC31-AC32</f>
        <v>0</v>
      </c>
      <c r="AD33" s="517">
        <f t="shared" ref="AD33" si="215">AD31-AD32</f>
        <v>0</v>
      </c>
      <c r="AE33" s="517">
        <f t="shared" ref="AE33" si="216">AE31-AE32</f>
        <v>0</v>
      </c>
      <c r="AF33" s="517">
        <f t="shared" ref="AF33" si="217">AF31-AF32</f>
        <v>0</v>
      </c>
      <c r="AG33" s="517">
        <f t="shared" ref="AG33" si="218">AG31-AG32</f>
        <v>0</v>
      </c>
      <c r="AH33" s="517">
        <f t="shared" ref="AH33" si="219">AH31-AH32</f>
        <v>0</v>
      </c>
      <c r="AI33" s="517">
        <f t="shared" ref="AI33" si="220">AI31-AI32</f>
        <v>0</v>
      </c>
      <c r="AJ33" s="517">
        <f t="shared" ref="AJ33" si="221">AJ31-AJ32</f>
        <v>0</v>
      </c>
      <c r="AK33" s="517">
        <f t="shared" ref="AK33" si="222">AK31-AK32</f>
        <v>0</v>
      </c>
      <c r="AL33" s="517">
        <f t="shared" ref="AL33" si="223">AL31-AL32</f>
        <v>0</v>
      </c>
      <c r="AM33" s="517">
        <f t="shared" ref="AM33" si="224">AM31-AM32</f>
        <v>0</v>
      </c>
      <c r="AN33" s="517">
        <f t="shared" ref="AN33" si="225">AN31-AN32</f>
        <v>0</v>
      </c>
      <c r="AO33" s="517">
        <f t="shared" ref="AO33" si="226">AO31-AO32</f>
        <v>0</v>
      </c>
      <c r="AP33" s="517">
        <f t="shared" ref="AP33" si="227">AP31-AP32</f>
        <v>0</v>
      </c>
      <c r="AQ33" s="517">
        <f t="shared" ref="AQ33" si="228">AQ31-AQ32</f>
        <v>0</v>
      </c>
      <c r="AR33" s="517">
        <f t="shared" ref="AR33" si="229">AR31-AR32</f>
        <v>0</v>
      </c>
      <c r="AS33" s="518">
        <f t="shared" si="205"/>
        <v>0</v>
      </c>
    </row>
    <row r="34" spans="1:45" ht="11.1" customHeight="1" x14ac:dyDescent="0.2">
      <c r="C34" s="529"/>
      <c r="D34" s="529" t="s">
        <v>28</v>
      </c>
      <c r="E34" s="548"/>
      <c r="F34" s="548"/>
      <c r="G34" s="549"/>
      <c r="H34" s="550"/>
      <c r="I34" s="551"/>
      <c r="J34" s="552"/>
      <c r="K34" s="553"/>
      <c r="L34" s="554"/>
      <c r="M34" s="555"/>
      <c r="N34" s="555"/>
      <c r="O34" s="555"/>
      <c r="P34" s="556"/>
      <c r="Q34" s="528"/>
      <c r="R34" s="557"/>
      <c r="S34" s="558">
        <f>Q34*F34*K34</f>
        <v>0</v>
      </c>
      <c r="T34" s="517">
        <f t="shared" ref="T34:AR34" si="230">IF(T$4&lt;$M34,0,IF($P34=0,0,IF(T$4=$M34,$S34,IF((T$4-$M34)/$P34=INT((T$4-$M34)/$P34),$S34,0))))</f>
        <v>0</v>
      </c>
      <c r="U34" s="517">
        <f t="shared" si="230"/>
        <v>0</v>
      </c>
      <c r="V34" s="517">
        <f t="shared" si="230"/>
        <v>0</v>
      </c>
      <c r="W34" s="517">
        <f t="shared" si="230"/>
        <v>0</v>
      </c>
      <c r="X34" s="517">
        <f t="shared" si="230"/>
        <v>0</v>
      </c>
      <c r="Y34" s="517">
        <f t="shared" si="230"/>
        <v>0</v>
      </c>
      <c r="Z34" s="517">
        <f t="shared" si="230"/>
        <v>0</v>
      </c>
      <c r="AA34" s="517">
        <f t="shared" si="230"/>
        <v>0</v>
      </c>
      <c r="AB34" s="517">
        <f t="shared" si="230"/>
        <v>0</v>
      </c>
      <c r="AC34" s="517">
        <f t="shared" si="230"/>
        <v>0</v>
      </c>
      <c r="AD34" s="517">
        <f t="shared" si="230"/>
        <v>0</v>
      </c>
      <c r="AE34" s="517">
        <f t="shared" si="230"/>
        <v>0</v>
      </c>
      <c r="AF34" s="517">
        <f t="shared" si="230"/>
        <v>0</v>
      </c>
      <c r="AG34" s="517">
        <f t="shared" si="230"/>
        <v>0</v>
      </c>
      <c r="AH34" s="517">
        <f t="shared" si="230"/>
        <v>0</v>
      </c>
      <c r="AI34" s="517">
        <f t="shared" si="230"/>
        <v>0</v>
      </c>
      <c r="AJ34" s="517">
        <f t="shared" si="230"/>
        <v>0</v>
      </c>
      <c r="AK34" s="517">
        <f t="shared" si="230"/>
        <v>0</v>
      </c>
      <c r="AL34" s="517">
        <f t="shared" si="230"/>
        <v>0</v>
      </c>
      <c r="AM34" s="517">
        <f t="shared" si="230"/>
        <v>0</v>
      </c>
      <c r="AN34" s="517">
        <f t="shared" si="230"/>
        <v>0</v>
      </c>
      <c r="AO34" s="517">
        <f t="shared" si="230"/>
        <v>0</v>
      </c>
      <c r="AP34" s="517">
        <f t="shared" si="230"/>
        <v>0</v>
      </c>
      <c r="AQ34" s="517">
        <f t="shared" si="230"/>
        <v>0</v>
      </c>
      <c r="AR34" s="517">
        <f t="shared" si="230"/>
        <v>0</v>
      </c>
      <c r="AS34" s="518">
        <f t="shared" ref="AS34" si="231">SUM(T34:AR34)</f>
        <v>0</v>
      </c>
    </row>
    <row r="35" spans="1:45" ht="12.95" customHeight="1" thickBot="1" x14ac:dyDescent="0.25"/>
    <row r="36" spans="1:45" ht="12.95" customHeight="1" thickBot="1" x14ac:dyDescent="0.25">
      <c r="S36" s="561" t="s">
        <v>63</v>
      </c>
      <c r="T36" s="562">
        <f>T9+T12+T15+T18+T21+T24+T27+T30+T33</f>
        <v>0</v>
      </c>
      <c r="U36" s="562">
        <f t="shared" ref="U36:AS36" si="232">U9+U12+U15+U18+U21+U24+U27+U30+U33</f>
        <v>0</v>
      </c>
      <c r="V36" s="562">
        <f t="shared" si="232"/>
        <v>0</v>
      </c>
      <c r="W36" s="562">
        <f t="shared" si="232"/>
        <v>0</v>
      </c>
      <c r="X36" s="562">
        <f t="shared" si="232"/>
        <v>0</v>
      </c>
      <c r="Y36" s="562">
        <f t="shared" si="232"/>
        <v>0</v>
      </c>
      <c r="Z36" s="562">
        <f t="shared" si="232"/>
        <v>0</v>
      </c>
      <c r="AA36" s="562">
        <f t="shared" si="232"/>
        <v>0</v>
      </c>
      <c r="AB36" s="562">
        <f t="shared" si="232"/>
        <v>0</v>
      </c>
      <c r="AC36" s="562">
        <f t="shared" si="232"/>
        <v>0</v>
      </c>
      <c r="AD36" s="562">
        <f t="shared" si="232"/>
        <v>0</v>
      </c>
      <c r="AE36" s="562">
        <f t="shared" si="232"/>
        <v>0</v>
      </c>
      <c r="AF36" s="562">
        <f t="shared" si="232"/>
        <v>0</v>
      </c>
      <c r="AG36" s="562">
        <f t="shared" si="232"/>
        <v>0</v>
      </c>
      <c r="AH36" s="562">
        <f t="shared" si="232"/>
        <v>0</v>
      </c>
      <c r="AI36" s="562">
        <f t="shared" si="232"/>
        <v>0</v>
      </c>
      <c r="AJ36" s="562">
        <f t="shared" si="232"/>
        <v>0</v>
      </c>
      <c r="AK36" s="562">
        <f t="shared" si="232"/>
        <v>0</v>
      </c>
      <c r="AL36" s="562">
        <f t="shared" si="232"/>
        <v>0</v>
      </c>
      <c r="AM36" s="562">
        <f t="shared" si="232"/>
        <v>0</v>
      </c>
      <c r="AN36" s="562">
        <f t="shared" si="232"/>
        <v>0</v>
      </c>
      <c r="AO36" s="562">
        <f t="shared" si="232"/>
        <v>0</v>
      </c>
      <c r="AP36" s="562">
        <f t="shared" si="232"/>
        <v>0</v>
      </c>
      <c r="AQ36" s="562">
        <f t="shared" si="232"/>
        <v>0</v>
      </c>
      <c r="AR36" s="562">
        <f t="shared" si="232"/>
        <v>0</v>
      </c>
      <c r="AS36" s="562">
        <f t="shared" si="232"/>
        <v>0</v>
      </c>
    </row>
  </sheetData>
  <sheetProtection algorithmName="SHA-512" hashValue="eN3IQusownqGLzfsUPWDZVpAHPUoJg23OvvyqB0G0EP/ceNgaworXETue8nM8ADu4pKAccjPCkeUUQHbFCNx0g==" saltValue="LCu9SEUk5+B4rZ28DbNmIQ==" spinCount="100000" sheet="1" objects="1" scenarios="1"/>
  <autoFilter ref="C6:AS34" xr:uid="{84E8E926-F5A3-4965-BBDE-68BE248D23AE}"/>
  <mergeCells count="14">
    <mergeCell ref="A7:A9"/>
    <mergeCell ref="M3:S3"/>
    <mergeCell ref="M4:M5"/>
    <mergeCell ref="P4:P5"/>
    <mergeCell ref="Q4:Q5"/>
    <mergeCell ref="S4:S5"/>
    <mergeCell ref="A22:A24"/>
    <mergeCell ref="A25:A27"/>
    <mergeCell ref="A28:A30"/>
    <mergeCell ref="A31:A33"/>
    <mergeCell ref="A10:A12"/>
    <mergeCell ref="A13:A15"/>
    <mergeCell ref="A16:A18"/>
    <mergeCell ref="A19:A21"/>
  </mergeCells>
  <pageMargins left="0.59055119752883911" right="0" top="0.59055119752883911" bottom="0.59055119752883911" header="0.5" footer="0.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B2CF-600B-491B-8AFB-10368DE8EEFB}">
  <sheetPr>
    <tabColor rgb="FFFF0000"/>
  </sheetPr>
  <dimension ref="A1:AP17"/>
  <sheetViews>
    <sheetView zoomScale="85" zoomScaleNormal="85" workbookViewId="0">
      <selection activeCell="T28" sqref="T28"/>
    </sheetView>
  </sheetViews>
  <sheetFormatPr defaultColWidth="8.7109375" defaultRowHeight="15" x14ac:dyDescent="0.25"/>
  <cols>
    <col min="1" max="2" width="10.5703125" style="428" customWidth="1"/>
    <col min="3" max="3" width="39.140625" style="428" hidden="1" customWidth="1"/>
    <col min="4" max="4" width="31.7109375" style="429" hidden="1" customWidth="1"/>
    <col min="5" max="5" width="16.28515625" style="429" hidden="1" customWidth="1"/>
    <col min="6" max="6" width="17.7109375" style="429" hidden="1" customWidth="1"/>
    <col min="7" max="8" width="16.42578125" style="429" hidden="1" customWidth="1"/>
    <col min="9" max="9" width="16.5703125" style="429" hidden="1" customWidth="1"/>
    <col min="10" max="12" width="11" style="428" hidden="1" customWidth="1"/>
    <col min="13" max="13" width="11" style="428" customWidth="1"/>
    <col min="14" max="14" width="9.7109375" style="428" customWidth="1"/>
    <col min="15" max="15" width="11.140625" style="428" customWidth="1"/>
    <col min="16" max="16" width="7" style="428" customWidth="1"/>
    <col min="17" max="17" width="9.85546875" style="428" customWidth="1"/>
    <col min="18" max="19" width="7" style="428" customWidth="1"/>
    <col min="20" max="20" width="8.5703125" style="428" customWidth="1"/>
    <col min="21" max="21" width="10.28515625" style="428" customWidth="1"/>
    <col min="22" max="22" width="8.5703125" style="428" customWidth="1"/>
    <col min="23" max="27" width="7" style="428" customWidth="1"/>
    <col min="28" max="29" width="8.5703125" style="428" customWidth="1"/>
    <col min="30" max="30" width="8.85546875" style="428" customWidth="1"/>
    <col min="31" max="33" width="8.5703125" style="428" customWidth="1"/>
    <col min="34" max="16384" width="8.7109375" style="428"/>
  </cols>
  <sheetData>
    <row r="1" spans="1:33" x14ac:dyDescent="0.25">
      <c r="A1" s="117" t="s">
        <v>85</v>
      </c>
      <c r="D1" s="563"/>
    </row>
    <row r="3" spans="1:33" ht="15" customHeight="1" x14ac:dyDescent="0.25">
      <c r="A3" s="759" t="s">
        <v>218</v>
      </c>
      <c r="B3" s="760"/>
      <c r="C3" s="760"/>
      <c r="D3" s="761"/>
      <c r="E3" s="396"/>
      <c r="F3" s="396"/>
      <c r="G3" s="396"/>
      <c r="H3" s="396"/>
      <c r="I3" s="396"/>
      <c r="J3" s="755" t="s">
        <v>219</v>
      </c>
      <c r="K3" s="767" t="s">
        <v>49</v>
      </c>
      <c r="L3" s="755" t="s">
        <v>50</v>
      </c>
      <c r="M3" s="755" t="s">
        <v>51</v>
      </c>
      <c r="N3" s="770" t="s">
        <v>220</v>
      </c>
      <c r="O3" s="771"/>
      <c r="P3" s="771"/>
      <c r="Q3" s="771"/>
      <c r="R3" s="771"/>
      <c r="S3" s="771"/>
      <c r="T3" s="771"/>
      <c r="U3" s="771"/>
      <c r="V3" s="771"/>
      <c r="W3" s="771"/>
      <c r="X3" s="771"/>
      <c r="Y3" s="771"/>
      <c r="Z3" s="771"/>
      <c r="AA3" s="771"/>
      <c r="AB3" s="771"/>
      <c r="AC3" s="771"/>
      <c r="AD3" s="771"/>
      <c r="AE3" s="771"/>
      <c r="AF3" s="771"/>
      <c r="AG3" s="772"/>
    </row>
    <row r="4" spans="1:33" ht="31.5" customHeight="1" x14ac:dyDescent="0.25">
      <c r="A4" s="762"/>
      <c r="B4" s="763"/>
      <c r="C4" s="763"/>
      <c r="D4" s="764"/>
      <c r="E4" s="397"/>
      <c r="F4" s="397"/>
      <c r="G4" s="397"/>
      <c r="H4" s="397"/>
      <c r="I4" s="397"/>
      <c r="J4" s="755" t="s">
        <v>48</v>
      </c>
      <c r="K4" s="768"/>
      <c r="L4" s="755" t="s">
        <v>50</v>
      </c>
      <c r="M4" s="755"/>
      <c r="N4" s="756" t="s">
        <v>23</v>
      </c>
      <c r="O4" s="758"/>
      <c r="P4" s="756" t="s">
        <v>24</v>
      </c>
      <c r="Q4" s="758"/>
      <c r="R4" s="754" t="str">
        <f>'Project Data Input'!C16</f>
        <v>Fuel oil</v>
      </c>
      <c r="S4" s="754"/>
      <c r="T4" s="757" t="str">
        <f>'Project Data Input'!C17</f>
        <v>Burning oil</v>
      </c>
      <c r="U4" s="758"/>
      <c r="V4" s="756" t="s">
        <v>38</v>
      </c>
      <c r="W4" s="758"/>
      <c r="X4" s="756" t="s">
        <v>39</v>
      </c>
      <c r="Y4" s="757"/>
      <c r="Z4" s="757"/>
      <c r="AA4" s="758"/>
      <c r="AB4" s="757"/>
      <c r="AC4" s="757"/>
      <c r="AD4" s="757"/>
      <c r="AE4" s="757"/>
      <c r="AF4" s="757"/>
      <c r="AG4" s="758"/>
    </row>
    <row r="5" spans="1:33" ht="31.5" customHeight="1" x14ac:dyDescent="0.25">
      <c r="A5" s="754" t="s">
        <v>221</v>
      </c>
      <c r="B5" s="394" t="s">
        <v>222</v>
      </c>
      <c r="C5" s="754" t="s">
        <v>41</v>
      </c>
      <c r="D5" s="765" t="s">
        <v>80</v>
      </c>
      <c r="E5" s="398" t="s">
        <v>43</v>
      </c>
      <c r="F5" s="398" t="s">
        <v>44</v>
      </c>
      <c r="G5" s="398" t="s">
        <v>45</v>
      </c>
      <c r="H5" s="398" t="s">
        <v>46</v>
      </c>
      <c r="I5" s="398" t="s">
        <v>223</v>
      </c>
      <c r="J5" s="755"/>
      <c r="K5" s="769"/>
      <c r="L5" s="755"/>
      <c r="M5" s="755"/>
      <c r="N5" s="756" t="s">
        <v>52</v>
      </c>
      <c r="O5" s="758"/>
      <c r="P5" s="756" t="s">
        <v>52</v>
      </c>
      <c r="Q5" s="758"/>
      <c r="R5" s="756" t="s">
        <v>52</v>
      </c>
      <c r="S5" s="758"/>
      <c r="T5" s="756" t="s">
        <v>52</v>
      </c>
      <c r="U5" s="758"/>
      <c r="V5" s="756" t="s">
        <v>52</v>
      </c>
      <c r="W5" s="758"/>
      <c r="X5" s="756" t="s">
        <v>53</v>
      </c>
      <c r="Y5" s="757"/>
      <c r="Z5" s="118"/>
      <c r="AA5" s="119"/>
      <c r="AB5" s="756" t="str">
        <f>"Annual "&amp;N1&amp;" Saving"</f>
        <v>Annual  Saving</v>
      </c>
      <c r="AC5" s="758"/>
      <c r="AD5" s="120" t="s">
        <v>55</v>
      </c>
      <c r="AE5" s="120" t="s">
        <v>56</v>
      </c>
      <c r="AF5" s="400" t="s">
        <v>224</v>
      </c>
      <c r="AG5" s="773" t="s">
        <v>225</v>
      </c>
    </row>
    <row r="6" spans="1:33" x14ac:dyDescent="0.25">
      <c r="A6" s="754"/>
      <c r="B6" s="394"/>
      <c r="C6" s="754"/>
      <c r="D6" s="766"/>
      <c r="E6" s="399"/>
      <c r="F6" s="399"/>
      <c r="G6" s="399"/>
      <c r="H6" s="399"/>
      <c r="I6" s="399"/>
      <c r="J6" s="395"/>
      <c r="K6" s="395"/>
      <c r="L6" s="395"/>
      <c r="M6" s="395" t="s">
        <v>21</v>
      </c>
      <c r="N6" s="394" t="s">
        <v>59</v>
      </c>
      <c r="O6" s="394" t="s">
        <v>20</v>
      </c>
      <c r="P6" s="394" t="s">
        <v>59</v>
      </c>
      <c r="Q6" s="394" t="s">
        <v>20</v>
      </c>
      <c r="R6" s="394" t="s">
        <v>59</v>
      </c>
      <c r="S6" s="394" t="s">
        <v>20</v>
      </c>
      <c r="T6" s="394" t="s">
        <v>59</v>
      </c>
      <c r="U6" s="394" t="s">
        <v>20</v>
      </c>
      <c r="V6" s="394" t="s">
        <v>60</v>
      </c>
      <c r="W6" s="394" t="s">
        <v>59</v>
      </c>
      <c r="X6" s="394" t="s">
        <v>59</v>
      </c>
      <c r="Y6" s="394"/>
      <c r="Z6" s="394"/>
      <c r="AA6" s="394"/>
      <c r="AB6" s="394" t="s">
        <v>21</v>
      </c>
      <c r="AC6" s="394" t="s">
        <v>61</v>
      </c>
      <c r="AD6" s="120" t="s">
        <v>15</v>
      </c>
      <c r="AE6" s="120" t="s">
        <v>15</v>
      </c>
      <c r="AF6" s="401" t="s">
        <v>61</v>
      </c>
      <c r="AG6" s="774"/>
    </row>
    <row r="7" spans="1:33" ht="12" customHeight="1" x14ac:dyDescent="0.25">
      <c r="A7" s="430">
        <v>1</v>
      </c>
      <c r="B7" s="431" t="str">
        <f>'DASHBOARD '!G9</f>
        <v xml:space="preserve"> </v>
      </c>
      <c r="C7" s="432">
        <f>'ECM Options Data'!D14</f>
        <v>0</v>
      </c>
      <c r="D7" s="432">
        <f>'ECM Options Data'!E14</f>
        <v>0</v>
      </c>
      <c r="E7" s="432">
        <f>'ECM Options Data'!F14</f>
        <v>0</v>
      </c>
      <c r="F7" s="432">
        <f>'ECM Options Data'!G14</f>
        <v>0</v>
      </c>
      <c r="G7" s="432">
        <f>'ECM Options Data'!H14</f>
        <v>0</v>
      </c>
      <c r="H7" s="432">
        <f>'ECM Options Data'!I14</f>
        <v>0</v>
      </c>
      <c r="I7" s="432">
        <f>'ECM Options Data'!J14</f>
        <v>0</v>
      </c>
      <c r="J7" s="432">
        <f>'ECM Options Data'!K14</f>
        <v>0</v>
      </c>
      <c r="K7" s="432">
        <f>'ECM Options Data'!L14</f>
        <v>0</v>
      </c>
      <c r="L7" s="432">
        <f>'ECM Options Data'!M14</f>
        <v>0</v>
      </c>
      <c r="M7" s="432">
        <f>'ECM Options Data'!N14</f>
        <v>0</v>
      </c>
      <c r="N7" s="432"/>
      <c r="O7" s="435">
        <f>IF($B7="x", 'ECM Options Data'!P14, 0)</f>
        <v>0</v>
      </c>
      <c r="P7" s="433"/>
      <c r="Q7" s="435">
        <f>IF($B7="x", 'ECM Options Data'!R14, 0)</f>
        <v>0</v>
      </c>
      <c r="R7" s="435"/>
      <c r="S7" s="435">
        <f>IF($B7="x",'ECM Options Data'!T14, 0)</f>
        <v>0</v>
      </c>
      <c r="T7" s="433"/>
      <c r="U7" s="435">
        <f>IF($B7="x", 'ECM Options Data'!V14,0)</f>
        <v>0</v>
      </c>
      <c r="V7" s="436">
        <f>'ECM Options Data'!W14</f>
        <v>0</v>
      </c>
      <c r="W7" s="437"/>
      <c r="X7" s="437"/>
      <c r="Y7" s="437"/>
      <c r="Z7" s="437"/>
      <c r="AA7" s="437"/>
      <c r="AB7" s="438">
        <f>(O7*'Project Data Input'!$F$14)+('Option B'!Q7*'Project Data Input'!$F$15)+('Project Data Input'!$F$16*'Option B'!S7)+('Project Data Input'!$F$17*'Option B'!U7)</f>
        <v>0</v>
      </c>
      <c r="AC7" s="439">
        <f>((O7*'Technology Inputs'!$E$6)+('Technology Inputs'!$E$7*'Option B'!Q7)+('Option B'!S7*(VLOOKUP('Option B'!$R$4,'Technology Inputs'!$C$8:$E$15,3,FALSE)))+(U7*(VLOOKUP($T$4,'Technology Inputs'!$C$8:$E$15,3,FALSE))))/1000</f>
        <v>0</v>
      </c>
      <c r="AD7" s="440" t="e">
        <f t="shared" ref="AD7:AD15" si="0">M7/AB7</f>
        <v>#DIV/0!</v>
      </c>
      <c r="AE7" s="441" t="e">
        <f>VLOOKUP(D7, 'Technology Inputs'!$D$44:$E$172, 2, FALSE)</f>
        <v>#N/A</v>
      </c>
      <c r="AF7" s="441" t="e">
        <f>AC7*AE7</f>
        <v>#N/A</v>
      </c>
      <c r="AG7" s="442" t="e">
        <f>M7/(AC7*AE7)</f>
        <v>#N/A</v>
      </c>
    </row>
    <row r="8" spans="1:33" ht="12" customHeight="1" x14ac:dyDescent="0.25">
      <c r="A8" s="430">
        <v>2</v>
      </c>
      <c r="B8" s="431" t="str">
        <f>'DASHBOARD '!G10</f>
        <v>x</v>
      </c>
      <c r="C8" s="432">
        <f>'ECM Options Data'!D15</f>
        <v>0</v>
      </c>
      <c r="D8" s="432">
        <f>'ECM Options Data'!E15</f>
        <v>0</v>
      </c>
      <c r="E8" s="432">
        <f>'ECM Options Data'!F15</f>
        <v>0</v>
      </c>
      <c r="F8" s="432">
        <f>'ECM Options Data'!G15</f>
        <v>0</v>
      </c>
      <c r="G8" s="432">
        <f>'ECM Options Data'!H15</f>
        <v>0</v>
      </c>
      <c r="H8" s="432">
        <f>'ECM Options Data'!I15</f>
        <v>0</v>
      </c>
      <c r="I8" s="432">
        <f>'ECM Options Data'!J15</f>
        <v>0</v>
      </c>
      <c r="J8" s="432">
        <f>'ECM Options Data'!K15</f>
        <v>0</v>
      </c>
      <c r="K8" s="432">
        <f>'ECM Options Data'!L15</f>
        <v>0</v>
      </c>
      <c r="L8" s="432">
        <f>'ECM Options Data'!M15</f>
        <v>0</v>
      </c>
      <c r="M8" s="432">
        <f>'ECM Options Data'!N15</f>
        <v>0</v>
      </c>
      <c r="N8" s="432"/>
      <c r="O8" s="435">
        <f>IF($B8="x", 'ECM Options Data'!P15, 0)</f>
        <v>0</v>
      </c>
      <c r="P8" s="433"/>
      <c r="Q8" s="435">
        <f>IF($B8="x", 'ECM Options Data'!R15, 0)</f>
        <v>0</v>
      </c>
      <c r="R8" s="435"/>
      <c r="S8" s="435">
        <f>IF($B8="x",'ECM Options Data'!T15, 0)</f>
        <v>0</v>
      </c>
      <c r="T8" s="433"/>
      <c r="U8" s="435">
        <f>IF($B8="x", 'ECM Options Data'!V15,0)</f>
        <v>0</v>
      </c>
      <c r="V8" s="436">
        <f>'ECM Options Data'!W15</f>
        <v>0</v>
      </c>
      <c r="W8" s="437"/>
      <c r="X8" s="437"/>
      <c r="Y8" s="437"/>
      <c r="Z8" s="437"/>
      <c r="AA8" s="437"/>
      <c r="AB8" s="438">
        <f>(O8*'Project Data Input'!$F$14)+('Option B'!Q8*'Project Data Input'!$F$15)+('Project Data Input'!$F$16*'Option B'!S8)+('Project Data Input'!$F$17*'Option B'!U8)</f>
        <v>0</v>
      </c>
      <c r="AC8" s="439">
        <f>((O8*'Technology Inputs'!$E$6)+('Technology Inputs'!$E$7*'Option B'!Q8)+('Option B'!S8*(VLOOKUP('Option B'!$R$4,'Technology Inputs'!$C$8:$E$15,3,FALSE)))+(U8*(VLOOKUP($T$4,'Technology Inputs'!$C$8:$E$15,3,FALSE))))/1000</f>
        <v>0</v>
      </c>
      <c r="AD8" s="440" t="e">
        <f t="shared" si="0"/>
        <v>#DIV/0!</v>
      </c>
      <c r="AE8" s="441" t="e">
        <f>VLOOKUP(D8, 'Technology Inputs'!$D$44:$E$172, 2, FALSE)</f>
        <v>#N/A</v>
      </c>
      <c r="AF8" s="441" t="e">
        <f t="shared" ref="AF8:AF11" si="1">AC8*AE8</f>
        <v>#N/A</v>
      </c>
      <c r="AG8" s="442" t="e">
        <f>M8/(AC8*AE8)</f>
        <v>#N/A</v>
      </c>
    </row>
    <row r="9" spans="1:33" ht="12" customHeight="1" x14ac:dyDescent="0.25">
      <c r="A9" s="430">
        <v>3</v>
      </c>
      <c r="B9" s="431" t="str">
        <f>'DASHBOARD '!G11</f>
        <v>x</v>
      </c>
      <c r="C9" s="432">
        <f>'ECM Options Data'!D16</f>
        <v>0</v>
      </c>
      <c r="D9" s="432">
        <f>'ECM Options Data'!E16</f>
        <v>0</v>
      </c>
      <c r="E9" s="432">
        <f>'ECM Options Data'!F16</f>
        <v>0</v>
      </c>
      <c r="F9" s="432">
        <f>'ECM Options Data'!G16</f>
        <v>0</v>
      </c>
      <c r="G9" s="432">
        <f>'ECM Options Data'!H16</f>
        <v>0</v>
      </c>
      <c r="H9" s="432">
        <f>'ECM Options Data'!I16</f>
        <v>0</v>
      </c>
      <c r="I9" s="432">
        <f>'ECM Options Data'!J16</f>
        <v>0</v>
      </c>
      <c r="J9" s="432">
        <f>'ECM Options Data'!K16</f>
        <v>0</v>
      </c>
      <c r="K9" s="432">
        <f>'ECM Options Data'!L16</f>
        <v>0</v>
      </c>
      <c r="L9" s="432">
        <f>'ECM Options Data'!M16</f>
        <v>0</v>
      </c>
      <c r="M9" s="432">
        <f>'ECM Options Data'!N16</f>
        <v>0</v>
      </c>
      <c r="N9" s="432"/>
      <c r="O9" s="435">
        <f>IF($B9="x", 'ECM Options Data'!P16, 0)</f>
        <v>0</v>
      </c>
      <c r="P9" s="433"/>
      <c r="Q9" s="435">
        <f>IF($B9="x", 'ECM Options Data'!R16, 0)</f>
        <v>0</v>
      </c>
      <c r="R9" s="435"/>
      <c r="S9" s="435">
        <f>IF($B9="x",'ECM Options Data'!T16, 0)</f>
        <v>0</v>
      </c>
      <c r="T9" s="433"/>
      <c r="U9" s="435">
        <f>IF($B9="x", 'ECM Options Data'!V16,0)</f>
        <v>0</v>
      </c>
      <c r="V9" s="436">
        <f>'ECM Options Data'!W16</f>
        <v>0</v>
      </c>
      <c r="W9" s="437"/>
      <c r="X9" s="437"/>
      <c r="Y9" s="437"/>
      <c r="Z9" s="437"/>
      <c r="AA9" s="437"/>
      <c r="AB9" s="438">
        <f>(O9*'Project Data Input'!$F$14)+('Option B'!Q9*'Project Data Input'!$F$15)+('Project Data Input'!$F$16*'Option B'!S9)+('Project Data Input'!$F$17*'Option B'!U9)</f>
        <v>0</v>
      </c>
      <c r="AC9" s="439">
        <f>((O9*'Technology Inputs'!$E$6)+('Technology Inputs'!$E$7*'Option B'!Q9)+('Option B'!S9*(VLOOKUP('Option B'!$R$4,'Technology Inputs'!$C$8:$E$15,3,FALSE)))+(U9*(VLOOKUP($T$4,'Technology Inputs'!$C$8:$E$15,3,FALSE))))/1000</f>
        <v>0</v>
      </c>
      <c r="AD9" s="440" t="e">
        <f t="shared" si="0"/>
        <v>#DIV/0!</v>
      </c>
      <c r="AE9" s="441" t="e">
        <f>VLOOKUP(D9, 'Technology Inputs'!$D$44:$E$172, 2, FALSE)</f>
        <v>#N/A</v>
      </c>
      <c r="AF9" s="441" t="e">
        <f t="shared" si="1"/>
        <v>#N/A</v>
      </c>
      <c r="AG9" s="442" t="e">
        <f>M9/(AC9*AE9)</f>
        <v>#N/A</v>
      </c>
    </row>
    <row r="10" spans="1:33" ht="12" customHeight="1" x14ac:dyDescent="0.25">
      <c r="A10" s="430">
        <v>4</v>
      </c>
      <c r="B10" s="431" t="str">
        <f>'DASHBOARD '!G12</f>
        <v>x</v>
      </c>
      <c r="C10" s="432">
        <f>'ECM Options Data'!D17</f>
        <v>0</v>
      </c>
      <c r="D10" s="432">
        <f>'ECM Options Data'!E17</f>
        <v>0</v>
      </c>
      <c r="E10" s="432">
        <f>'ECM Options Data'!F17</f>
        <v>0</v>
      </c>
      <c r="F10" s="432">
        <f>'ECM Options Data'!G17</f>
        <v>0</v>
      </c>
      <c r="G10" s="432">
        <f>'ECM Options Data'!H17</f>
        <v>0</v>
      </c>
      <c r="H10" s="432">
        <f>'ECM Options Data'!I17</f>
        <v>0</v>
      </c>
      <c r="I10" s="432">
        <f>'ECM Options Data'!J17</f>
        <v>0</v>
      </c>
      <c r="J10" s="432">
        <f>'ECM Options Data'!K17</f>
        <v>0</v>
      </c>
      <c r="K10" s="432">
        <f>'ECM Options Data'!L17</f>
        <v>0</v>
      </c>
      <c r="L10" s="432">
        <f>'ECM Options Data'!M17</f>
        <v>0</v>
      </c>
      <c r="M10" s="432">
        <f>'ECM Options Data'!N17</f>
        <v>0</v>
      </c>
      <c r="N10" s="432"/>
      <c r="O10" s="435">
        <f>IF($B10="x", 'ECM Options Data'!P17, 0)</f>
        <v>0</v>
      </c>
      <c r="P10" s="433"/>
      <c r="Q10" s="435">
        <f>IF($B10="x", 'ECM Options Data'!R17, 0)</f>
        <v>0</v>
      </c>
      <c r="R10" s="435"/>
      <c r="S10" s="435">
        <f>IF($B10="x",'ECM Options Data'!T17, 0)</f>
        <v>0</v>
      </c>
      <c r="T10" s="433"/>
      <c r="U10" s="435">
        <f>IF($B10="x", 'ECM Options Data'!V17,0)</f>
        <v>0</v>
      </c>
      <c r="V10" s="436">
        <f>'ECM Options Data'!W17</f>
        <v>0</v>
      </c>
      <c r="W10" s="437"/>
      <c r="X10" s="437"/>
      <c r="Y10" s="437"/>
      <c r="Z10" s="437"/>
      <c r="AA10" s="437"/>
      <c r="AB10" s="438">
        <f>(O10*'Project Data Input'!$F$14)+('Option B'!Q10*'Project Data Input'!$F$15)+('Project Data Input'!$F$16*'Option B'!S10)+('Project Data Input'!$F$17*'Option B'!U10)</f>
        <v>0</v>
      </c>
      <c r="AC10" s="439">
        <f>((O10*'Technology Inputs'!$E$6)+('Technology Inputs'!$E$7*'Option B'!Q10)+('Option B'!S10*(VLOOKUP('Option B'!$R$4,'Technology Inputs'!$C$8:$E$15,3,FALSE)))+(U10*(VLOOKUP($T$4,'Technology Inputs'!$C$8:$E$15,3,FALSE))))/1000</f>
        <v>0</v>
      </c>
      <c r="AD10" s="440" t="e">
        <f t="shared" si="0"/>
        <v>#DIV/0!</v>
      </c>
      <c r="AE10" s="441" t="e">
        <f>VLOOKUP(D10, 'Technology Inputs'!$D$44:$E$172, 2, FALSE)</f>
        <v>#N/A</v>
      </c>
      <c r="AF10" s="441" t="e">
        <f t="shared" si="1"/>
        <v>#N/A</v>
      </c>
      <c r="AG10" s="442" t="e">
        <f>M10/(AC10*AE10)</f>
        <v>#N/A</v>
      </c>
    </row>
    <row r="11" spans="1:33" ht="12" customHeight="1" x14ac:dyDescent="0.25">
      <c r="A11" s="430">
        <v>5</v>
      </c>
      <c r="B11" s="431" t="str">
        <f>'DASHBOARD '!G13</f>
        <v>x</v>
      </c>
      <c r="C11" s="432">
        <f>'ECM Options Data'!D18</f>
        <v>0</v>
      </c>
      <c r="D11" s="432">
        <f>'ECM Options Data'!E18</f>
        <v>0</v>
      </c>
      <c r="E11" s="432">
        <f>'ECM Options Data'!F18</f>
        <v>0</v>
      </c>
      <c r="F11" s="432">
        <f>'ECM Options Data'!G18</f>
        <v>0</v>
      </c>
      <c r="G11" s="432">
        <f>'ECM Options Data'!H18</f>
        <v>0</v>
      </c>
      <c r="H11" s="432">
        <f>'ECM Options Data'!I18</f>
        <v>0</v>
      </c>
      <c r="I11" s="432">
        <f>'ECM Options Data'!J18</f>
        <v>0</v>
      </c>
      <c r="J11" s="432">
        <f>'ECM Options Data'!K18</f>
        <v>0</v>
      </c>
      <c r="K11" s="432">
        <f>'ECM Options Data'!L18</f>
        <v>0</v>
      </c>
      <c r="L11" s="432">
        <f>'ECM Options Data'!M18</f>
        <v>0</v>
      </c>
      <c r="M11" s="432">
        <f>'ECM Options Data'!N18</f>
        <v>0</v>
      </c>
      <c r="N11" s="432"/>
      <c r="O11" s="435">
        <f>IF($B11="x", 'ECM Options Data'!P18, 0)</f>
        <v>0</v>
      </c>
      <c r="P11" s="433"/>
      <c r="Q11" s="435">
        <f>IF($B11="x", 'ECM Options Data'!R18, 0)</f>
        <v>0</v>
      </c>
      <c r="R11" s="435"/>
      <c r="S11" s="435">
        <f>IF($B11="x",'ECM Options Data'!T18, 0)</f>
        <v>0</v>
      </c>
      <c r="T11" s="433"/>
      <c r="U11" s="435">
        <f>IF($B11="x", 'ECM Options Data'!V18,0)</f>
        <v>0</v>
      </c>
      <c r="V11" s="436">
        <f>'ECM Options Data'!W18</f>
        <v>0</v>
      </c>
      <c r="W11" s="437"/>
      <c r="X11" s="437"/>
      <c r="Y11" s="437"/>
      <c r="Z11" s="437"/>
      <c r="AA11" s="437"/>
      <c r="AB11" s="438">
        <f>(O11*'Project Data Input'!$F$14)+('Option B'!Q11*'Project Data Input'!$F$15)+('Project Data Input'!$F$16*'Option B'!S11)+('Project Data Input'!$F$17*'Option B'!U11)</f>
        <v>0</v>
      </c>
      <c r="AC11" s="439">
        <f>((O11*'Technology Inputs'!$E$6)+('Technology Inputs'!$E$7*'Option B'!Q11)+('Option B'!S11*(VLOOKUP('Option B'!$R$4,'Technology Inputs'!$C$8:$E$15,3,FALSE)))+(U11*(VLOOKUP($T$4,'Technology Inputs'!$C$8:$E$15,3,FALSE))))/1000</f>
        <v>0</v>
      </c>
      <c r="AD11" s="440" t="e">
        <f t="shared" si="0"/>
        <v>#DIV/0!</v>
      </c>
      <c r="AE11" s="441" t="e">
        <f>VLOOKUP(D11, 'Technology Inputs'!$D$44:$E$172, 2, FALSE)</f>
        <v>#N/A</v>
      </c>
      <c r="AF11" s="441" t="e">
        <f t="shared" si="1"/>
        <v>#N/A</v>
      </c>
      <c r="AG11" s="442" t="e">
        <f>M11/(AC11*AE11)</f>
        <v>#N/A</v>
      </c>
    </row>
    <row r="12" spans="1:33" ht="12" customHeight="1" x14ac:dyDescent="0.25">
      <c r="A12" s="430">
        <v>6</v>
      </c>
      <c r="B12" s="431" t="str">
        <f>'DASHBOARD '!G14</f>
        <v>x</v>
      </c>
      <c r="C12" s="432">
        <f>'ECM Options Data'!D19</f>
        <v>0</v>
      </c>
      <c r="D12" s="432">
        <f>'ECM Options Data'!E19</f>
        <v>0</v>
      </c>
      <c r="E12" s="432">
        <f>'ECM Options Data'!F19</f>
        <v>0</v>
      </c>
      <c r="F12" s="432">
        <f>'ECM Options Data'!G19</f>
        <v>0</v>
      </c>
      <c r="G12" s="432">
        <f>'ECM Options Data'!H19</f>
        <v>0</v>
      </c>
      <c r="H12" s="432">
        <f>'ECM Options Data'!I19</f>
        <v>0</v>
      </c>
      <c r="I12" s="432">
        <f>'ECM Options Data'!J19</f>
        <v>0</v>
      </c>
      <c r="J12" s="432">
        <f>'ECM Options Data'!K19</f>
        <v>0</v>
      </c>
      <c r="K12" s="432">
        <f>'ECM Options Data'!L19</f>
        <v>0</v>
      </c>
      <c r="L12" s="432">
        <f>'ECM Options Data'!M19</f>
        <v>0</v>
      </c>
      <c r="M12" s="432">
        <f>'ECM Options Data'!N19</f>
        <v>0</v>
      </c>
      <c r="N12" s="432"/>
      <c r="O12" s="435">
        <f>IF($B12="x", 'ECM Options Data'!P19, 0)</f>
        <v>0</v>
      </c>
      <c r="P12" s="433"/>
      <c r="Q12" s="435">
        <f>IF($B12="x", 'ECM Options Data'!R19, 0)</f>
        <v>0</v>
      </c>
      <c r="R12" s="435"/>
      <c r="S12" s="435">
        <f>IF($B12="x",'ECM Options Data'!T19, 0)</f>
        <v>0</v>
      </c>
      <c r="T12" s="433"/>
      <c r="U12" s="435">
        <f>IF($B12="x", 'ECM Options Data'!V19,0)</f>
        <v>0</v>
      </c>
      <c r="V12" s="436">
        <f>'ECM Options Data'!W19</f>
        <v>0</v>
      </c>
      <c r="W12" s="437"/>
      <c r="X12" s="437"/>
      <c r="Y12" s="437"/>
      <c r="Z12" s="437"/>
      <c r="AA12" s="437"/>
      <c r="AB12" s="438">
        <f>(O12*'Project Data Input'!$F$14)+('Option B'!Q12*'Project Data Input'!$F$15)+('Project Data Input'!$F$16*'Option B'!S12)+('Project Data Input'!$F$17*'Option B'!U12)</f>
        <v>0</v>
      </c>
      <c r="AC12" s="439">
        <f>((O12*'Technology Inputs'!$E$6)+('Technology Inputs'!$E$7*'Option B'!Q12)+('Option B'!S12*(VLOOKUP('Option B'!$R$4,'Technology Inputs'!$C$8:$E$15,3,FALSE)))+(U12*(VLOOKUP($T$4,'Technology Inputs'!$C$8:$E$15,3,FALSE))))/1000</f>
        <v>0</v>
      </c>
      <c r="AD12" s="440" t="e">
        <f t="shared" si="0"/>
        <v>#DIV/0!</v>
      </c>
      <c r="AE12" s="441" t="e">
        <f>VLOOKUP(D12, 'Technology Inputs'!$D$44:$E$172, 2, FALSE)</f>
        <v>#N/A</v>
      </c>
      <c r="AF12" s="441">
        <f>IF(AC12&lt;0, AC12*AE12, 0)</f>
        <v>0</v>
      </c>
      <c r="AG12" s="442" t="e">
        <f t="shared" ref="AG12:AG15" si="2">M12/(AC12*AE12)</f>
        <v>#N/A</v>
      </c>
    </row>
    <row r="13" spans="1:33" ht="12" customHeight="1" x14ac:dyDescent="0.25">
      <c r="A13" s="430">
        <v>7</v>
      </c>
      <c r="B13" s="431" t="str">
        <f>'DASHBOARD '!G15</f>
        <v>x</v>
      </c>
      <c r="C13" s="432">
        <f>'ECM Options Data'!D20</f>
        <v>0</v>
      </c>
      <c r="D13" s="432">
        <f>'ECM Options Data'!E20</f>
        <v>0</v>
      </c>
      <c r="E13" s="432">
        <f>'ECM Options Data'!F20</f>
        <v>0</v>
      </c>
      <c r="F13" s="432">
        <f>'ECM Options Data'!G20</f>
        <v>0</v>
      </c>
      <c r="G13" s="432">
        <f>'ECM Options Data'!H20</f>
        <v>0</v>
      </c>
      <c r="H13" s="432">
        <f>'ECM Options Data'!I20</f>
        <v>0</v>
      </c>
      <c r="I13" s="432">
        <f>'ECM Options Data'!J20</f>
        <v>0</v>
      </c>
      <c r="J13" s="432">
        <f>'ECM Options Data'!K20</f>
        <v>0</v>
      </c>
      <c r="K13" s="432">
        <f>'ECM Options Data'!L20</f>
        <v>0</v>
      </c>
      <c r="L13" s="432">
        <f>'ECM Options Data'!M20</f>
        <v>0</v>
      </c>
      <c r="M13" s="432">
        <f>'ECM Options Data'!N20</f>
        <v>0</v>
      </c>
      <c r="N13" s="432"/>
      <c r="O13" s="435">
        <f>IF($B13="x", 'ECM Options Data'!P20, 0)</f>
        <v>0</v>
      </c>
      <c r="P13" s="433"/>
      <c r="Q13" s="435">
        <f>IF($B13="x", 'ECM Options Data'!R20, 0)</f>
        <v>0</v>
      </c>
      <c r="R13" s="435"/>
      <c r="S13" s="435">
        <f>IF($B13="x",'ECM Options Data'!T20, 0)</f>
        <v>0</v>
      </c>
      <c r="T13" s="433"/>
      <c r="U13" s="435">
        <f>IF($B13="x", 'ECM Options Data'!V20,0)</f>
        <v>0</v>
      </c>
      <c r="V13" s="436">
        <f>'ECM Options Data'!W20</f>
        <v>0</v>
      </c>
      <c r="W13" s="437"/>
      <c r="X13" s="437"/>
      <c r="Y13" s="437"/>
      <c r="Z13" s="437"/>
      <c r="AA13" s="437"/>
      <c r="AB13" s="438">
        <f>(O13*'Project Data Input'!$F$14)+('Option B'!Q13*'Project Data Input'!$F$15)+('Project Data Input'!$F$16*'Option B'!S13)+('Project Data Input'!$F$17*'Option B'!U13)</f>
        <v>0</v>
      </c>
      <c r="AC13" s="439">
        <f>((O13*'Technology Inputs'!$E$6)+('Technology Inputs'!$E$7*'Option B'!Q13)+('Option B'!S13*(VLOOKUP('Option B'!$R$4,'Technology Inputs'!$C$8:$E$15,3,FALSE)))+(U13*(VLOOKUP($T$4,'Technology Inputs'!$C$8:$E$15,3,FALSE))))/1000</f>
        <v>0</v>
      </c>
      <c r="AD13" s="440" t="e">
        <f t="shared" si="0"/>
        <v>#DIV/0!</v>
      </c>
      <c r="AE13" s="441" t="e">
        <f>VLOOKUP(D13, 'Technology Inputs'!$D$44:$E$172, 2, FALSE)</f>
        <v>#N/A</v>
      </c>
      <c r="AF13" s="441">
        <f t="shared" ref="AF13:AF15" si="3">IF(AC13&lt;0, AC13*AE13, 0)</f>
        <v>0</v>
      </c>
      <c r="AG13" s="442" t="e">
        <f t="shared" si="2"/>
        <v>#N/A</v>
      </c>
    </row>
    <row r="14" spans="1:33" ht="12" customHeight="1" x14ac:dyDescent="0.25">
      <c r="A14" s="430">
        <v>8</v>
      </c>
      <c r="B14" s="431" t="str">
        <f>'DASHBOARD '!G16</f>
        <v>x</v>
      </c>
      <c r="C14" s="432">
        <f>'ECM Options Data'!D21</f>
        <v>0</v>
      </c>
      <c r="D14" s="432">
        <f>'ECM Options Data'!E21</f>
        <v>0</v>
      </c>
      <c r="E14" s="432">
        <f>'ECM Options Data'!F21</f>
        <v>0</v>
      </c>
      <c r="F14" s="432">
        <f>'ECM Options Data'!G21</f>
        <v>0</v>
      </c>
      <c r="G14" s="432">
        <f>'ECM Options Data'!H21</f>
        <v>0</v>
      </c>
      <c r="H14" s="432">
        <f>'ECM Options Data'!I21</f>
        <v>0</v>
      </c>
      <c r="I14" s="432">
        <f>'ECM Options Data'!J21</f>
        <v>0</v>
      </c>
      <c r="J14" s="432">
        <f>'ECM Options Data'!K21</f>
        <v>0</v>
      </c>
      <c r="K14" s="432">
        <f>'ECM Options Data'!L21</f>
        <v>0</v>
      </c>
      <c r="L14" s="432">
        <f>'ECM Options Data'!M21</f>
        <v>0</v>
      </c>
      <c r="M14" s="432">
        <f>'ECM Options Data'!N21</f>
        <v>0</v>
      </c>
      <c r="N14" s="432"/>
      <c r="O14" s="435">
        <f>IF($B14="x", 'ECM Options Data'!P21, 0)</f>
        <v>0</v>
      </c>
      <c r="P14" s="433"/>
      <c r="Q14" s="435">
        <f>IF($B14="x", 'ECM Options Data'!R21, 0)</f>
        <v>0</v>
      </c>
      <c r="R14" s="435"/>
      <c r="S14" s="435">
        <f>IF($B14="x",'ECM Options Data'!T21, 0)</f>
        <v>0</v>
      </c>
      <c r="T14" s="433"/>
      <c r="U14" s="435">
        <f>IF($B14="x", 'ECM Options Data'!V21,0)</f>
        <v>0</v>
      </c>
      <c r="V14" s="436">
        <f>'ECM Options Data'!W21</f>
        <v>0</v>
      </c>
      <c r="W14" s="437"/>
      <c r="X14" s="437"/>
      <c r="Y14" s="437"/>
      <c r="Z14" s="437"/>
      <c r="AA14" s="437"/>
      <c r="AB14" s="438">
        <f>(O14*'Project Data Input'!$F$14)+('Option B'!Q14*'Project Data Input'!$F$15)+('Project Data Input'!$F$16*'Option B'!S14)+('Project Data Input'!$F$17*'Option B'!U14)</f>
        <v>0</v>
      </c>
      <c r="AC14" s="439">
        <f>((O14*'Technology Inputs'!$E$6)+('Technology Inputs'!$E$7*'Option B'!Q14)+('Option B'!S14*(VLOOKUP('Option B'!$R$4,'Technology Inputs'!$C$8:$E$15,3,FALSE)))+(U14*(VLOOKUP($T$4,'Technology Inputs'!$C$8:$E$15,3,FALSE))))/1000</f>
        <v>0</v>
      </c>
      <c r="AD14" s="440" t="e">
        <f t="shared" si="0"/>
        <v>#DIV/0!</v>
      </c>
      <c r="AE14" s="441" t="e">
        <f>VLOOKUP(D14, 'Technology Inputs'!$D$44:$E$172, 2, FALSE)</f>
        <v>#N/A</v>
      </c>
      <c r="AF14" s="441">
        <f t="shared" si="3"/>
        <v>0</v>
      </c>
      <c r="AG14" s="442" t="e">
        <f t="shared" si="2"/>
        <v>#N/A</v>
      </c>
    </row>
    <row r="15" spans="1:33" ht="12" customHeight="1" x14ac:dyDescent="0.25">
      <c r="A15" s="430">
        <v>9</v>
      </c>
      <c r="B15" s="431" t="str">
        <f>'DASHBOARD '!G17</f>
        <v>x</v>
      </c>
      <c r="C15" s="432">
        <f>'ECM Options Data'!D22</f>
        <v>0</v>
      </c>
      <c r="D15" s="432">
        <f>'ECM Options Data'!E22</f>
        <v>0</v>
      </c>
      <c r="E15" s="432">
        <f>'ECM Options Data'!F22</f>
        <v>0</v>
      </c>
      <c r="F15" s="432">
        <f>'ECM Options Data'!G22</f>
        <v>0</v>
      </c>
      <c r="G15" s="432">
        <f>'ECM Options Data'!H22</f>
        <v>0</v>
      </c>
      <c r="H15" s="432">
        <f>'ECM Options Data'!I22</f>
        <v>0</v>
      </c>
      <c r="I15" s="432">
        <f>'ECM Options Data'!J22</f>
        <v>0</v>
      </c>
      <c r="J15" s="432">
        <f>'ECM Options Data'!K22</f>
        <v>0</v>
      </c>
      <c r="K15" s="432">
        <f>'ECM Options Data'!L22</f>
        <v>0</v>
      </c>
      <c r="L15" s="432">
        <f>'ECM Options Data'!M22</f>
        <v>0</v>
      </c>
      <c r="M15" s="432">
        <f>'ECM Options Data'!N22</f>
        <v>0</v>
      </c>
      <c r="N15" s="432"/>
      <c r="O15" s="435">
        <f>IF($B15="x", 'ECM Options Data'!P22, 0)</f>
        <v>0</v>
      </c>
      <c r="P15" s="433"/>
      <c r="Q15" s="435">
        <f>IF($B15="x", 'ECM Options Data'!R22, 0)</f>
        <v>0</v>
      </c>
      <c r="R15" s="435"/>
      <c r="S15" s="435">
        <f>IF($B15="x",'ECM Options Data'!T22, 0)</f>
        <v>0</v>
      </c>
      <c r="T15" s="433"/>
      <c r="U15" s="435">
        <f>IF($B15="x", 'ECM Options Data'!V22,0)</f>
        <v>0</v>
      </c>
      <c r="V15" s="436">
        <f>'ECM Options Data'!W22</f>
        <v>0</v>
      </c>
      <c r="W15" s="437"/>
      <c r="X15" s="437"/>
      <c r="Y15" s="437"/>
      <c r="Z15" s="437"/>
      <c r="AA15" s="437"/>
      <c r="AB15" s="438">
        <f>(O15*'Project Data Input'!$F$14)+('Option B'!Q15*'Project Data Input'!$F$15)+('Project Data Input'!$F$16*'Option B'!S15)+('Project Data Input'!$F$17*'Option B'!U15)</f>
        <v>0</v>
      </c>
      <c r="AC15" s="439">
        <f>((O15*'Technology Inputs'!$E$6)+('Technology Inputs'!$E$7*'Option B'!Q15)+('Option B'!S15*(VLOOKUP('Option B'!$R$4,'Technology Inputs'!$C$8:$E$15,3,FALSE)))+(U15*(VLOOKUP($T$4,'Technology Inputs'!$C$8:$E$15,3,FALSE))))/1000</f>
        <v>0</v>
      </c>
      <c r="AD15" s="440" t="e">
        <f t="shared" si="0"/>
        <v>#DIV/0!</v>
      </c>
      <c r="AE15" s="441" t="e">
        <f>VLOOKUP(D15, 'Technology Inputs'!$D$44:$E$172, 2, FALSE)</f>
        <v>#N/A</v>
      </c>
      <c r="AF15" s="441">
        <f t="shared" si="3"/>
        <v>0</v>
      </c>
      <c r="AG15" s="442" t="e">
        <f t="shared" si="2"/>
        <v>#N/A</v>
      </c>
    </row>
    <row r="16" spans="1:33" ht="12" customHeight="1" x14ac:dyDescent="0.25">
      <c r="A16" s="428" t="s">
        <v>63</v>
      </c>
      <c r="C16" s="443"/>
      <c r="D16" s="444"/>
      <c r="E16" s="444"/>
      <c r="F16" s="444"/>
      <c r="G16" s="444"/>
      <c r="H16" s="444"/>
      <c r="I16" s="444"/>
      <c r="J16" s="445"/>
      <c r="K16" s="445"/>
      <c r="L16" s="445"/>
      <c r="M16" s="446">
        <f>SUMIF(B7:B15, "x", M7:M15)</f>
        <v>0</v>
      </c>
      <c r="N16" s="447"/>
      <c r="O16" s="446">
        <f>IF(SUM(O7:O15)&gt;'Project Data Input'!D14, 'Project Data Input'!D14, SUM(O7:O15))</f>
        <v>0</v>
      </c>
      <c r="P16" s="448"/>
      <c r="Q16" s="446">
        <f>IF(SUM(Q7:Q15)&gt;'Project Data Input'!D15,'Project Data Input'!D15,SUM('Option B'!Q7:Q15))</f>
        <v>0</v>
      </c>
      <c r="R16" s="448"/>
      <c r="S16" s="446">
        <f>IF(SUM(S7:S15)&gt;'Project Data Input'!D16, 'Project Data Input'!D16, SUM(S7:S15))</f>
        <v>0</v>
      </c>
      <c r="T16" s="447"/>
      <c r="U16" s="446">
        <f>IF(SUM(U7:U15)&gt;'Project Data Input'!D17, 'Project Data Input'!D17, SUM(U7:U15))</f>
        <v>0</v>
      </c>
      <c r="V16" s="447"/>
      <c r="W16" s="448"/>
      <c r="X16" s="448"/>
      <c r="Y16" s="448"/>
      <c r="Z16" s="448"/>
      <c r="AA16" s="448"/>
      <c r="AB16" s="446">
        <f t="shared" ref="AB16:AC16" si="4">SUM(AB7:AB15)</f>
        <v>0</v>
      </c>
      <c r="AC16" s="446">
        <f t="shared" si="4"/>
        <v>0</v>
      </c>
      <c r="AD16" s="449" t="e">
        <f>M16/AB16</f>
        <v>#DIV/0!</v>
      </c>
      <c r="AE16" s="446"/>
      <c r="AF16" s="446" t="e">
        <f>SUM(AF7:AF15)</f>
        <v>#N/A</v>
      </c>
      <c r="AG16" s="446" t="e">
        <f>M16/AF16</f>
        <v>#N/A</v>
      </c>
    </row>
    <row r="17" spans="1:42" x14ac:dyDescent="0.25">
      <c r="A17" s="450"/>
      <c r="B17" s="450"/>
      <c r="C17" s="450"/>
      <c r="D17" s="451"/>
      <c r="E17" s="451"/>
      <c r="F17" s="451"/>
      <c r="G17" s="451"/>
      <c r="H17" s="451"/>
      <c r="I17" s="451"/>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row>
  </sheetData>
  <sheetProtection algorithmName="SHA-512" hashValue="gDQCT3rUe00kCm0UgaL6+MfxoeAGaHmuS4K8u07CY4FsX12EDzThSPRCQTFtzaUxK5GrzRdDZuAi1jMUbcpvbw==" saltValue="tcGj8TitJKAnrHjq+T1UlA==" spinCount="100000" sheet="1" objects="1" scenarios="1"/>
  <mergeCells count="24">
    <mergeCell ref="N5:O5"/>
    <mergeCell ref="N3:AG3"/>
    <mergeCell ref="N4:O4"/>
    <mergeCell ref="P4:Q4"/>
    <mergeCell ref="R4:S4"/>
    <mergeCell ref="T4:U4"/>
    <mergeCell ref="V4:W4"/>
    <mergeCell ref="X4:AA4"/>
    <mergeCell ref="AB4:AG4"/>
    <mergeCell ref="P5:Q5"/>
    <mergeCell ref="V5:W5"/>
    <mergeCell ref="X5:Y5"/>
    <mergeCell ref="AB5:AC5"/>
    <mergeCell ref="AG5:AG6"/>
    <mergeCell ref="R5:S5"/>
    <mergeCell ref="T5:U5"/>
    <mergeCell ref="A3:D4"/>
    <mergeCell ref="J3:J5"/>
    <mergeCell ref="K3:K5"/>
    <mergeCell ref="L3:L5"/>
    <mergeCell ref="M3:M5"/>
    <mergeCell ref="A5:A6"/>
    <mergeCell ref="C5:C6"/>
    <mergeCell ref="D5:D6"/>
  </mergeCells>
  <dataValidations count="1">
    <dataValidation type="list" allowBlank="1" showInputMessage="1" showErrorMessage="1" sqref="C7:N15" xr:uid="{55055ED0-ECC9-4AD5-BE4F-94FEEDB20EDD}">
      <formula1>Category</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FCC87-38D2-4830-9643-D07CA8B7E004}">
  <sheetPr>
    <tabColor rgb="FFFF0000"/>
  </sheetPr>
  <dimension ref="A1:AS36"/>
  <sheetViews>
    <sheetView zoomScaleNormal="100" workbookViewId="0">
      <pane xSplit="4" ySplit="6" topLeftCell="E7" activePane="bottomRight" state="frozen"/>
      <selection activeCell="AH14" sqref="AH14"/>
      <selection pane="topRight" activeCell="AH14" sqref="AH14"/>
      <selection pane="bottomLeft" activeCell="AH14" sqref="AH14"/>
      <selection pane="bottomRight" activeCell="D36" sqref="D36"/>
    </sheetView>
  </sheetViews>
  <sheetFormatPr defaultColWidth="9.140625" defaultRowHeight="12" x14ac:dyDescent="0.2"/>
  <cols>
    <col min="1" max="1" width="9.140625" style="452"/>
    <col min="2" max="2" width="10.85546875" style="452" customWidth="1"/>
    <col min="3" max="3" width="24.140625" style="452" customWidth="1"/>
    <col min="4" max="4" width="38.42578125" style="452" bestFit="1" customWidth="1"/>
    <col min="5" max="6" width="10.140625" style="559" customWidth="1"/>
    <col min="7" max="7" width="10.85546875" style="452" customWidth="1"/>
    <col min="8" max="8" width="12.140625" style="560" customWidth="1"/>
    <col min="9" max="9" width="11.140625" style="560" customWidth="1"/>
    <col min="10" max="10" width="9.85546875" style="452" bestFit="1" customWidth="1"/>
    <col min="11" max="11" width="9.42578125" style="452" bestFit="1" customWidth="1"/>
    <col min="12" max="12" width="11" style="452" customWidth="1"/>
    <col min="13" max="13" width="8.85546875" style="452" customWidth="1"/>
    <col min="14" max="16" width="11.85546875" style="452" customWidth="1"/>
    <col min="17" max="18" width="12.85546875" style="452" customWidth="1"/>
    <col min="19" max="19" width="9.85546875" style="457" bestFit="1" customWidth="1"/>
    <col min="20" max="20" width="11.85546875" style="452" customWidth="1"/>
    <col min="21" max="21" width="11" style="452" bestFit="1" customWidth="1"/>
    <col min="22" max="22" width="10" style="452" bestFit="1" customWidth="1"/>
    <col min="23" max="23" width="9.5703125" style="452" bestFit="1" customWidth="1"/>
    <col min="24" max="25" width="10" style="452" bestFit="1" customWidth="1"/>
    <col min="26" max="26" width="10.5703125" style="452" bestFit="1" customWidth="1"/>
    <col min="27" max="27" width="10" style="452" bestFit="1" customWidth="1"/>
    <col min="28" max="28" width="9.140625" style="452"/>
    <col min="29" max="29" width="12.85546875" style="452" customWidth="1"/>
    <col min="30" max="30" width="9.140625" style="452"/>
    <col min="31" max="31" width="10" style="452" bestFit="1" customWidth="1"/>
    <col min="32" max="32" width="9.5703125" style="452" bestFit="1" customWidth="1"/>
    <col min="33" max="34" width="10.5703125" style="452" bestFit="1" customWidth="1"/>
    <col min="35" max="35" width="10" style="452" bestFit="1" customWidth="1"/>
    <col min="36" max="36" width="9.140625" style="452"/>
    <col min="37" max="38" width="10" style="452" bestFit="1" customWidth="1"/>
    <col min="39" max="39" width="10.5703125" style="452" bestFit="1" customWidth="1"/>
    <col min="40" max="40" width="10.42578125" style="452" bestFit="1" customWidth="1"/>
    <col min="41" max="41" width="9.140625" style="452"/>
    <col min="42" max="42" width="9.5703125" style="452" bestFit="1" customWidth="1"/>
    <col min="43" max="43" width="10.42578125" style="452" bestFit="1" customWidth="1"/>
    <col min="44" max="44" width="10" style="452" bestFit="1" customWidth="1"/>
    <col min="45" max="45" width="12.42578125" style="452" bestFit="1" customWidth="1"/>
    <col min="46" max="262" width="9.140625" style="452"/>
    <col min="263" max="263" width="16.5703125" style="452" bestFit="1" customWidth="1"/>
    <col min="264" max="264" width="38.42578125" style="452" bestFit="1" customWidth="1"/>
    <col min="265" max="265" width="0" style="452" hidden="1" customWidth="1"/>
    <col min="266" max="266" width="36.5703125" style="452" customWidth="1"/>
    <col min="267" max="267" width="12.140625" style="452" customWidth="1"/>
    <col min="268" max="268" width="7.5703125" style="452" bestFit="1" customWidth="1"/>
    <col min="269" max="269" width="4.42578125" style="452" bestFit="1" customWidth="1"/>
    <col min="270" max="270" width="9.85546875" style="452" bestFit="1" customWidth="1"/>
    <col min="271" max="271" width="9.42578125" style="452" bestFit="1" customWidth="1"/>
    <col min="272" max="272" width="8.85546875" style="452" customWidth="1"/>
    <col min="273" max="273" width="9.140625" style="452"/>
    <col min="274" max="274" width="12.85546875" style="452" customWidth="1"/>
    <col min="275" max="275" width="9.140625" style="452"/>
    <col min="276" max="276" width="11.85546875" style="452" customWidth="1"/>
    <col min="277" max="277" width="11" style="452" bestFit="1" customWidth="1"/>
    <col min="278" max="278" width="10" style="452" bestFit="1" customWidth="1"/>
    <col min="279" max="279" width="9.5703125" style="452" bestFit="1" customWidth="1"/>
    <col min="280" max="281" width="10" style="452" bestFit="1" customWidth="1"/>
    <col min="282" max="282" width="10.5703125" style="452" bestFit="1" customWidth="1"/>
    <col min="283" max="283" width="10" style="452" bestFit="1" customWidth="1"/>
    <col min="284" max="284" width="9.140625" style="452"/>
    <col min="285" max="285" width="11" style="452" bestFit="1" customWidth="1"/>
    <col min="286" max="286" width="9.140625" style="452"/>
    <col min="287" max="287" width="10" style="452" bestFit="1" customWidth="1"/>
    <col min="288" max="288" width="9.5703125" style="452" bestFit="1" customWidth="1"/>
    <col min="289" max="290" width="10.5703125" style="452" bestFit="1" customWidth="1"/>
    <col min="291" max="291" width="10" style="452" bestFit="1" customWidth="1"/>
    <col min="292" max="292" width="9.140625" style="452"/>
    <col min="293" max="294" width="10" style="452" bestFit="1" customWidth="1"/>
    <col min="295" max="295" width="10.5703125" style="452" bestFit="1" customWidth="1"/>
    <col min="296" max="296" width="10.42578125" style="452" bestFit="1" customWidth="1"/>
    <col min="297" max="297" width="9.140625" style="452"/>
    <col min="298" max="298" width="9.5703125" style="452" bestFit="1" customWidth="1"/>
    <col min="299" max="299" width="10.42578125" style="452" bestFit="1" customWidth="1"/>
    <col min="300" max="300" width="10" style="452" bestFit="1" customWidth="1"/>
    <col min="301" max="301" width="12.42578125" style="452" bestFit="1" customWidth="1"/>
    <col min="302" max="518" width="9.140625" style="452"/>
    <col min="519" max="519" width="16.5703125" style="452" bestFit="1" customWidth="1"/>
    <col min="520" max="520" width="38.42578125" style="452" bestFit="1" customWidth="1"/>
    <col min="521" max="521" width="0" style="452" hidden="1" customWidth="1"/>
    <col min="522" max="522" width="36.5703125" style="452" customWidth="1"/>
    <col min="523" max="523" width="12.140625" style="452" customWidth="1"/>
    <col min="524" max="524" width="7.5703125" style="452" bestFit="1" customWidth="1"/>
    <col min="525" max="525" width="4.42578125" style="452" bestFit="1" customWidth="1"/>
    <col min="526" max="526" width="9.85546875" style="452" bestFit="1" customWidth="1"/>
    <col min="527" max="527" width="9.42578125" style="452" bestFit="1" customWidth="1"/>
    <col min="528" max="528" width="8.85546875" style="452" customWidth="1"/>
    <col min="529" max="529" width="9.140625" style="452"/>
    <col min="530" max="530" width="12.85546875" style="452" customWidth="1"/>
    <col min="531" max="531" width="9.140625" style="452"/>
    <col min="532" max="532" width="11.85546875" style="452" customWidth="1"/>
    <col min="533" max="533" width="11" style="452" bestFit="1" customWidth="1"/>
    <col min="534" max="534" width="10" style="452" bestFit="1" customWidth="1"/>
    <col min="535" max="535" width="9.5703125" style="452" bestFit="1" customWidth="1"/>
    <col min="536" max="537" width="10" style="452" bestFit="1" customWidth="1"/>
    <col min="538" max="538" width="10.5703125" style="452" bestFit="1" customWidth="1"/>
    <col min="539" max="539" width="10" style="452" bestFit="1" customWidth="1"/>
    <col min="540" max="540" width="9.140625" style="452"/>
    <col min="541" max="541" width="11" style="452" bestFit="1" customWidth="1"/>
    <col min="542" max="542" width="9.140625" style="452"/>
    <col min="543" max="543" width="10" style="452" bestFit="1" customWidth="1"/>
    <col min="544" max="544" width="9.5703125" style="452" bestFit="1" customWidth="1"/>
    <col min="545" max="546" width="10.5703125" style="452" bestFit="1" customWidth="1"/>
    <col min="547" max="547" width="10" style="452" bestFit="1" customWidth="1"/>
    <col min="548" max="548" width="9.140625" style="452"/>
    <col min="549" max="550" width="10" style="452" bestFit="1" customWidth="1"/>
    <col min="551" max="551" width="10.5703125" style="452" bestFit="1" customWidth="1"/>
    <col min="552" max="552" width="10.42578125" style="452" bestFit="1" customWidth="1"/>
    <col min="553" max="553" width="9.140625" style="452"/>
    <col min="554" max="554" width="9.5703125" style="452" bestFit="1" customWidth="1"/>
    <col min="555" max="555" width="10.42578125" style="452" bestFit="1" customWidth="1"/>
    <col min="556" max="556" width="10" style="452" bestFit="1" customWidth="1"/>
    <col min="557" max="557" width="12.42578125" style="452" bestFit="1" customWidth="1"/>
    <col min="558" max="774" width="9.140625" style="452"/>
    <col min="775" max="775" width="16.5703125" style="452" bestFit="1" customWidth="1"/>
    <col min="776" max="776" width="38.42578125" style="452" bestFit="1" customWidth="1"/>
    <col min="777" max="777" width="0" style="452" hidden="1" customWidth="1"/>
    <col min="778" max="778" width="36.5703125" style="452" customWidth="1"/>
    <col min="779" max="779" width="12.140625" style="452" customWidth="1"/>
    <col min="780" max="780" width="7.5703125" style="452" bestFit="1" customWidth="1"/>
    <col min="781" max="781" width="4.42578125" style="452" bestFit="1" customWidth="1"/>
    <col min="782" max="782" width="9.85546875" style="452" bestFit="1" customWidth="1"/>
    <col min="783" max="783" width="9.42578125" style="452" bestFit="1" customWidth="1"/>
    <col min="784" max="784" width="8.85546875" style="452" customWidth="1"/>
    <col min="785" max="785" width="9.140625" style="452"/>
    <col min="786" max="786" width="12.85546875" style="452" customWidth="1"/>
    <col min="787" max="787" width="9.140625" style="452"/>
    <col min="788" max="788" width="11.85546875" style="452" customWidth="1"/>
    <col min="789" max="789" width="11" style="452" bestFit="1" customWidth="1"/>
    <col min="790" max="790" width="10" style="452" bestFit="1" customWidth="1"/>
    <col min="791" max="791" width="9.5703125" style="452" bestFit="1" customWidth="1"/>
    <col min="792" max="793" width="10" style="452" bestFit="1" customWidth="1"/>
    <col min="794" max="794" width="10.5703125" style="452" bestFit="1" customWidth="1"/>
    <col min="795" max="795" width="10" style="452" bestFit="1" customWidth="1"/>
    <col min="796" max="796" width="9.140625" style="452"/>
    <col min="797" max="797" width="11" style="452" bestFit="1" customWidth="1"/>
    <col min="798" max="798" width="9.140625" style="452"/>
    <col min="799" max="799" width="10" style="452" bestFit="1" customWidth="1"/>
    <col min="800" max="800" width="9.5703125" style="452" bestFit="1" customWidth="1"/>
    <col min="801" max="802" width="10.5703125" style="452" bestFit="1" customWidth="1"/>
    <col min="803" max="803" width="10" style="452" bestFit="1" customWidth="1"/>
    <col min="804" max="804" width="9.140625" style="452"/>
    <col min="805" max="806" width="10" style="452" bestFit="1" customWidth="1"/>
    <col min="807" max="807" width="10.5703125" style="452" bestFit="1" customWidth="1"/>
    <col min="808" max="808" width="10.42578125" style="452" bestFit="1" customWidth="1"/>
    <col min="809" max="809" width="9.140625" style="452"/>
    <col min="810" max="810" width="9.5703125" style="452" bestFit="1" customWidth="1"/>
    <col min="811" max="811" width="10.42578125" style="452" bestFit="1" customWidth="1"/>
    <col min="812" max="812" width="10" style="452" bestFit="1" customWidth="1"/>
    <col min="813" max="813" width="12.42578125" style="452" bestFit="1" customWidth="1"/>
    <col min="814" max="1030" width="9.140625" style="452"/>
    <col min="1031" max="1031" width="16.5703125" style="452" bestFit="1" customWidth="1"/>
    <col min="1032" max="1032" width="38.42578125" style="452" bestFit="1" customWidth="1"/>
    <col min="1033" max="1033" width="0" style="452" hidden="1" customWidth="1"/>
    <col min="1034" max="1034" width="36.5703125" style="452" customWidth="1"/>
    <col min="1035" max="1035" width="12.140625" style="452" customWidth="1"/>
    <col min="1036" max="1036" width="7.5703125" style="452" bestFit="1" customWidth="1"/>
    <col min="1037" max="1037" width="4.42578125" style="452" bestFit="1" customWidth="1"/>
    <col min="1038" max="1038" width="9.85546875" style="452" bestFit="1" customWidth="1"/>
    <col min="1039" max="1039" width="9.42578125" style="452" bestFit="1" customWidth="1"/>
    <col min="1040" max="1040" width="8.85546875" style="452" customWidth="1"/>
    <col min="1041" max="1041" width="9.140625" style="452"/>
    <col min="1042" max="1042" width="12.85546875" style="452" customWidth="1"/>
    <col min="1043" max="1043" width="9.140625" style="452"/>
    <col min="1044" max="1044" width="11.85546875" style="452" customWidth="1"/>
    <col min="1045" max="1045" width="11" style="452" bestFit="1" customWidth="1"/>
    <col min="1046" max="1046" width="10" style="452" bestFit="1" customWidth="1"/>
    <col min="1047" max="1047" width="9.5703125" style="452" bestFit="1" customWidth="1"/>
    <col min="1048" max="1049" width="10" style="452" bestFit="1" customWidth="1"/>
    <col min="1050" max="1050" width="10.5703125" style="452" bestFit="1" customWidth="1"/>
    <col min="1051" max="1051" width="10" style="452" bestFit="1" customWidth="1"/>
    <col min="1052" max="1052" width="9.140625" style="452"/>
    <col min="1053" max="1053" width="11" style="452" bestFit="1" customWidth="1"/>
    <col min="1054" max="1054" width="9.140625" style="452"/>
    <col min="1055" max="1055" width="10" style="452" bestFit="1" customWidth="1"/>
    <col min="1056" max="1056" width="9.5703125" style="452" bestFit="1" customWidth="1"/>
    <col min="1057" max="1058" width="10.5703125" style="452" bestFit="1" customWidth="1"/>
    <col min="1059" max="1059" width="10" style="452" bestFit="1" customWidth="1"/>
    <col min="1060" max="1060" width="9.140625" style="452"/>
    <col min="1061" max="1062" width="10" style="452" bestFit="1" customWidth="1"/>
    <col min="1063" max="1063" width="10.5703125" style="452" bestFit="1" customWidth="1"/>
    <col min="1064" max="1064" width="10.42578125" style="452" bestFit="1" customWidth="1"/>
    <col min="1065" max="1065" width="9.140625" style="452"/>
    <col min="1066" max="1066" width="9.5703125" style="452" bestFit="1" customWidth="1"/>
    <col min="1067" max="1067" width="10.42578125" style="452" bestFit="1" customWidth="1"/>
    <col min="1068" max="1068" width="10" style="452" bestFit="1" customWidth="1"/>
    <col min="1069" max="1069" width="12.42578125" style="452" bestFit="1" customWidth="1"/>
    <col min="1070" max="1286" width="9.140625" style="452"/>
    <col min="1287" max="1287" width="16.5703125" style="452" bestFit="1" customWidth="1"/>
    <col min="1288" max="1288" width="38.42578125" style="452" bestFit="1" customWidth="1"/>
    <col min="1289" max="1289" width="0" style="452" hidden="1" customWidth="1"/>
    <col min="1290" max="1290" width="36.5703125" style="452" customWidth="1"/>
    <col min="1291" max="1291" width="12.140625" style="452" customWidth="1"/>
    <col min="1292" max="1292" width="7.5703125" style="452" bestFit="1" customWidth="1"/>
    <col min="1293" max="1293" width="4.42578125" style="452" bestFit="1" customWidth="1"/>
    <col min="1294" max="1294" width="9.85546875" style="452" bestFit="1" customWidth="1"/>
    <col min="1295" max="1295" width="9.42578125" style="452" bestFit="1" customWidth="1"/>
    <col min="1296" max="1296" width="8.85546875" style="452" customWidth="1"/>
    <col min="1297" max="1297" width="9.140625" style="452"/>
    <col min="1298" max="1298" width="12.85546875" style="452" customWidth="1"/>
    <col min="1299" max="1299" width="9.140625" style="452"/>
    <col min="1300" max="1300" width="11.85546875" style="452" customWidth="1"/>
    <col min="1301" max="1301" width="11" style="452" bestFit="1" customWidth="1"/>
    <col min="1302" max="1302" width="10" style="452" bestFit="1" customWidth="1"/>
    <col min="1303" max="1303" width="9.5703125" style="452" bestFit="1" customWidth="1"/>
    <col min="1304" max="1305" width="10" style="452" bestFit="1" customWidth="1"/>
    <col min="1306" max="1306" width="10.5703125" style="452" bestFit="1" customWidth="1"/>
    <col min="1307" max="1307" width="10" style="452" bestFit="1" customWidth="1"/>
    <col min="1308" max="1308" width="9.140625" style="452"/>
    <col min="1309" max="1309" width="11" style="452" bestFit="1" customWidth="1"/>
    <col min="1310" max="1310" width="9.140625" style="452"/>
    <col min="1311" max="1311" width="10" style="452" bestFit="1" customWidth="1"/>
    <col min="1312" max="1312" width="9.5703125" style="452" bestFit="1" customWidth="1"/>
    <col min="1313" max="1314" width="10.5703125" style="452" bestFit="1" customWidth="1"/>
    <col min="1315" max="1315" width="10" style="452" bestFit="1" customWidth="1"/>
    <col min="1316" max="1316" width="9.140625" style="452"/>
    <col min="1317" max="1318" width="10" style="452" bestFit="1" customWidth="1"/>
    <col min="1319" max="1319" width="10.5703125" style="452" bestFit="1" customWidth="1"/>
    <col min="1320" max="1320" width="10.42578125" style="452" bestFit="1" customWidth="1"/>
    <col min="1321" max="1321" width="9.140625" style="452"/>
    <col min="1322" max="1322" width="9.5703125" style="452" bestFit="1" customWidth="1"/>
    <col min="1323" max="1323" width="10.42578125" style="452" bestFit="1" customWidth="1"/>
    <col min="1324" max="1324" width="10" style="452" bestFit="1" customWidth="1"/>
    <col min="1325" max="1325" width="12.42578125" style="452" bestFit="1" customWidth="1"/>
    <col min="1326" max="1542" width="9.140625" style="452"/>
    <col min="1543" max="1543" width="16.5703125" style="452" bestFit="1" customWidth="1"/>
    <col min="1544" max="1544" width="38.42578125" style="452" bestFit="1" customWidth="1"/>
    <col min="1545" max="1545" width="0" style="452" hidden="1" customWidth="1"/>
    <col min="1546" max="1546" width="36.5703125" style="452" customWidth="1"/>
    <col min="1547" max="1547" width="12.140625" style="452" customWidth="1"/>
    <col min="1548" max="1548" width="7.5703125" style="452" bestFit="1" customWidth="1"/>
    <col min="1549" max="1549" width="4.42578125" style="452" bestFit="1" customWidth="1"/>
    <col min="1550" max="1550" width="9.85546875" style="452" bestFit="1" customWidth="1"/>
    <col min="1551" max="1551" width="9.42578125" style="452" bestFit="1" customWidth="1"/>
    <col min="1552" max="1552" width="8.85546875" style="452" customWidth="1"/>
    <col min="1553" max="1553" width="9.140625" style="452"/>
    <col min="1554" max="1554" width="12.85546875" style="452" customWidth="1"/>
    <col min="1555" max="1555" width="9.140625" style="452"/>
    <col min="1556" max="1556" width="11.85546875" style="452" customWidth="1"/>
    <col min="1557" max="1557" width="11" style="452" bestFit="1" customWidth="1"/>
    <col min="1558" max="1558" width="10" style="452" bestFit="1" customWidth="1"/>
    <col min="1559" max="1559" width="9.5703125" style="452" bestFit="1" customWidth="1"/>
    <col min="1560" max="1561" width="10" style="452" bestFit="1" customWidth="1"/>
    <col min="1562" max="1562" width="10.5703125" style="452" bestFit="1" customWidth="1"/>
    <col min="1563" max="1563" width="10" style="452" bestFit="1" customWidth="1"/>
    <col min="1564" max="1564" width="9.140625" style="452"/>
    <col min="1565" max="1565" width="11" style="452" bestFit="1" customWidth="1"/>
    <col min="1566" max="1566" width="9.140625" style="452"/>
    <col min="1567" max="1567" width="10" style="452" bestFit="1" customWidth="1"/>
    <col min="1568" max="1568" width="9.5703125" style="452" bestFit="1" customWidth="1"/>
    <col min="1569" max="1570" width="10.5703125" style="452" bestFit="1" customWidth="1"/>
    <col min="1571" max="1571" width="10" style="452" bestFit="1" customWidth="1"/>
    <col min="1572" max="1572" width="9.140625" style="452"/>
    <col min="1573" max="1574" width="10" style="452" bestFit="1" customWidth="1"/>
    <col min="1575" max="1575" width="10.5703125" style="452" bestFit="1" customWidth="1"/>
    <col min="1576" max="1576" width="10.42578125" style="452" bestFit="1" customWidth="1"/>
    <col min="1577" max="1577" width="9.140625" style="452"/>
    <col min="1578" max="1578" width="9.5703125" style="452" bestFit="1" customWidth="1"/>
    <col min="1579" max="1579" width="10.42578125" style="452" bestFit="1" customWidth="1"/>
    <col min="1580" max="1580" width="10" style="452" bestFit="1" customWidth="1"/>
    <col min="1581" max="1581" width="12.42578125" style="452" bestFit="1" customWidth="1"/>
    <col min="1582" max="1798" width="9.140625" style="452"/>
    <col min="1799" max="1799" width="16.5703125" style="452" bestFit="1" customWidth="1"/>
    <col min="1800" max="1800" width="38.42578125" style="452" bestFit="1" customWidth="1"/>
    <col min="1801" max="1801" width="0" style="452" hidden="1" customWidth="1"/>
    <col min="1802" max="1802" width="36.5703125" style="452" customWidth="1"/>
    <col min="1803" max="1803" width="12.140625" style="452" customWidth="1"/>
    <col min="1804" max="1804" width="7.5703125" style="452" bestFit="1" customWidth="1"/>
    <col min="1805" max="1805" width="4.42578125" style="452" bestFit="1" customWidth="1"/>
    <col min="1806" max="1806" width="9.85546875" style="452" bestFit="1" customWidth="1"/>
    <col min="1807" max="1807" width="9.42578125" style="452" bestFit="1" customWidth="1"/>
    <col min="1808" max="1808" width="8.85546875" style="452" customWidth="1"/>
    <col min="1809" max="1809" width="9.140625" style="452"/>
    <col min="1810" max="1810" width="12.85546875" style="452" customWidth="1"/>
    <col min="1811" max="1811" width="9.140625" style="452"/>
    <col min="1812" max="1812" width="11.85546875" style="452" customWidth="1"/>
    <col min="1813" max="1813" width="11" style="452" bestFit="1" customWidth="1"/>
    <col min="1814" max="1814" width="10" style="452" bestFit="1" customWidth="1"/>
    <col min="1815" max="1815" width="9.5703125" style="452" bestFit="1" customWidth="1"/>
    <col min="1816" max="1817" width="10" style="452" bestFit="1" customWidth="1"/>
    <col min="1818" max="1818" width="10.5703125" style="452" bestFit="1" customWidth="1"/>
    <col min="1819" max="1819" width="10" style="452" bestFit="1" customWidth="1"/>
    <col min="1820" max="1820" width="9.140625" style="452"/>
    <col min="1821" max="1821" width="11" style="452" bestFit="1" customWidth="1"/>
    <col min="1822" max="1822" width="9.140625" style="452"/>
    <col min="1823" max="1823" width="10" style="452" bestFit="1" customWidth="1"/>
    <col min="1824" max="1824" width="9.5703125" style="452" bestFit="1" customWidth="1"/>
    <col min="1825" max="1826" width="10.5703125" style="452" bestFit="1" customWidth="1"/>
    <col min="1827" max="1827" width="10" style="452" bestFit="1" customWidth="1"/>
    <col min="1828" max="1828" width="9.140625" style="452"/>
    <col min="1829" max="1830" width="10" style="452" bestFit="1" customWidth="1"/>
    <col min="1831" max="1831" width="10.5703125" style="452" bestFit="1" customWidth="1"/>
    <col min="1832" max="1832" width="10.42578125" style="452" bestFit="1" customWidth="1"/>
    <col min="1833" max="1833" width="9.140625" style="452"/>
    <col min="1834" max="1834" width="9.5703125" style="452" bestFit="1" customWidth="1"/>
    <col min="1835" max="1835" width="10.42578125" style="452" bestFit="1" customWidth="1"/>
    <col min="1836" max="1836" width="10" style="452" bestFit="1" customWidth="1"/>
    <col min="1837" max="1837" width="12.42578125" style="452" bestFit="1" customWidth="1"/>
    <col min="1838" max="2054" width="9.140625" style="452"/>
    <col min="2055" max="2055" width="16.5703125" style="452" bestFit="1" customWidth="1"/>
    <col min="2056" max="2056" width="38.42578125" style="452" bestFit="1" customWidth="1"/>
    <col min="2057" max="2057" width="0" style="452" hidden="1" customWidth="1"/>
    <col min="2058" max="2058" width="36.5703125" style="452" customWidth="1"/>
    <col min="2059" max="2059" width="12.140625" style="452" customWidth="1"/>
    <col min="2060" max="2060" width="7.5703125" style="452" bestFit="1" customWidth="1"/>
    <col min="2061" max="2061" width="4.42578125" style="452" bestFit="1" customWidth="1"/>
    <col min="2062" max="2062" width="9.85546875" style="452" bestFit="1" customWidth="1"/>
    <col min="2063" max="2063" width="9.42578125" style="452" bestFit="1" customWidth="1"/>
    <col min="2064" max="2064" width="8.85546875" style="452" customWidth="1"/>
    <col min="2065" max="2065" width="9.140625" style="452"/>
    <col min="2066" max="2066" width="12.85546875" style="452" customWidth="1"/>
    <col min="2067" max="2067" width="9.140625" style="452"/>
    <col min="2068" max="2068" width="11.85546875" style="452" customWidth="1"/>
    <col min="2069" max="2069" width="11" style="452" bestFit="1" customWidth="1"/>
    <col min="2070" max="2070" width="10" style="452" bestFit="1" customWidth="1"/>
    <col min="2071" max="2071" width="9.5703125" style="452" bestFit="1" customWidth="1"/>
    <col min="2072" max="2073" width="10" style="452" bestFit="1" customWidth="1"/>
    <col min="2074" max="2074" width="10.5703125" style="452" bestFit="1" customWidth="1"/>
    <col min="2075" max="2075" width="10" style="452" bestFit="1" customWidth="1"/>
    <col min="2076" max="2076" width="9.140625" style="452"/>
    <col min="2077" max="2077" width="11" style="452" bestFit="1" customWidth="1"/>
    <col min="2078" max="2078" width="9.140625" style="452"/>
    <col min="2079" max="2079" width="10" style="452" bestFit="1" customWidth="1"/>
    <col min="2080" max="2080" width="9.5703125" style="452" bestFit="1" customWidth="1"/>
    <col min="2081" max="2082" width="10.5703125" style="452" bestFit="1" customWidth="1"/>
    <col min="2083" max="2083" width="10" style="452" bestFit="1" customWidth="1"/>
    <col min="2084" max="2084" width="9.140625" style="452"/>
    <col min="2085" max="2086" width="10" style="452" bestFit="1" customWidth="1"/>
    <col min="2087" max="2087" width="10.5703125" style="452" bestFit="1" customWidth="1"/>
    <col min="2088" max="2088" width="10.42578125" style="452" bestFit="1" customWidth="1"/>
    <col min="2089" max="2089" width="9.140625" style="452"/>
    <col min="2090" max="2090" width="9.5703125" style="452" bestFit="1" customWidth="1"/>
    <col min="2091" max="2091" width="10.42578125" style="452" bestFit="1" customWidth="1"/>
    <col min="2092" max="2092" width="10" style="452" bestFit="1" customWidth="1"/>
    <col min="2093" max="2093" width="12.42578125" style="452" bestFit="1" customWidth="1"/>
    <col min="2094" max="2310" width="9.140625" style="452"/>
    <col min="2311" max="2311" width="16.5703125" style="452" bestFit="1" customWidth="1"/>
    <col min="2312" max="2312" width="38.42578125" style="452" bestFit="1" customWidth="1"/>
    <col min="2313" max="2313" width="0" style="452" hidden="1" customWidth="1"/>
    <col min="2314" max="2314" width="36.5703125" style="452" customWidth="1"/>
    <col min="2315" max="2315" width="12.140625" style="452" customWidth="1"/>
    <col min="2316" max="2316" width="7.5703125" style="452" bestFit="1" customWidth="1"/>
    <col min="2317" max="2317" width="4.42578125" style="452" bestFit="1" customWidth="1"/>
    <col min="2318" max="2318" width="9.85546875" style="452" bestFit="1" customWidth="1"/>
    <col min="2319" max="2319" width="9.42578125" style="452" bestFit="1" customWidth="1"/>
    <col min="2320" max="2320" width="8.85546875" style="452" customWidth="1"/>
    <col min="2321" max="2321" width="9.140625" style="452"/>
    <col min="2322" max="2322" width="12.85546875" style="452" customWidth="1"/>
    <col min="2323" max="2323" width="9.140625" style="452"/>
    <col min="2324" max="2324" width="11.85546875" style="452" customWidth="1"/>
    <col min="2325" max="2325" width="11" style="452" bestFit="1" customWidth="1"/>
    <col min="2326" max="2326" width="10" style="452" bestFit="1" customWidth="1"/>
    <col min="2327" max="2327" width="9.5703125" style="452" bestFit="1" customWidth="1"/>
    <col min="2328" max="2329" width="10" style="452" bestFit="1" customWidth="1"/>
    <col min="2330" max="2330" width="10.5703125" style="452" bestFit="1" customWidth="1"/>
    <col min="2331" max="2331" width="10" style="452" bestFit="1" customWidth="1"/>
    <col min="2332" max="2332" width="9.140625" style="452"/>
    <col min="2333" max="2333" width="11" style="452" bestFit="1" customWidth="1"/>
    <col min="2334" max="2334" width="9.140625" style="452"/>
    <col min="2335" max="2335" width="10" style="452" bestFit="1" customWidth="1"/>
    <col min="2336" max="2336" width="9.5703125" style="452" bestFit="1" customWidth="1"/>
    <col min="2337" max="2338" width="10.5703125" style="452" bestFit="1" customWidth="1"/>
    <col min="2339" max="2339" width="10" style="452" bestFit="1" customWidth="1"/>
    <col min="2340" max="2340" width="9.140625" style="452"/>
    <col min="2341" max="2342" width="10" style="452" bestFit="1" customWidth="1"/>
    <col min="2343" max="2343" width="10.5703125" style="452" bestFit="1" customWidth="1"/>
    <col min="2344" max="2344" width="10.42578125" style="452" bestFit="1" customWidth="1"/>
    <col min="2345" max="2345" width="9.140625" style="452"/>
    <col min="2346" max="2346" width="9.5703125" style="452" bestFit="1" customWidth="1"/>
    <col min="2347" max="2347" width="10.42578125" style="452" bestFit="1" customWidth="1"/>
    <col min="2348" max="2348" width="10" style="452" bestFit="1" customWidth="1"/>
    <col min="2349" max="2349" width="12.42578125" style="452" bestFit="1" customWidth="1"/>
    <col min="2350" max="2566" width="9.140625" style="452"/>
    <col min="2567" max="2567" width="16.5703125" style="452" bestFit="1" customWidth="1"/>
    <col min="2568" max="2568" width="38.42578125" style="452" bestFit="1" customWidth="1"/>
    <col min="2569" max="2569" width="0" style="452" hidden="1" customWidth="1"/>
    <col min="2570" max="2570" width="36.5703125" style="452" customWidth="1"/>
    <col min="2571" max="2571" width="12.140625" style="452" customWidth="1"/>
    <col min="2572" max="2572" width="7.5703125" style="452" bestFit="1" customWidth="1"/>
    <col min="2573" max="2573" width="4.42578125" style="452" bestFit="1" customWidth="1"/>
    <col min="2574" max="2574" width="9.85546875" style="452" bestFit="1" customWidth="1"/>
    <col min="2575" max="2575" width="9.42578125" style="452" bestFit="1" customWidth="1"/>
    <col min="2576" max="2576" width="8.85546875" style="452" customWidth="1"/>
    <col min="2577" max="2577" width="9.140625" style="452"/>
    <col min="2578" max="2578" width="12.85546875" style="452" customWidth="1"/>
    <col min="2579" max="2579" width="9.140625" style="452"/>
    <col min="2580" max="2580" width="11.85546875" style="452" customWidth="1"/>
    <col min="2581" max="2581" width="11" style="452" bestFit="1" customWidth="1"/>
    <col min="2582" max="2582" width="10" style="452" bestFit="1" customWidth="1"/>
    <col min="2583" max="2583" width="9.5703125" style="452" bestFit="1" customWidth="1"/>
    <col min="2584" max="2585" width="10" style="452" bestFit="1" customWidth="1"/>
    <col min="2586" max="2586" width="10.5703125" style="452" bestFit="1" customWidth="1"/>
    <col min="2587" max="2587" width="10" style="452" bestFit="1" customWidth="1"/>
    <col min="2588" max="2588" width="9.140625" style="452"/>
    <col min="2589" max="2589" width="11" style="452" bestFit="1" customWidth="1"/>
    <col min="2590" max="2590" width="9.140625" style="452"/>
    <col min="2591" max="2591" width="10" style="452" bestFit="1" customWidth="1"/>
    <col min="2592" max="2592" width="9.5703125" style="452" bestFit="1" customWidth="1"/>
    <col min="2593" max="2594" width="10.5703125" style="452" bestFit="1" customWidth="1"/>
    <col min="2595" max="2595" width="10" style="452" bestFit="1" customWidth="1"/>
    <col min="2596" max="2596" width="9.140625" style="452"/>
    <col min="2597" max="2598" width="10" style="452" bestFit="1" customWidth="1"/>
    <col min="2599" max="2599" width="10.5703125" style="452" bestFit="1" customWidth="1"/>
    <col min="2600" max="2600" width="10.42578125" style="452" bestFit="1" customWidth="1"/>
    <col min="2601" max="2601" width="9.140625" style="452"/>
    <col min="2602" max="2602" width="9.5703125" style="452" bestFit="1" customWidth="1"/>
    <col min="2603" max="2603" width="10.42578125" style="452" bestFit="1" customWidth="1"/>
    <col min="2604" max="2604" width="10" style="452" bestFit="1" customWidth="1"/>
    <col min="2605" max="2605" width="12.42578125" style="452" bestFit="1" customWidth="1"/>
    <col min="2606" max="2822" width="9.140625" style="452"/>
    <col min="2823" max="2823" width="16.5703125" style="452" bestFit="1" customWidth="1"/>
    <col min="2824" max="2824" width="38.42578125" style="452" bestFit="1" customWidth="1"/>
    <col min="2825" max="2825" width="0" style="452" hidden="1" customWidth="1"/>
    <col min="2826" max="2826" width="36.5703125" style="452" customWidth="1"/>
    <col min="2827" max="2827" width="12.140625" style="452" customWidth="1"/>
    <col min="2828" max="2828" width="7.5703125" style="452" bestFit="1" customWidth="1"/>
    <col min="2829" max="2829" width="4.42578125" style="452" bestFit="1" customWidth="1"/>
    <col min="2830" max="2830" width="9.85546875" style="452" bestFit="1" customWidth="1"/>
    <col min="2831" max="2831" width="9.42578125" style="452" bestFit="1" customWidth="1"/>
    <col min="2832" max="2832" width="8.85546875" style="452" customWidth="1"/>
    <col min="2833" max="2833" width="9.140625" style="452"/>
    <col min="2834" max="2834" width="12.85546875" style="452" customWidth="1"/>
    <col min="2835" max="2835" width="9.140625" style="452"/>
    <col min="2836" max="2836" width="11.85546875" style="452" customWidth="1"/>
    <col min="2837" max="2837" width="11" style="452" bestFit="1" customWidth="1"/>
    <col min="2838" max="2838" width="10" style="452" bestFit="1" customWidth="1"/>
    <col min="2839" max="2839" width="9.5703125" style="452" bestFit="1" customWidth="1"/>
    <col min="2840" max="2841" width="10" style="452" bestFit="1" customWidth="1"/>
    <col min="2842" max="2842" width="10.5703125" style="452" bestFit="1" customWidth="1"/>
    <col min="2843" max="2843" width="10" style="452" bestFit="1" customWidth="1"/>
    <col min="2844" max="2844" width="9.140625" style="452"/>
    <col min="2845" max="2845" width="11" style="452" bestFit="1" customWidth="1"/>
    <col min="2846" max="2846" width="9.140625" style="452"/>
    <col min="2847" max="2847" width="10" style="452" bestFit="1" customWidth="1"/>
    <col min="2848" max="2848" width="9.5703125" style="452" bestFit="1" customWidth="1"/>
    <col min="2849" max="2850" width="10.5703125" style="452" bestFit="1" customWidth="1"/>
    <col min="2851" max="2851" width="10" style="452" bestFit="1" customWidth="1"/>
    <col min="2852" max="2852" width="9.140625" style="452"/>
    <col min="2853" max="2854" width="10" style="452" bestFit="1" customWidth="1"/>
    <col min="2855" max="2855" width="10.5703125" style="452" bestFit="1" customWidth="1"/>
    <col min="2856" max="2856" width="10.42578125" style="452" bestFit="1" customWidth="1"/>
    <col min="2857" max="2857" width="9.140625" style="452"/>
    <col min="2858" max="2858" width="9.5703125" style="452" bestFit="1" customWidth="1"/>
    <col min="2859" max="2859" width="10.42578125" style="452" bestFit="1" customWidth="1"/>
    <col min="2860" max="2860" width="10" style="452" bestFit="1" customWidth="1"/>
    <col min="2861" max="2861" width="12.42578125" style="452" bestFit="1" customWidth="1"/>
    <col min="2862" max="3078" width="9.140625" style="452"/>
    <col min="3079" max="3079" width="16.5703125" style="452" bestFit="1" customWidth="1"/>
    <col min="3080" max="3080" width="38.42578125" style="452" bestFit="1" customWidth="1"/>
    <col min="3081" max="3081" width="0" style="452" hidden="1" customWidth="1"/>
    <col min="3082" max="3082" width="36.5703125" style="452" customWidth="1"/>
    <col min="3083" max="3083" width="12.140625" style="452" customWidth="1"/>
    <col min="3084" max="3084" width="7.5703125" style="452" bestFit="1" customWidth="1"/>
    <col min="3085" max="3085" width="4.42578125" style="452" bestFit="1" customWidth="1"/>
    <col min="3086" max="3086" width="9.85546875" style="452" bestFit="1" customWidth="1"/>
    <col min="3087" max="3087" width="9.42578125" style="452" bestFit="1" customWidth="1"/>
    <col min="3088" max="3088" width="8.85546875" style="452" customWidth="1"/>
    <col min="3089" max="3089" width="9.140625" style="452"/>
    <col min="3090" max="3090" width="12.85546875" style="452" customWidth="1"/>
    <col min="3091" max="3091" width="9.140625" style="452"/>
    <col min="3092" max="3092" width="11.85546875" style="452" customWidth="1"/>
    <col min="3093" max="3093" width="11" style="452" bestFit="1" customWidth="1"/>
    <col min="3094" max="3094" width="10" style="452" bestFit="1" customWidth="1"/>
    <col min="3095" max="3095" width="9.5703125" style="452" bestFit="1" customWidth="1"/>
    <col min="3096" max="3097" width="10" style="452" bestFit="1" customWidth="1"/>
    <col min="3098" max="3098" width="10.5703125" style="452" bestFit="1" customWidth="1"/>
    <col min="3099" max="3099" width="10" style="452" bestFit="1" customWidth="1"/>
    <col min="3100" max="3100" width="9.140625" style="452"/>
    <col min="3101" max="3101" width="11" style="452" bestFit="1" customWidth="1"/>
    <col min="3102" max="3102" width="9.140625" style="452"/>
    <col min="3103" max="3103" width="10" style="452" bestFit="1" customWidth="1"/>
    <col min="3104" max="3104" width="9.5703125" style="452" bestFit="1" customWidth="1"/>
    <col min="3105" max="3106" width="10.5703125" style="452" bestFit="1" customWidth="1"/>
    <col min="3107" max="3107" width="10" style="452" bestFit="1" customWidth="1"/>
    <col min="3108" max="3108" width="9.140625" style="452"/>
    <col min="3109" max="3110" width="10" style="452" bestFit="1" customWidth="1"/>
    <col min="3111" max="3111" width="10.5703125" style="452" bestFit="1" customWidth="1"/>
    <col min="3112" max="3112" width="10.42578125" style="452" bestFit="1" customWidth="1"/>
    <col min="3113" max="3113" width="9.140625" style="452"/>
    <col min="3114" max="3114" width="9.5703125" style="452" bestFit="1" customWidth="1"/>
    <col min="3115" max="3115" width="10.42578125" style="452" bestFit="1" customWidth="1"/>
    <col min="3116" max="3116" width="10" style="452" bestFit="1" customWidth="1"/>
    <col min="3117" max="3117" width="12.42578125" style="452" bestFit="1" customWidth="1"/>
    <col min="3118" max="3334" width="9.140625" style="452"/>
    <col min="3335" max="3335" width="16.5703125" style="452" bestFit="1" customWidth="1"/>
    <col min="3336" max="3336" width="38.42578125" style="452" bestFit="1" customWidth="1"/>
    <col min="3337" max="3337" width="0" style="452" hidden="1" customWidth="1"/>
    <col min="3338" max="3338" width="36.5703125" style="452" customWidth="1"/>
    <col min="3339" max="3339" width="12.140625" style="452" customWidth="1"/>
    <col min="3340" max="3340" width="7.5703125" style="452" bestFit="1" customWidth="1"/>
    <col min="3341" max="3341" width="4.42578125" style="452" bestFit="1" customWidth="1"/>
    <col min="3342" max="3342" width="9.85546875" style="452" bestFit="1" customWidth="1"/>
    <col min="3343" max="3343" width="9.42578125" style="452" bestFit="1" customWidth="1"/>
    <col min="3344" max="3344" width="8.85546875" style="452" customWidth="1"/>
    <col min="3345" max="3345" width="9.140625" style="452"/>
    <col min="3346" max="3346" width="12.85546875" style="452" customWidth="1"/>
    <col min="3347" max="3347" width="9.140625" style="452"/>
    <col min="3348" max="3348" width="11.85546875" style="452" customWidth="1"/>
    <col min="3349" max="3349" width="11" style="452" bestFit="1" customWidth="1"/>
    <col min="3350" max="3350" width="10" style="452" bestFit="1" customWidth="1"/>
    <col min="3351" max="3351" width="9.5703125" style="452" bestFit="1" customWidth="1"/>
    <col min="3352" max="3353" width="10" style="452" bestFit="1" customWidth="1"/>
    <col min="3354" max="3354" width="10.5703125" style="452" bestFit="1" customWidth="1"/>
    <col min="3355" max="3355" width="10" style="452" bestFit="1" customWidth="1"/>
    <col min="3356" max="3356" width="9.140625" style="452"/>
    <col min="3357" max="3357" width="11" style="452" bestFit="1" customWidth="1"/>
    <col min="3358" max="3358" width="9.140625" style="452"/>
    <col min="3359" max="3359" width="10" style="452" bestFit="1" customWidth="1"/>
    <col min="3360" max="3360" width="9.5703125" style="452" bestFit="1" customWidth="1"/>
    <col min="3361" max="3362" width="10.5703125" style="452" bestFit="1" customWidth="1"/>
    <col min="3363" max="3363" width="10" style="452" bestFit="1" customWidth="1"/>
    <col min="3364" max="3364" width="9.140625" style="452"/>
    <col min="3365" max="3366" width="10" style="452" bestFit="1" customWidth="1"/>
    <col min="3367" max="3367" width="10.5703125" style="452" bestFit="1" customWidth="1"/>
    <col min="3368" max="3368" width="10.42578125" style="452" bestFit="1" customWidth="1"/>
    <col min="3369" max="3369" width="9.140625" style="452"/>
    <col min="3370" max="3370" width="9.5703125" style="452" bestFit="1" customWidth="1"/>
    <col min="3371" max="3371" width="10.42578125" style="452" bestFit="1" customWidth="1"/>
    <col min="3372" max="3372" width="10" style="452" bestFit="1" customWidth="1"/>
    <col min="3373" max="3373" width="12.42578125" style="452" bestFit="1" customWidth="1"/>
    <col min="3374" max="3590" width="9.140625" style="452"/>
    <col min="3591" max="3591" width="16.5703125" style="452" bestFit="1" customWidth="1"/>
    <col min="3592" max="3592" width="38.42578125" style="452" bestFit="1" customWidth="1"/>
    <col min="3593" max="3593" width="0" style="452" hidden="1" customWidth="1"/>
    <col min="3594" max="3594" width="36.5703125" style="452" customWidth="1"/>
    <col min="3595" max="3595" width="12.140625" style="452" customWidth="1"/>
    <col min="3596" max="3596" width="7.5703125" style="452" bestFit="1" customWidth="1"/>
    <col min="3597" max="3597" width="4.42578125" style="452" bestFit="1" customWidth="1"/>
    <col min="3598" max="3598" width="9.85546875" style="452" bestFit="1" customWidth="1"/>
    <col min="3599" max="3599" width="9.42578125" style="452" bestFit="1" customWidth="1"/>
    <col min="3600" max="3600" width="8.85546875" style="452" customWidth="1"/>
    <col min="3601" max="3601" width="9.140625" style="452"/>
    <col min="3602" max="3602" width="12.85546875" style="452" customWidth="1"/>
    <col min="3603" max="3603" width="9.140625" style="452"/>
    <col min="3604" max="3604" width="11.85546875" style="452" customWidth="1"/>
    <col min="3605" max="3605" width="11" style="452" bestFit="1" customWidth="1"/>
    <col min="3606" max="3606" width="10" style="452" bestFit="1" customWidth="1"/>
    <col min="3607" max="3607" width="9.5703125" style="452" bestFit="1" customWidth="1"/>
    <col min="3608" max="3609" width="10" style="452" bestFit="1" customWidth="1"/>
    <col min="3610" max="3610" width="10.5703125" style="452" bestFit="1" customWidth="1"/>
    <col min="3611" max="3611" width="10" style="452" bestFit="1" customWidth="1"/>
    <col min="3612" max="3612" width="9.140625" style="452"/>
    <col min="3613" max="3613" width="11" style="452" bestFit="1" customWidth="1"/>
    <col min="3614" max="3614" width="9.140625" style="452"/>
    <col min="3615" max="3615" width="10" style="452" bestFit="1" customWidth="1"/>
    <col min="3616" max="3616" width="9.5703125" style="452" bestFit="1" customWidth="1"/>
    <col min="3617" max="3618" width="10.5703125" style="452" bestFit="1" customWidth="1"/>
    <col min="3619" max="3619" width="10" style="452" bestFit="1" customWidth="1"/>
    <col min="3620" max="3620" width="9.140625" style="452"/>
    <col min="3621" max="3622" width="10" style="452" bestFit="1" customWidth="1"/>
    <col min="3623" max="3623" width="10.5703125" style="452" bestFit="1" customWidth="1"/>
    <col min="3624" max="3624" width="10.42578125" style="452" bestFit="1" customWidth="1"/>
    <col min="3625" max="3625" width="9.140625" style="452"/>
    <col min="3626" max="3626" width="9.5703125" style="452" bestFit="1" customWidth="1"/>
    <col min="3627" max="3627" width="10.42578125" style="452" bestFit="1" customWidth="1"/>
    <col min="3628" max="3628" width="10" style="452" bestFit="1" customWidth="1"/>
    <col min="3629" max="3629" width="12.42578125" style="452" bestFit="1" customWidth="1"/>
    <col min="3630" max="3846" width="9.140625" style="452"/>
    <col min="3847" max="3847" width="16.5703125" style="452" bestFit="1" customWidth="1"/>
    <col min="3848" max="3848" width="38.42578125" style="452" bestFit="1" customWidth="1"/>
    <col min="3849" max="3849" width="0" style="452" hidden="1" customWidth="1"/>
    <col min="3850" max="3850" width="36.5703125" style="452" customWidth="1"/>
    <col min="3851" max="3851" width="12.140625" style="452" customWidth="1"/>
    <col min="3852" max="3852" width="7.5703125" style="452" bestFit="1" customWidth="1"/>
    <col min="3853" max="3853" width="4.42578125" style="452" bestFit="1" customWidth="1"/>
    <col min="3854" max="3854" width="9.85546875" style="452" bestFit="1" customWidth="1"/>
    <col min="3855" max="3855" width="9.42578125" style="452" bestFit="1" customWidth="1"/>
    <col min="3856" max="3856" width="8.85546875" style="452" customWidth="1"/>
    <col min="3857" max="3857" width="9.140625" style="452"/>
    <col min="3858" max="3858" width="12.85546875" style="452" customWidth="1"/>
    <col min="3859" max="3859" width="9.140625" style="452"/>
    <col min="3860" max="3860" width="11.85546875" style="452" customWidth="1"/>
    <col min="3861" max="3861" width="11" style="452" bestFit="1" customWidth="1"/>
    <col min="3862" max="3862" width="10" style="452" bestFit="1" customWidth="1"/>
    <col min="3863" max="3863" width="9.5703125" style="452" bestFit="1" customWidth="1"/>
    <col min="3864" max="3865" width="10" style="452" bestFit="1" customWidth="1"/>
    <col min="3866" max="3866" width="10.5703125" style="452" bestFit="1" customWidth="1"/>
    <col min="3867" max="3867" width="10" style="452" bestFit="1" customWidth="1"/>
    <col min="3868" max="3868" width="9.140625" style="452"/>
    <col min="3869" max="3869" width="11" style="452" bestFit="1" customWidth="1"/>
    <col min="3870" max="3870" width="9.140625" style="452"/>
    <col min="3871" max="3871" width="10" style="452" bestFit="1" customWidth="1"/>
    <col min="3872" max="3872" width="9.5703125" style="452" bestFit="1" customWidth="1"/>
    <col min="3873" max="3874" width="10.5703125" style="452" bestFit="1" customWidth="1"/>
    <col min="3875" max="3875" width="10" style="452" bestFit="1" customWidth="1"/>
    <col min="3876" max="3876" width="9.140625" style="452"/>
    <col min="3877" max="3878" width="10" style="452" bestFit="1" customWidth="1"/>
    <col min="3879" max="3879" width="10.5703125" style="452" bestFit="1" customWidth="1"/>
    <col min="3880" max="3880" width="10.42578125" style="452" bestFit="1" customWidth="1"/>
    <col min="3881" max="3881" width="9.140625" style="452"/>
    <col min="3882" max="3882" width="9.5703125" style="452" bestFit="1" customWidth="1"/>
    <col min="3883" max="3883" width="10.42578125" style="452" bestFit="1" customWidth="1"/>
    <col min="3884" max="3884" width="10" style="452" bestFit="1" customWidth="1"/>
    <col min="3885" max="3885" width="12.42578125" style="452" bestFit="1" customWidth="1"/>
    <col min="3886" max="4102" width="9.140625" style="452"/>
    <col min="4103" max="4103" width="16.5703125" style="452" bestFit="1" customWidth="1"/>
    <col min="4104" max="4104" width="38.42578125" style="452" bestFit="1" customWidth="1"/>
    <col min="4105" max="4105" width="0" style="452" hidden="1" customWidth="1"/>
    <col min="4106" max="4106" width="36.5703125" style="452" customWidth="1"/>
    <col min="4107" max="4107" width="12.140625" style="452" customWidth="1"/>
    <col min="4108" max="4108" width="7.5703125" style="452" bestFit="1" customWidth="1"/>
    <col min="4109" max="4109" width="4.42578125" style="452" bestFit="1" customWidth="1"/>
    <col min="4110" max="4110" width="9.85546875" style="452" bestFit="1" customWidth="1"/>
    <col min="4111" max="4111" width="9.42578125" style="452" bestFit="1" customWidth="1"/>
    <col min="4112" max="4112" width="8.85546875" style="452" customWidth="1"/>
    <col min="4113" max="4113" width="9.140625" style="452"/>
    <col min="4114" max="4114" width="12.85546875" style="452" customWidth="1"/>
    <col min="4115" max="4115" width="9.140625" style="452"/>
    <col min="4116" max="4116" width="11.85546875" style="452" customWidth="1"/>
    <col min="4117" max="4117" width="11" style="452" bestFit="1" customWidth="1"/>
    <col min="4118" max="4118" width="10" style="452" bestFit="1" customWidth="1"/>
    <col min="4119" max="4119" width="9.5703125" style="452" bestFit="1" customWidth="1"/>
    <col min="4120" max="4121" width="10" style="452" bestFit="1" customWidth="1"/>
    <col min="4122" max="4122" width="10.5703125" style="452" bestFit="1" customWidth="1"/>
    <col min="4123" max="4123" width="10" style="452" bestFit="1" customWidth="1"/>
    <col min="4124" max="4124" width="9.140625" style="452"/>
    <col min="4125" max="4125" width="11" style="452" bestFit="1" customWidth="1"/>
    <col min="4126" max="4126" width="9.140625" style="452"/>
    <col min="4127" max="4127" width="10" style="452" bestFit="1" customWidth="1"/>
    <col min="4128" max="4128" width="9.5703125" style="452" bestFit="1" customWidth="1"/>
    <col min="4129" max="4130" width="10.5703125" style="452" bestFit="1" customWidth="1"/>
    <col min="4131" max="4131" width="10" style="452" bestFit="1" customWidth="1"/>
    <col min="4132" max="4132" width="9.140625" style="452"/>
    <col min="4133" max="4134" width="10" style="452" bestFit="1" customWidth="1"/>
    <col min="4135" max="4135" width="10.5703125" style="452" bestFit="1" customWidth="1"/>
    <col min="4136" max="4136" width="10.42578125" style="452" bestFit="1" customWidth="1"/>
    <col min="4137" max="4137" width="9.140625" style="452"/>
    <col min="4138" max="4138" width="9.5703125" style="452" bestFit="1" customWidth="1"/>
    <col min="4139" max="4139" width="10.42578125" style="452" bestFit="1" customWidth="1"/>
    <col min="4140" max="4140" width="10" style="452" bestFit="1" customWidth="1"/>
    <col min="4141" max="4141" width="12.42578125" style="452" bestFit="1" customWidth="1"/>
    <col min="4142" max="4358" width="9.140625" style="452"/>
    <col min="4359" max="4359" width="16.5703125" style="452" bestFit="1" customWidth="1"/>
    <col min="4360" max="4360" width="38.42578125" style="452" bestFit="1" customWidth="1"/>
    <col min="4361" max="4361" width="0" style="452" hidden="1" customWidth="1"/>
    <col min="4362" max="4362" width="36.5703125" style="452" customWidth="1"/>
    <col min="4363" max="4363" width="12.140625" style="452" customWidth="1"/>
    <col min="4364" max="4364" width="7.5703125" style="452" bestFit="1" customWidth="1"/>
    <col min="4365" max="4365" width="4.42578125" style="452" bestFit="1" customWidth="1"/>
    <col min="4366" max="4366" width="9.85546875" style="452" bestFit="1" customWidth="1"/>
    <col min="4367" max="4367" width="9.42578125" style="452" bestFit="1" customWidth="1"/>
    <col min="4368" max="4368" width="8.85546875" style="452" customWidth="1"/>
    <col min="4369" max="4369" width="9.140625" style="452"/>
    <col min="4370" max="4370" width="12.85546875" style="452" customWidth="1"/>
    <col min="4371" max="4371" width="9.140625" style="452"/>
    <col min="4372" max="4372" width="11.85546875" style="452" customWidth="1"/>
    <col min="4373" max="4373" width="11" style="452" bestFit="1" customWidth="1"/>
    <col min="4374" max="4374" width="10" style="452" bestFit="1" customWidth="1"/>
    <col min="4375" max="4375" width="9.5703125" style="452" bestFit="1" customWidth="1"/>
    <col min="4376" max="4377" width="10" style="452" bestFit="1" customWidth="1"/>
    <col min="4378" max="4378" width="10.5703125" style="452" bestFit="1" customWidth="1"/>
    <col min="4379" max="4379" width="10" style="452" bestFit="1" customWidth="1"/>
    <col min="4380" max="4380" width="9.140625" style="452"/>
    <col min="4381" max="4381" width="11" style="452" bestFit="1" customWidth="1"/>
    <col min="4382" max="4382" width="9.140625" style="452"/>
    <col min="4383" max="4383" width="10" style="452" bestFit="1" customWidth="1"/>
    <col min="4384" max="4384" width="9.5703125" style="452" bestFit="1" customWidth="1"/>
    <col min="4385" max="4386" width="10.5703125" style="452" bestFit="1" customWidth="1"/>
    <col min="4387" max="4387" width="10" style="452" bestFit="1" customWidth="1"/>
    <col min="4388" max="4388" width="9.140625" style="452"/>
    <col min="4389" max="4390" width="10" style="452" bestFit="1" customWidth="1"/>
    <col min="4391" max="4391" width="10.5703125" style="452" bestFit="1" customWidth="1"/>
    <col min="4392" max="4392" width="10.42578125" style="452" bestFit="1" customWidth="1"/>
    <col min="4393" max="4393" width="9.140625" style="452"/>
    <col min="4394" max="4394" width="9.5703125" style="452" bestFit="1" customWidth="1"/>
    <col min="4395" max="4395" width="10.42578125" style="452" bestFit="1" customWidth="1"/>
    <col min="4396" max="4396" width="10" style="452" bestFit="1" customWidth="1"/>
    <col min="4397" max="4397" width="12.42578125" style="452" bestFit="1" customWidth="1"/>
    <col min="4398" max="4614" width="9.140625" style="452"/>
    <col min="4615" max="4615" width="16.5703125" style="452" bestFit="1" customWidth="1"/>
    <col min="4616" max="4616" width="38.42578125" style="452" bestFit="1" customWidth="1"/>
    <col min="4617" max="4617" width="0" style="452" hidden="1" customWidth="1"/>
    <col min="4618" max="4618" width="36.5703125" style="452" customWidth="1"/>
    <col min="4619" max="4619" width="12.140625" style="452" customWidth="1"/>
    <col min="4620" max="4620" width="7.5703125" style="452" bestFit="1" customWidth="1"/>
    <col min="4621" max="4621" width="4.42578125" style="452" bestFit="1" customWidth="1"/>
    <col min="4622" max="4622" width="9.85546875" style="452" bestFit="1" customWidth="1"/>
    <col min="4623" max="4623" width="9.42578125" style="452" bestFit="1" customWidth="1"/>
    <col min="4624" max="4624" width="8.85546875" style="452" customWidth="1"/>
    <col min="4625" max="4625" width="9.140625" style="452"/>
    <col min="4626" max="4626" width="12.85546875" style="452" customWidth="1"/>
    <col min="4627" max="4627" width="9.140625" style="452"/>
    <col min="4628" max="4628" width="11.85546875" style="452" customWidth="1"/>
    <col min="4629" max="4629" width="11" style="452" bestFit="1" customWidth="1"/>
    <col min="4630" max="4630" width="10" style="452" bestFit="1" customWidth="1"/>
    <col min="4631" max="4631" width="9.5703125" style="452" bestFit="1" customWidth="1"/>
    <col min="4632" max="4633" width="10" style="452" bestFit="1" customWidth="1"/>
    <col min="4634" max="4634" width="10.5703125" style="452" bestFit="1" customWidth="1"/>
    <col min="4635" max="4635" width="10" style="452" bestFit="1" customWidth="1"/>
    <col min="4636" max="4636" width="9.140625" style="452"/>
    <col min="4637" max="4637" width="11" style="452" bestFit="1" customWidth="1"/>
    <col min="4638" max="4638" width="9.140625" style="452"/>
    <col min="4639" max="4639" width="10" style="452" bestFit="1" customWidth="1"/>
    <col min="4640" max="4640" width="9.5703125" style="452" bestFit="1" customWidth="1"/>
    <col min="4641" max="4642" width="10.5703125" style="452" bestFit="1" customWidth="1"/>
    <col min="4643" max="4643" width="10" style="452" bestFit="1" customWidth="1"/>
    <col min="4644" max="4644" width="9.140625" style="452"/>
    <col min="4645" max="4646" width="10" style="452" bestFit="1" customWidth="1"/>
    <col min="4647" max="4647" width="10.5703125" style="452" bestFit="1" customWidth="1"/>
    <col min="4648" max="4648" width="10.42578125" style="452" bestFit="1" customWidth="1"/>
    <col min="4649" max="4649" width="9.140625" style="452"/>
    <col min="4650" max="4650" width="9.5703125" style="452" bestFit="1" customWidth="1"/>
    <col min="4651" max="4651" width="10.42578125" style="452" bestFit="1" customWidth="1"/>
    <col min="4652" max="4652" width="10" style="452" bestFit="1" customWidth="1"/>
    <col min="4653" max="4653" width="12.42578125" style="452" bestFit="1" customWidth="1"/>
    <col min="4654" max="4870" width="9.140625" style="452"/>
    <col min="4871" max="4871" width="16.5703125" style="452" bestFit="1" customWidth="1"/>
    <col min="4872" max="4872" width="38.42578125" style="452" bestFit="1" customWidth="1"/>
    <col min="4873" max="4873" width="0" style="452" hidden="1" customWidth="1"/>
    <col min="4874" max="4874" width="36.5703125" style="452" customWidth="1"/>
    <col min="4875" max="4875" width="12.140625" style="452" customWidth="1"/>
    <col min="4876" max="4876" width="7.5703125" style="452" bestFit="1" customWidth="1"/>
    <col min="4877" max="4877" width="4.42578125" style="452" bestFit="1" customWidth="1"/>
    <col min="4878" max="4878" width="9.85546875" style="452" bestFit="1" customWidth="1"/>
    <col min="4879" max="4879" width="9.42578125" style="452" bestFit="1" customWidth="1"/>
    <col min="4880" max="4880" width="8.85546875" style="452" customWidth="1"/>
    <col min="4881" max="4881" width="9.140625" style="452"/>
    <col min="4882" max="4882" width="12.85546875" style="452" customWidth="1"/>
    <col min="4883" max="4883" width="9.140625" style="452"/>
    <col min="4884" max="4884" width="11.85546875" style="452" customWidth="1"/>
    <col min="4885" max="4885" width="11" style="452" bestFit="1" customWidth="1"/>
    <col min="4886" max="4886" width="10" style="452" bestFit="1" customWidth="1"/>
    <col min="4887" max="4887" width="9.5703125" style="452" bestFit="1" customWidth="1"/>
    <col min="4888" max="4889" width="10" style="452" bestFit="1" customWidth="1"/>
    <col min="4890" max="4890" width="10.5703125" style="452" bestFit="1" customWidth="1"/>
    <col min="4891" max="4891" width="10" style="452" bestFit="1" customWidth="1"/>
    <col min="4892" max="4892" width="9.140625" style="452"/>
    <col min="4893" max="4893" width="11" style="452" bestFit="1" customWidth="1"/>
    <col min="4894" max="4894" width="9.140625" style="452"/>
    <col min="4895" max="4895" width="10" style="452" bestFit="1" customWidth="1"/>
    <col min="4896" max="4896" width="9.5703125" style="452" bestFit="1" customWidth="1"/>
    <col min="4897" max="4898" width="10.5703125" style="452" bestFit="1" customWidth="1"/>
    <col min="4899" max="4899" width="10" style="452" bestFit="1" customWidth="1"/>
    <col min="4900" max="4900" width="9.140625" style="452"/>
    <col min="4901" max="4902" width="10" style="452" bestFit="1" customWidth="1"/>
    <col min="4903" max="4903" width="10.5703125" style="452" bestFit="1" customWidth="1"/>
    <col min="4904" max="4904" width="10.42578125" style="452" bestFit="1" customWidth="1"/>
    <col min="4905" max="4905" width="9.140625" style="452"/>
    <col min="4906" max="4906" width="9.5703125" style="452" bestFit="1" customWidth="1"/>
    <col min="4907" max="4907" width="10.42578125" style="452" bestFit="1" customWidth="1"/>
    <col min="4908" max="4908" width="10" style="452" bestFit="1" customWidth="1"/>
    <col min="4909" max="4909" width="12.42578125" style="452" bestFit="1" customWidth="1"/>
    <col min="4910" max="5126" width="9.140625" style="452"/>
    <col min="5127" max="5127" width="16.5703125" style="452" bestFit="1" customWidth="1"/>
    <col min="5128" max="5128" width="38.42578125" style="452" bestFit="1" customWidth="1"/>
    <col min="5129" max="5129" width="0" style="452" hidden="1" customWidth="1"/>
    <col min="5130" max="5130" width="36.5703125" style="452" customWidth="1"/>
    <col min="5131" max="5131" width="12.140625" style="452" customWidth="1"/>
    <col min="5132" max="5132" width="7.5703125" style="452" bestFit="1" customWidth="1"/>
    <col min="5133" max="5133" width="4.42578125" style="452" bestFit="1" customWidth="1"/>
    <col min="5134" max="5134" width="9.85546875" style="452" bestFit="1" customWidth="1"/>
    <col min="5135" max="5135" width="9.42578125" style="452" bestFit="1" customWidth="1"/>
    <col min="5136" max="5136" width="8.85546875" style="452" customWidth="1"/>
    <col min="5137" max="5137" width="9.140625" style="452"/>
    <col min="5138" max="5138" width="12.85546875" style="452" customWidth="1"/>
    <col min="5139" max="5139" width="9.140625" style="452"/>
    <col min="5140" max="5140" width="11.85546875" style="452" customWidth="1"/>
    <col min="5141" max="5141" width="11" style="452" bestFit="1" customWidth="1"/>
    <col min="5142" max="5142" width="10" style="452" bestFit="1" customWidth="1"/>
    <col min="5143" max="5143" width="9.5703125" style="452" bestFit="1" customWidth="1"/>
    <col min="5144" max="5145" width="10" style="452" bestFit="1" customWidth="1"/>
    <col min="5146" max="5146" width="10.5703125" style="452" bestFit="1" customWidth="1"/>
    <col min="5147" max="5147" width="10" style="452" bestFit="1" customWidth="1"/>
    <col min="5148" max="5148" width="9.140625" style="452"/>
    <col min="5149" max="5149" width="11" style="452" bestFit="1" customWidth="1"/>
    <col min="5150" max="5150" width="9.140625" style="452"/>
    <col min="5151" max="5151" width="10" style="452" bestFit="1" customWidth="1"/>
    <col min="5152" max="5152" width="9.5703125" style="452" bestFit="1" customWidth="1"/>
    <col min="5153" max="5154" width="10.5703125" style="452" bestFit="1" customWidth="1"/>
    <col min="5155" max="5155" width="10" style="452" bestFit="1" customWidth="1"/>
    <col min="5156" max="5156" width="9.140625" style="452"/>
    <col min="5157" max="5158" width="10" style="452" bestFit="1" customWidth="1"/>
    <col min="5159" max="5159" width="10.5703125" style="452" bestFit="1" customWidth="1"/>
    <col min="5160" max="5160" width="10.42578125" style="452" bestFit="1" customWidth="1"/>
    <col min="5161" max="5161" width="9.140625" style="452"/>
    <col min="5162" max="5162" width="9.5703125" style="452" bestFit="1" customWidth="1"/>
    <col min="5163" max="5163" width="10.42578125" style="452" bestFit="1" customWidth="1"/>
    <col min="5164" max="5164" width="10" style="452" bestFit="1" customWidth="1"/>
    <col min="5165" max="5165" width="12.42578125" style="452" bestFit="1" customWidth="1"/>
    <col min="5166" max="5382" width="9.140625" style="452"/>
    <col min="5383" max="5383" width="16.5703125" style="452" bestFit="1" customWidth="1"/>
    <col min="5384" max="5384" width="38.42578125" style="452" bestFit="1" customWidth="1"/>
    <col min="5385" max="5385" width="0" style="452" hidden="1" customWidth="1"/>
    <col min="5386" max="5386" width="36.5703125" style="452" customWidth="1"/>
    <col min="5387" max="5387" width="12.140625" style="452" customWidth="1"/>
    <col min="5388" max="5388" width="7.5703125" style="452" bestFit="1" customWidth="1"/>
    <col min="5389" max="5389" width="4.42578125" style="452" bestFit="1" customWidth="1"/>
    <col min="5390" max="5390" width="9.85546875" style="452" bestFit="1" customWidth="1"/>
    <col min="5391" max="5391" width="9.42578125" style="452" bestFit="1" customWidth="1"/>
    <col min="5392" max="5392" width="8.85546875" style="452" customWidth="1"/>
    <col min="5393" max="5393" width="9.140625" style="452"/>
    <col min="5394" max="5394" width="12.85546875" style="452" customWidth="1"/>
    <col min="5395" max="5395" width="9.140625" style="452"/>
    <col min="5396" max="5396" width="11.85546875" style="452" customWidth="1"/>
    <col min="5397" max="5397" width="11" style="452" bestFit="1" customWidth="1"/>
    <col min="5398" max="5398" width="10" style="452" bestFit="1" customWidth="1"/>
    <col min="5399" max="5399" width="9.5703125" style="452" bestFit="1" customWidth="1"/>
    <col min="5400" max="5401" width="10" style="452" bestFit="1" customWidth="1"/>
    <col min="5402" max="5402" width="10.5703125" style="452" bestFit="1" customWidth="1"/>
    <col min="5403" max="5403" width="10" style="452" bestFit="1" customWidth="1"/>
    <col min="5404" max="5404" width="9.140625" style="452"/>
    <col min="5405" max="5405" width="11" style="452" bestFit="1" customWidth="1"/>
    <col min="5406" max="5406" width="9.140625" style="452"/>
    <col min="5407" max="5407" width="10" style="452" bestFit="1" customWidth="1"/>
    <col min="5408" max="5408" width="9.5703125" style="452" bestFit="1" customWidth="1"/>
    <col min="5409" max="5410" width="10.5703125" style="452" bestFit="1" customWidth="1"/>
    <col min="5411" max="5411" width="10" style="452" bestFit="1" customWidth="1"/>
    <col min="5412" max="5412" width="9.140625" style="452"/>
    <col min="5413" max="5414" width="10" style="452" bestFit="1" customWidth="1"/>
    <col min="5415" max="5415" width="10.5703125" style="452" bestFit="1" customWidth="1"/>
    <col min="5416" max="5416" width="10.42578125" style="452" bestFit="1" customWidth="1"/>
    <col min="5417" max="5417" width="9.140625" style="452"/>
    <col min="5418" max="5418" width="9.5703125" style="452" bestFit="1" customWidth="1"/>
    <col min="5419" max="5419" width="10.42578125" style="452" bestFit="1" customWidth="1"/>
    <col min="5420" max="5420" width="10" style="452" bestFit="1" customWidth="1"/>
    <col min="5421" max="5421" width="12.42578125" style="452" bestFit="1" customWidth="1"/>
    <col min="5422" max="5638" width="9.140625" style="452"/>
    <col min="5639" max="5639" width="16.5703125" style="452" bestFit="1" customWidth="1"/>
    <col min="5640" max="5640" width="38.42578125" style="452" bestFit="1" customWidth="1"/>
    <col min="5641" max="5641" width="0" style="452" hidden="1" customWidth="1"/>
    <col min="5642" max="5642" width="36.5703125" style="452" customWidth="1"/>
    <col min="5643" max="5643" width="12.140625" style="452" customWidth="1"/>
    <col min="5644" max="5644" width="7.5703125" style="452" bestFit="1" customWidth="1"/>
    <col min="5645" max="5645" width="4.42578125" style="452" bestFit="1" customWidth="1"/>
    <col min="5646" max="5646" width="9.85546875" style="452" bestFit="1" customWidth="1"/>
    <col min="5647" max="5647" width="9.42578125" style="452" bestFit="1" customWidth="1"/>
    <col min="5648" max="5648" width="8.85546875" style="452" customWidth="1"/>
    <col min="5649" max="5649" width="9.140625" style="452"/>
    <col min="5650" max="5650" width="12.85546875" style="452" customWidth="1"/>
    <col min="5651" max="5651" width="9.140625" style="452"/>
    <col min="5652" max="5652" width="11.85546875" style="452" customWidth="1"/>
    <col min="5653" max="5653" width="11" style="452" bestFit="1" customWidth="1"/>
    <col min="5654" max="5654" width="10" style="452" bestFit="1" customWidth="1"/>
    <col min="5655" max="5655" width="9.5703125" style="452" bestFit="1" customWidth="1"/>
    <col min="5656" max="5657" width="10" style="452" bestFit="1" customWidth="1"/>
    <col min="5658" max="5658" width="10.5703125" style="452" bestFit="1" customWidth="1"/>
    <col min="5659" max="5659" width="10" style="452" bestFit="1" customWidth="1"/>
    <col min="5660" max="5660" width="9.140625" style="452"/>
    <col min="5661" max="5661" width="11" style="452" bestFit="1" customWidth="1"/>
    <col min="5662" max="5662" width="9.140625" style="452"/>
    <col min="5663" max="5663" width="10" style="452" bestFit="1" customWidth="1"/>
    <col min="5664" max="5664" width="9.5703125" style="452" bestFit="1" customWidth="1"/>
    <col min="5665" max="5666" width="10.5703125" style="452" bestFit="1" customWidth="1"/>
    <col min="5667" max="5667" width="10" style="452" bestFit="1" customWidth="1"/>
    <col min="5668" max="5668" width="9.140625" style="452"/>
    <col min="5669" max="5670" width="10" style="452" bestFit="1" customWidth="1"/>
    <col min="5671" max="5671" width="10.5703125" style="452" bestFit="1" customWidth="1"/>
    <col min="5672" max="5672" width="10.42578125" style="452" bestFit="1" customWidth="1"/>
    <col min="5673" max="5673" width="9.140625" style="452"/>
    <col min="5674" max="5674" width="9.5703125" style="452" bestFit="1" customWidth="1"/>
    <col min="5675" max="5675" width="10.42578125" style="452" bestFit="1" customWidth="1"/>
    <col min="5676" max="5676" width="10" style="452" bestFit="1" customWidth="1"/>
    <col min="5677" max="5677" width="12.42578125" style="452" bestFit="1" customWidth="1"/>
    <col min="5678" max="5894" width="9.140625" style="452"/>
    <col min="5895" max="5895" width="16.5703125" style="452" bestFit="1" customWidth="1"/>
    <col min="5896" max="5896" width="38.42578125" style="452" bestFit="1" customWidth="1"/>
    <col min="5897" max="5897" width="0" style="452" hidden="1" customWidth="1"/>
    <col min="5898" max="5898" width="36.5703125" style="452" customWidth="1"/>
    <col min="5899" max="5899" width="12.140625" style="452" customWidth="1"/>
    <col min="5900" max="5900" width="7.5703125" style="452" bestFit="1" customWidth="1"/>
    <col min="5901" max="5901" width="4.42578125" style="452" bestFit="1" customWidth="1"/>
    <col min="5902" max="5902" width="9.85546875" style="452" bestFit="1" customWidth="1"/>
    <col min="5903" max="5903" width="9.42578125" style="452" bestFit="1" customWidth="1"/>
    <col min="5904" max="5904" width="8.85546875" style="452" customWidth="1"/>
    <col min="5905" max="5905" width="9.140625" style="452"/>
    <col min="5906" max="5906" width="12.85546875" style="452" customWidth="1"/>
    <col min="5907" max="5907" width="9.140625" style="452"/>
    <col min="5908" max="5908" width="11.85546875" style="452" customWidth="1"/>
    <col min="5909" max="5909" width="11" style="452" bestFit="1" customWidth="1"/>
    <col min="5910" max="5910" width="10" style="452" bestFit="1" customWidth="1"/>
    <col min="5911" max="5911" width="9.5703125" style="452" bestFit="1" customWidth="1"/>
    <col min="5912" max="5913" width="10" style="452" bestFit="1" customWidth="1"/>
    <col min="5914" max="5914" width="10.5703125" style="452" bestFit="1" customWidth="1"/>
    <col min="5915" max="5915" width="10" style="452" bestFit="1" customWidth="1"/>
    <col min="5916" max="5916" width="9.140625" style="452"/>
    <col min="5917" max="5917" width="11" style="452" bestFit="1" customWidth="1"/>
    <col min="5918" max="5918" width="9.140625" style="452"/>
    <col min="5919" max="5919" width="10" style="452" bestFit="1" customWidth="1"/>
    <col min="5920" max="5920" width="9.5703125" style="452" bestFit="1" customWidth="1"/>
    <col min="5921" max="5922" width="10.5703125" style="452" bestFit="1" customWidth="1"/>
    <col min="5923" max="5923" width="10" style="452" bestFit="1" customWidth="1"/>
    <col min="5924" max="5924" width="9.140625" style="452"/>
    <col min="5925" max="5926" width="10" style="452" bestFit="1" customWidth="1"/>
    <col min="5927" max="5927" width="10.5703125" style="452" bestFit="1" customWidth="1"/>
    <col min="5928" max="5928" width="10.42578125" style="452" bestFit="1" customWidth="1"/>
    <col min="5929" max="5929" width="9.140625" style="452"/>
    <col min="5930" max="5930" width="9.5703125" style="452" bestFit="1" customWidth="1"/>
    <col min="5931" max="5931" width="10.42578125" style="452" bestFit="1" customWidth="1"/>
    <col min="5932" max="5932" width="10" style="452" bestFit="1" customWidth="1"/>
    <col min="5933" max="5933" width="12.42578125" style="452" bestFit="1" customWidth="1"/>
    <col min="5934" max="6150" width="9.140625" style="452"/>
    <col min="6151" max="6151" width="16.5703125" style="452" bestFit="1" customWidth="1"/>
    <col min="6152" max="6152" width="38.42578125" style="452" bestFit="1" customWidth="1"/>
    <col min="6153" max="6153" width="0" style="452" hidden="1" customWidth="1"/>
    <col min="6154" max="6154" width="36.5703125" style="452" customWidth="1"/>
    <col min="6155" max="6155" width="12.140625" style="452" customWidth="1"/>
    <col min="6156" max="6156" width="7.5703125" style="452" bestFit="1" customWidth="1"/>
    <col min="6157" max="6157" width="4.42578125" style="452" bestFit="1" customWidth="1"/>
    <col min="6158" max="6158" width="9.85546875" style="452" bestFit="1" customWidth="1"/>
    <col min="6159" max="6159" width="9.42578125" style="452" bestFit="1" customWidth="1"/>
    <col min="6160" max="6160" width="8.85546875" style="452" customWidth="1"/>
    <col min="6161" max="6161" width="9.140625" style="452"/>
    <col min="6162" max="6162" width="12.85546875" style="452" customWidth="1"/>
    <col min="6163" max="6163" width="9.140625" style="452"/>
    <col min="6164" max="6164" width="11.85546875" style="452" customWidth="1"/>
    <col min="6165" max="6165" width="11" style="452" bestFit="1" customWidth="1"/>
    <col min="6166" max="6166" width="10" style="452" bestFit="1" customWidth="1"/>
    <col min="6167" max="6167" width="9.5703125" style="452" bestFit="1" customWidth="1"/>
    <col min="6168" max="6169" width="10" style="452" bestFit="1" customWidth="1"/>
    <col min="6170" max="6170" width="10.5703125" style="452" bestFit="1" customWidth="1"/>
    <col min="6171" max="6171" width="10" style="452" bestFit="1" customWidth="1"/>
    <col min="6172" max="6172" width="9.140625" style="452"/>
    <col min="6173" max="6173" width="11" style="452" bestFit="1" customWidth="1"/>
    <col min="6174" max="6174" width="9.140625" style="452"/>
    <col min="6175" max="6175" width="10" style="452" bestFit="1" customWidth="1"/>
    <col min="6176" max="6176" width="9.5703125" style="452" bestFit="1" customWidth="1"/>
    <col min="6177" max="6178" width="10.5703125" style="452" bestFit="1" customWidth="1"/>
    <col min="6179" max="6179" width="10" style="452" bestFit="1" customWidth="1"/>
    <col min="6180" max="6180" width="9.140625" style="452"/>
    <col min="6181" max="6182" width="10" style="452" bestFit="1" customWidth="1"/>
    <col min="6183" max="6183" width="10.5703125" style="452" bestFit="1" customWidth="1"/>
    <col min="6184" max="6184" width="10.42578125" style="452" bestFit="1" customWidth="1"/>
    <col min="6185" max="6185" width="9.140625" style="452"/>
    <col min="6186" max="6186" width="9.5703125" style="452" bestFit="1" customWidth="1"/>
    <col min="6187" max="6187" width="10.42578125" style="452" bestFit="1" customWidth="1"/>
    <col min="6188" max="6188" width="10" style="452" bestFit="1" customWidth="1"/>
    <col min="6189" max="6189" width="12.42578125" style="452" bestFit="1" customWidth="1"/>
    <col min="6190" max="6406" width="9.140625" style="452"/>
    <col min="6407" max="6407" width="16.5703125" style="452" bestFit="1" customWidth="1"/>
    <col min="6408" max="6408" width="38.42578125" style="452" bestFit="1" customWidth="1"/>
    <col min="6409" max="6409" width="0" style="452" hidden="1" customWidth="1"/>
    <col min="6410" max="6410" width="36.5703125" style="452" customWidth="1"/>
    <col min="6411" max="6411" width="12.140625" style="452" customWidth="1"/>
    <col min="6412" max="6412" width="7.5703125" style="452" bestFit="1" customWidth="1"/>
    <col min="6413" max="6413" width="4.42578125" style="452" bestFit="1" customWidth="1"/>
    <col min="6414" max="6414" width="9.85546875" style="452" bestFit="1" customWidth="1"/>
    <col min="6415" max="6415" width="9.42578125" style="452" bestFit="1" customWidth="1"/>
    <col min="6416" max="6416" width="8.85546875" style="452" customWidth="1"/>
    <col min="6417" max="6417" width="9.140625" style="452"/>
    <col min="6418" max="6418" width="12.85546875" style="452" customWidth="1"/>
    <col min="6419" max="6419" width="9.140625" style="452"/>
    <col min="6420" max="6420" width="11.85546875" style="452" customWidth="1"/>
    <col min="6421" max="6421" width="11" style="452" bestFit="1" customWidth="1"/>
    <col min="6422" max="6422" width="10" style="452" bestFit="1" customWidth="1"/>
    <col min="6423" max="6423" width="9.5703125" style="452" bestFit="1" customWidth="1"/>
    <col min="6424" max="6425" width="10" style="452" bestFit="1" customWidth="1"/>
    <col min="6426" max="6426" width="10.5703125" style="452" bestFit="1" customWidth="1"/>
    <col min="6427" max="6427" width="10" style="452" bestFit="1" customWidth="1"/>
    <col min="6428" max="6428" width="9.140625" style="452"/>
    <col min="6429" max="6429" width="11" style="452" bestFit="1" customWidth="1"/>
    <col min="6430" max="6430" width="9.140625" style="452"/>
    <col min="6431" max="6431" width="10" style="452" bestFit="1" customWidth="1"/>
    <col min="6432" max="6432" width="9.5703125" style="452" bestFit="1" customWidth="1"/>
    <col min="6433" max="6434" width="10.5703125" style="452" bestFit="1" customWidth="1"/>
    <col min="6435" max="6435" width="10" style="452" bestFit="1" customWidth="1"/>
    <col min="6436" max="6436" width="9.140625" style="452"/>
    <col min="6437" max="6438" width="10" style="452" bestFit="1" customWidth="1"/>
    <col min="6439" max="6439" width="10.5703125" style="452" bestFit="1" customWidth="1"/>
    <col min="6440" max="6440" width="10.42578125" style="452" bestFit="1" customWidth="1"/>
    <col min="6441" max="6441" width="9.140625" style="452"/>
    <col min="6442" max="6442" width="9.5703125" style="452" bestFit="1" customWidth="1"/>
    <col min="6443" max="6443" width="10.42578125" style="452" bestFit="1" customWidth="1"/>
    <col min="6444" max="6444" width="10" style="452" bestFit="1" customWidth="1"/>
    <col min="6445" max="6445" width="12.42578125" style="452" bestFit="1" customWidth="1"/>
    <col min="6446" max="6662" width="9.140625" style="452"/>
    <col min="6663" max="6663" width="16.5703125" style="452" bestFit="1" customWidth="1"/>
    <col min="6664" max="6664" width="38.42578125" style="452" bestFit="1" customWidth="1"/>
    <col min="6665" max="6665" width="0" style="452" hidden="1" customWidth="1"/>
    <col min="6666" max="6666" width="36.5703125" style="452" customWidth="1"/>
    <col min="6667" max="6667" width="12.140625" style="452" customWidth="1"/>
    <col min="6668" max="6668" width="7.5703125" style="452" bestFit="1" customWidth="1"/>
    <col min="6669" max="6669" width="4.42578125" style="452" bestFit="1" customWidth="1"/>
    <col min="6670" max="6670" width="9.85546875" style="452" bestFit="1" customWidth="1"/>
    <col min="6671" max="6671" width="9.42578125" style="452" bestFit="1" customWidth="1"/>
    <col min="6672" max="6672" width="8.85546875" style="452" customWidth="1"/>
    <col min="6673" max="6673" width="9.140625" style="452"/>
    <col min="6674" max="6674" width="12.85546875" style="452" customWidth="1"/>
    <col min="6675" max="6675" width="9.140625" style="452"/>
    <col min="6676" max="6676" width="11.85546875" style="452" customWidth="1"/>
    <col min="6677" max="6677" width="11" style="452" bestFit="1" customWidth="1"/>
    <col min="6678" max="6678" width="10" style="452" bestFit="1" customWidth="1"/>
    <col min="6679" max="6679" width="9.5703125" style="452" bestFit="1" customWidth="1"/>
    <col min="6680" max="6681" width="10" style="452" bestFit="1" customWidth="1"/>
    <col min="6682" max="6682" width="10.5703125" style="452" bestFit="1" customWidth="1"/>
    <col min="6683" max="6683" width="10" style="452" bestFit="1" customWidth="1"/>
    <col min="6684" max="6684" width="9.140625" style="452"/>
    <col min="6685" max="6685" width="11" style="452" bestFit="1" customWidth="1"/>
    <col min="6686" max="6686" width="9.140625" style="452"/>
    <col min="6687" max="6687" width="10" style="452" bestFit="1" customWidth="1"/>
    <col min="6688" max="6688" width="9.5703125" style="452" bestFit="1" customWidth="1"/>
    <col min="6689" max="6690" width="10.5703125" style="452" bestFit="1" customWidth="1"/>
    <col min="6691" max="6691" width="10" style="452" bestFit="1" customWidth="1"/>
    <col min="6692" max="6692" width="9.140625" style="452"/>
    <col min="6693" max="6694" width="10" style="452" bestFit="1" customWidth="1"/>
    <col min="6695" max="6695" width="10.5703125" style="452" bestFit="1" customWidth="1"/>
    <col min="6696" max="6696" width="10.42578125" style="452" bestFit="1" customWidth="1"/>
    <col min="6697" max="6697" width="9.140625" style="452"/>
    <col min="6698" max="6698" width="9.5703125" style="452" bestFit="1" customWidth="1"/>
    <col min="6699" max="6699" width="10.42578125" style="452" bestFit="1" customWidth="1"/>
    <col min="6700" max="6700" width="10" style="452" bestFit="1" customWidth="1"/>
    <col min="6701" max="6701" width="12.42578125" style="452" bestFit="1" customWidth="1"/>
    <col min="6702" max="6918" width="9.140625" style="452"/>
    <col min="6919" max="6919" width="16.5703125" style="452" bestFit="1" customWidth="1"/>
    <col min="6920" max="6920" width="38.42578125" style="452" bestFit="1" customWidth="1"/>
    <col min="6921" max="6921" width="0" style="452" hidden="1" customWidth="1"/>
    <col min="6922" max="6922" width="36.5703125" style="452" customWidth="1"/>
    <col min="6923" max="6923" width="12.140625" style="452" customWidth="1"/>
    <col min="6924" max="6924" width="7.5703125" style="452" bestFit="1" customWidth="1"/>
    <col min="6925" max="6925" width="4.42578125" style="452" bestFit="1" customWidth="1"/>
    <col min="6926" max="6926" width="9.85546875" style="452" bestFit="1" customWidth="1"/>
    <col min="6927" max="6927" width="9.42578125" style="452" bestFit="1" customWidth="1"/>
    <col min="6928" max="6928" width="8.85546875" style="452" customWidth="1"/>
    <col min="6929" max="6929" width="9.140625" style="452"/>
    <col min="6930" max="6930" width="12.85546875" style="452" customWidth="1"/>
    <col min="6931" max="6931" width="9.140625" style="452"/>
    <col min="6932" max="6932" width="11.85546875" style="452" customWidth="1"/>
    <col min="6933" max="6933" width="11" style="452" bestFit="1" customWidth="1"/>
    <col min="6934" max="6934" width="10" style="452" bestFit="1" customWidth="1"/>
    <col min="6935" max="6935" width="9.5703125" style="452" bestFit="1" customWidth="1"/>
    <col min="6936" max="6937" width="10" style="452" bestFit="1" customWidth="1"/>
    <col min="6938" max="6938" width="10.5703125" style="452" bestFit="1" customWidth="1"/>
    <col min="6939" max="6939" width="10" style="452" bestFit="1" customWidth="1"/>
    <col min="6940" max="6940" width="9.140625" style="452"/>
    <col min="6941" max="6941" width="11" style="452" bestFit="1" customWidth="1"/>
    <col min="6942" max="6942" width="9.140625" style="452"/>
    <col min="6943" max="6943" width="10" style="452" bestFit="1" customWidth="1"/>
    <col min="6944" max="6944" width="9.5703125" style="452" bestFit="1" customWidth="1"/>
    <col min="6945" max="6946" width="10.5703125" style="452" bestFit="1" customWidth="1"/>
    <col min="6947" max="6947" width="10" style="452" bestFit="1" customWidth="1"/>
    <col min="6948" max="6948" width="9.140625" style="452"/>
    <col min="6949" max="6950" width="10" style="452" bestFit="1" customWidth="1"/>
    <col min="6951" max="6951" width="10.5703125" style="452" bestFit="1" customWidth="1"/>
    <col min="6952" max="6952" width="10.42578125" style="452" bestFit="1" customWidth="1"/>
    <col min="6953" max="6953" width="9.140625" style="452"/>
    <col min="6954" max="6954" width="9.5703125" style="452" bestFit="1" customWidth="1"/>
    <col min="6955" max="6955" width="10.42578125" style="452" bestFit="1" customWidth="1"/>
    <col min="6956" max="6956" width="10" style="452" bestFit="1" customWidth="1"/>
    <col min="6957" max="6957" width="12.42578125" style="452" bestFit="1" customWidth="1"/>
    <col min="6958" max="7174" width="9.140625" style="452"/>
    <col min="7175" max="7175" width="16.5703125" style="452" bestFit="1" customWidth="1"/>
    <col min="7176" max="7176" width="38.42578125" style="452" bestFit="1" customWidth="1"/>
    <col min="7177" max="7177" width="0" style="452" hidden="1" customWidth="1"/>
    <col min="7178" max="7178" width="36.5703125" style="452" customWidth="1"/>
    <col min="7179" max="7179" width="12.140625" style="452" customWidth="1"/>
    <col min="7180" max="7180" width="7.5703125" style="452" bestFit="1" customWidth="1"/>
    <col min="7181" max="7181" width="4.42578125" style="452" bestFit="1" customWidth="1"/>
    <col min="7182" max="7182" width="9.85546875" style="452" bestFit="1" customWidth="1"/>
    <col min="7183" max="7183" width="9.42578125" style="452" bestFit="1" customWidth="1"/>
    <col min="7184" max="7184" width="8.85546875" style="452" customWidth="1"/>
    <col min="7185" max="7185" width="9.140625" style="452"/>
    <col min="7186" max="7186" width="12.85546875" style="452" customWidth="1"/>
    <col min="7187" max="7187" width="9.140625" style="452"/>
    <col min="7188" max="7188" width="11.85546875" style="452" customWidth="1"/>
    <col min="7189" max="7189" width="11" style="452" bestFit="1" customWidth="1"/>
    <col min="7190" max="7190" width="10" style="452" bestFit="1" customWidth="1"/>
    <col min="7191" max="7191" width="9.5703125" style="452" bestFit="1" customWidth="1"/>
    <col min="7192" max="7193" width="10" style="452" bestFit="1" customWidth="1"/>
    <col min="7194" max="7194" width="10.5703125" style="452" bestFit="1" customWidth="1"/>
    <col min="7195" max="7195" width="10" style="452" bestFit="1" customWidth="1"/>
    <col min="7196" max="7196" width="9.140625" style="452"/>
    <col min="7197" max="7197" width="11" style="452" bestFit="1" customWidth="1"/>
    <col min="7198" max="7198" width="9.140625" style="452"/>
    <col min="7199" max="7199" width="10" style="452" bestFit="1" customWidth="1"/>
    <col min="7200" max="7200" width="9.5703125" style="452" bestFit="1" customWidth="1"/>
    <col min="7201" max="7202" width="10.5703125" style="452" bestFit="1" customWidth="1"/>
    <col min="7203" max="7203" width="10" style="452" bestFit="1" customWidth="1"/>
    <col min="7204" max="7204" width="9.140625" style="452"/>
    <col min="7205" max="7206" width="10" style="452" bestFit="1" customWidth="1"/>
    <col min="7207" max="7207" width="10.5703125" style="452" bestFit="1" customWidth="1"/>
    <col min="7208" max="7208" width="10.42578125" style="452" bestFit="1" customWidth="1"/>
    <col min="7209" max="7209" width="9.140625" style="452"/>
    <col min="7210" max="7210" width="9.5703125" style="452" bestFit="1" customWidth="1"/>
    <col min="7211" max="7211" width="10.42578125" style="452" bestFit="1" customWidth="1"/>
    <col min="7212" max="7212" width="10" style="452" bestFit="1" customWidth="1"/>
    <col min="7213" max="7213" width="12.42578125" style="452" bestFit="1" customWidth="1"/>
    <col min="7214" max="7430" width="9.140625" style="452"/>
    <col min="7431" max="7431" width="16.5703125" style="452" bestFit="1" customWidth="1"/>
    <col min="7432" max="7432" width="38.42578125" style="452" bestFit="1" customWidth="1"/>
    <col min="7433" max="7433" width="0" style="452" hidden="1" customWidth="1"/>
    <col min="7434" max="7434" width="36.5703125" style="452" customWidth="1"/>
    <col min="7435" max="7435" width="12.140625" style="452" customWidth="1"/>
    <col min="7436" max="7436" width="7.5703125" style="452" bestFit="1" customWidth="1"/>
    <col min="7437" max="7437" width="4.42578125" style="452" bestFit="1" customWidth="1"/>
    <col min="7438" max="7438" width="9.85546875" style="452" bestFit="1" customWidth="1"/>
    <col min="7439" max="7439" width="9.42578125" style="452" bestFit="1" customWidth="1"/>
    <col min="7440" max="7440" width="8.85546875" style="452" customWidth="1"/>
    <col min="7441" max="7441" width="9.140625" style="452"/>
    <col min="7442" max="7442" width="12.85546875" style="452" customWidth="1"/>
    <col min="7443" max="7443" width="9.140625" style="452"/>
    <col min="7444" max="7444" width="11.85546875" style="452" customWidth="1"/>
    <col min="7445" max="7445" width="11" style="452" bestFit="1" customWidth="1"/>
    <col min="7446" max="7446" width="10" style="452" bestFit="1" customWidth="1"/>
    <col min="7447" max="7447" width="9.5703125" style="452" bestFit="1" customWidth="1"/>
    <col min="7448" max="7449" width="10" style="452" bestFit="1" customWidth="1"/>
    <col min="7450" max="7450" width="10.5703125" style="452" bestFit="1" customWidth="1"/>
    <col min="7451" max="7451" width="10" style="452" bestFit="1" customWidth="1"/>
    <col min="7452" max="7452" width="9.140625" style="452"/>
    <col min="7453" max="7453" width="11" style="452" bestFit="1" customWidth="1"/>
    <col min="7454" max="7454" width="9.140625" style="452"/>
    <col min="7455" max="7455" width="10" style="452" bestFit="1" customWidth="1"/>
    <col min="7456" max="7456" width="9.5703125" style="452" bestFit="1" customWidth="1"/>
    <col min="7457" max="7458" width="10.5703125" style="452" bestFit="1" customWidth="1"/>
    <col min="7459" max="7459" width="10" style="452" bestFit="1" customWidth="1"/>
    <col min="7460" max="7460" width="9.140625" style="452"/>
    <col min="7461" max="7462" width="10" style="452" bestFit="1" customWidth="1"/>
    <col min="7463" max="7463" width="10.5703125" style="452" bestFit="1" customWidth="1"/>
    <col min="7464" max="7464" width="10.42578125" style="452" bestFit="1" customWidth="1"/>
    <col min="7465" max="7465" width="9.140625" style="452"/>
    <col min="7466" max="7466" width="9.5703125" style="452" bestFit="1" customWidth="1"/>
    <col min="7467" max="7467" width="10.42578125" style="452" bestFit="1" customWidth="1"/>
    <col min="7468" max="7468" width="10" style="452" bestFit="1" customWidth="1"/>
    <col min="7469" max="7469" width="12.42578125" style="452" bestFit="1" customWidth="1"/>
    <col min="7470" max="7686" width="9.140625" style="452"/>
    <col min="7687" max="7687" width="16.5703125" style="452" bestFit="1" customWidth="1"/>
    <col min="7688" max="7688" width="38.42578125" style="452" bestFit="1" customWidth="1"/>
    <col min="7689" max="7689" width="0" style="452" hidden="1" customWidth="1"/>
    <col min="7690" max="7690" width="36.5703125" style="452" customWidth="1"/>
    <col min="7691" max="7691" width="12.140625" style="452" customWidth="1"/>
    <col min="7692" max="7692" width="7.5703125" style="452" bestFit="1" customWidth="1"/>
    <col min="7693" max="7693" width="4.42578125" style="452" bestFit="1" customWidth="1"/>
    <col min="7694" max="7694" width="9.85546875" style="452" bestFit="1" customWidth="1"/>
    <col min="7695" max="7695" width="9.42578125" style="452" bestFit="1" customWidth="1"/>
    <col min="7696" max="7696" width="8.85546875" style="452" customWidth="1"/>
    <col min="7697" max="7697" width="9.140625" style="452"/>
    <col min="7698" max="7698" width="12.85546875" style="452" customWidth="1"/>
    <col min="7699" max="7699" width="9.140625" style="452"/>
    <col min="7700" max="7700" width="11.85546875" style="452" customWidth="1"/>
    <col min="7701" max="7701" width="11" style="452" bestFit="1" customWidth="1"/>
    <col min="7702" max="7702" width="10" style="452" bestFit="1" customWidth="1"/>
    <col min="7703" max="7703" width="9.5703125" style="452" bestFit="1" customWidth="1"/>
    <col min="7704" max="7705" width="10" style="452" bestFit="1" customWidth="1"/>
    <col min="7706" max="7706" width="10.5703125" style="452" bestFit="1" customWidth="1"/>
    <col min="7707" max="7707" width="10" style="452" bestFit="1" customWidth="1"/>
    <col min="7708" max="7708" width="9.140625" style="452"/>
    <col min="7709" max="7709" width="11" style="452" bestFit="1" customWidth="1"/>
    <col min="7710" max="7710" width="9.140625" style="452"/>
    <col min="7711" max="7711" width="10" style="452" bestFit="1" customWidth="1"/>
    <col min="7712" max="7712" width="9.5703125" style="452" bestFit="1" customWidth="1"/>
    <col min="7713" max="7714" width="10.5703125" style="452" bestFit="1" customWidth="1"/>
    <col min="7715" max="7715" width="10" style="452" bestFit="1" customWidth="1"/>
    <col min="7716" max="7716" width="9.140625" style="452"/>
    <col min="7717" max="7718" width="10" style="452" bestFit="1" customWidth="1"/>
    <col min="7719" max="7719" width="10.5703125" style="452" bestFit="1" customWidth="1"/>
    <col min="7720" max="7720" width="10.42578125" style="452" bestFit="1" customWidth="1"/>
    <col min="7721" max="7721" width="9.140625" style="452"/>
    <col min="7722" max="7722" width="9.5703125" style="452" bestFit="1" customWidth="1"/>
    <col min="7723" max="7723" width="10.42578125" style="452" bestFit="1" customWidth="1"/>
    <col min="7724" max="7724" width="10" style="452" bestFit="1" customWidth="1"/>
    <col min="7725" max="7725" width="12.42578125" style="452" bestFit="1" customWidth="1"/>
    <col min="7726" max="7942" width="9.140625" style="452"/>
    <col min="7943" max="7943" width="16.5703125" style="452" bestFit="1" customWidth="1"/>
    <col min="7944" max="7944" width="38.42578125" style="452" bestFit="1" customWidth="1"/>
    <col min="7945" max="7945" width="0" style="452" hidden="1" customWidth="1"/>
    <col min="7946" max="7946" width="36.5703125" style="452" customWidth="1"/>
    <col min="7947" max="7947" width="12.140625" style="452" customWidth="1"/>
    <col min="7948" max="7948" width="7.5703125" style="452" bestFit="1" customWidth="1"/>
    <col min="7949" max="7949" width="4.42578125" style="452" bestFit="1" customWidth="1"/>
    <col min="7950" max="7950" width="9.85546875" style="452" bestFit="1" customWidth="1"/>
    <col min="7951" max="7951" width="9.42578125" style="452" bestFit="1" customWidth="1"/>
    <col min="7952" max="7952" width="8.85546875" style="452" customWidth="1"/>
    <col min="7953" max="7953" width="9.140625" style="452"/>
    <col min="7954" max="7954" width="12.85546875" style="452" customWidth="1"/>
    <col min="7955" max="7955" width="9.140625" style="452"/>
    <col min="7956" max="7956" width="11.85546875" style="452" customWidth="1"/>
    <col min="7957" max="7957" width="11" style="452" bestFit="1" customWidth="1"/>
    <col min="7958" max="7958" width="10" style="452" bestFit="1" customWidth="1"/>
    <col min="7959" max="7959" width="9.5703125" style="452" bestFit="1" customWidth="1"/>
    <col min="7960" max="7961" width="10" style="452" bestFit="1" customWidth="1"/>
    <col min="7962" max="7962" width="10.5703125" style="452" bestFit="1" customWidth="1"/>
    <col min="7963" max="7963" width="10" style="452" bestFit="1" customWidth="1"/>
    <col min="7964" max="7964" width="9.140625" style="452"/>
    <col min="7965" max="7965" width="11" style="452" bestFit="1" customWidth="1"/>
    <col min="7966" max="7966" width="9.140625" style="452"/>
    <col min="7967" max="7967" width="10" style="452" bestFit="1" customWidth="1"/>
    <col min="7968" max="7968" width="9.5703125" style="452" bestFit="1" customWidth="1"/>
    <col min="7969" max="7970" width="10.5703125" style="452" bestFit="1" customWidth="1"/>
    <col min="7971" max="7971" width="10" style="452" bestFit="1" customWidth="1"/>
    <col min="7972" max="7972" width="9.140625" style="452"/>
    <col min="7973" max="7974" width="10" style="452" bestFit="1" customWidth="1"/>
    <col min="7975" max="7975" width="10.5703125" style="452" bestFit="1" customWidth="1"/>
    <col min="7976" max="7976" width="10.42578125" style="452" bestFit="1" customWidth="1"/>
    <col min="7977" max="7977" width="9.140625" style="452"/>
    <col min="7978" max="7978" width="9.5703125" style="452" bestFit="1" customWidth="1"/>
    <col min="7979" max="7979" width="10.42578125" style="452" bestFit="1" customWidth="1"/>
    <col min="7980" max="7980" width="10" style="452" bestFit="1" customWidth="1"/>
    <col min="7981" max="7981" width="12.42578125" style="452" bestFit="1" customWidth="1"/>
    <col min="7982" max="8198" width="9.140625" style="452"/>
    <col min="8199" max="8199" width="16.5703125" style="452" bestFit="1" customWidth="1"/>
    <col min="8200" max="8200" width="38.42578125" style="452" bestFit="1" customWidth="1"/>
    <col min="8201" max="8201" width="0" style="452" hidden="1" customWidth="1"/>
    <col min="8202" max="8202" width="36.5703125" style="452" customWidth="1"/>
    <col min="8203" max="8203" width="12.140625" style="452" customWidth="1"/>
    <col min="8204" max="8204" width="7.5703125" style="452" bestFit="1" customWidth="1"/>
    <col min="8205" max="8205" width="4.42578125" style="452" bestFit="1" customWidth="1"/>
    <col min="8206" max="8206" width="9.85546875" style="452" bestFit="1" customWidth="1"/>
    <col min="8207" max="8207" width="9.42578125" style="452" bestFit="1" customWidth="1"/>
    <col min="8208" max="8208" width="8.85546875" style="452" customWidth="1"/>
    <col min="8209" max="8209" width="9.140625" style="452"/>
    <col min="8210" max="8210" width="12.85546875" style="452" customWidth="1"/>
    <col min="8211" max="8211" width="9.140625" style="452"/>
    <col min="8212" max="8212" width="11.85546875" style="452" customWidth="1"/>
    <col min="8213" max="8213" width="11" style="452" bestFit="1" customWidth="1"/>
    <col min="8214" max="8214" width="10" style="452" bestFit="1" customWidth="1"/>
    <col min="8215" max="8215" width="9.5703125" style="452" bestFit="1" customWidth="1"/>
    <col min="8216" max="8217" width="10" style="452" bestFit="1" customWidth="1"/>
    <col min="8218" max="8218" width="10.5703125" style="452" bestFit="1" customWidth="1"/>
    <col min="8219" max="8219" width="10" style="452" bestFit="1" customWidth="1"/>
    <col min="8220" max="8220" width="9.140625" style="452"/>
    <col min="8221" max="8221" width="11" style="452" bestFit="1" customWidth="1"/>
    <col min="8222" max="8222" width="9.140625" style="452"/>
    <col min="8223" max="8223" width="10" style="452" bestFit="1" customWidth="1"/>
    <col min="8224" max="8224" width="9.5703125" style="452" bestFit="1" customWidth="1"/>
    <col min="8225" max="8226" width="10.5703125" style="452" bestFit="1" customWidth="1"/>
    <col min="8227" max="8227" width="10" style="452" bestFit="1" customWidth="1"/>
    <col min="8228" max="8228" width="9.140625" style="452"/>
    <col min="8229" max="8230" width="10" style="452" bestFit="1" customWidth="1"/>
    <col min="8231" max="8231" width="10.5703125" style="452" bestFit="1" customWidth="1"/>
    <col min="8232" max="8232" width="10.42578125" style="452" bestFit="1" customWidth="1"/>
    <col min="8233" max="8233" width="9.140625" style="452"/>
    <col min="8234" max="8234" width="9.5703125" style="452" bestFit="1" customWidth="1"/>
    <col min="8235" max="8235" width="10.42578125" style="452" bestFit="1" customWidth="1"/>
    <col min="8236" max="8236" width="10" style="452" bestFit="1" customWidth="1"/>
    <col min="8237" max="8237" width="12.42578125" style="452" bestFit="1" customWidth="1"/>
    <col min="8238" max="8454" width="9.140625" style="452"/>
    <col min="8455" max="8455" width="16.5703125" style="452" bestFit="1" customWidth="1"/>
    <col min="8456" max="8456" width="38.42578125" style="452" bestFit="1" customWidth="1"/>
    <col min="8457" max="8457" width="0" style="452" hidden="1" customWidth="1"/>
    <col min="8458" max="8458" width="36.5703125" style="452" customWidth="1"/>
    <col min="8459" max="8459" width="12.140625" style="452" customWidth="1"/>
    <col min="8460" max="8460" width="7.5703125" style="452" bestFit="1" customWidth="1"/>
    <col min="8461" max="8461" width="4.42578125" style="452" bestFit="1" customWidth="1"/>
    <col min="8462" max="8462" width="9.85546875" style="452" bestFit="1" customWidth="1"/>
    <col min="8463" max="8463" width="9.42578125" style="452" bestFit="1" customWidth="1"/>
    <col min="8464" max="8464" width="8.85546875" style="452" customWidth="1"/>
    <col min="8465" max="8465" width="9.140625" style="452"/>
    <col min="8466" max="8466" width="12.85546875" style="452" customWidth="1"/>
    <col min="8467" max="8467" width="9.140625" style="452"/>
    <col min="8468" max="8468" width="11.85546875" style="452" customWidth="1"/>
    <col min="8469" max="8469" width="11" style="452" bestFit="1" customWidth="1"/>
    <col min="8470" max="8470" width="10" style="452" bestFit="1" customWidth="1"/>
    <col min="8471" max="8471" width="9.5703125" style="452" bestFit="1" customWidth="1"/>
    <col min="8472" max="8473" width="10" style="452" bestFit="1" customWidth="1"/>
    <col min="8474" max="8474" width="10.5703125" style="452" bestFit="1" customWidth="1"/>
    <col min="8475" max="8475" width="10" style="452" bestFit="1" customWidth="1"/>
    <col min="8476" max="8476" width="9.140625" style="452"/>
    <col min="8477" max="8477" width="11" style="452" bestFit="1" customWidth="1"/>
    <col min="8478" max="8478" width="9.140625" style="452"/>
    <col min="8479" max="8479" width="10" style="452" bestFit="1" customWidth="1"/>
    <col min="8480" max="8480" width="9.5703125" style="452" bestFit="1" customWidth="1"/>
    <col min="8481" max="8482" width="10.5703125" style="452" bestFit="1" customWidth="1"/>
    <col min="8483" max="8483" width="10" style="452" bestFit="1" customWidth="1"/>
    <col min="8484" max="8484" width="9.140625" style="452"/>
    <col min="8485" max="8486" width="10" style="452" bestFit="1" customWidth="1"/>
    <col min="8487" max="8487" width="10.5703125" style="452" bestFit="1" customWidth="1"/>
    <col min="8488" max="8488" width="10.42578125" style="452" bestFit="1" customWidth="1"/>
    <col min="8489" max="8489" width="9.140625" style="452"/>
    <col min="8490" max="8490" width="9.5703125" style="452" bestFit="1" customWidth="1"/>
    <col min="8491" max="8491" width="10.42578125" style="452" bestFit="1" customWidth="1"/>
    <col min="8492" max="8492" width="10" style="452" bestFit="1" customWidth="1"/>
    <col min="8493" max="8493" width="12.42578125" style="452" bestFit="1" customWidth="1"/>
    <col min="8494" max="8710" width="9.140625" style="452"/>
    <col min="8711" max="8711" width="16.5703125" style="452" bestFit="1" customWidth="1"/>
    <col min="8712" max="8712" width="38.42578125" style="452" bestFit="1" customWidth="1"/>
    <col min="8713" max="8713" width="0" style="452" hidden="1" customWidth="1"/>
    <col min="8714" max="8714" width="36.5703125" style="452" customWidth="1"/>
    <col min="8715" max="8715" width="12.140625" style="452" customWidth="1"/>
    <col min="8716" max="8716" width="7.5703125" style="452" bestFit="1" customWidth="1"/>
    <col min="8717" max="8717" width="4.42578125" style="452" bestFit="1" customWidth="1"/>
    <col min="8718" max="8718" width="9.85546875" style="452" bestFit="1" customWidth="1"/>
    <col min="8719" max="8719" width="9.42578125" style="452" bestFit="1" customWidth="1"/>
    <col min="8720" max="8720" width="8.85546875" style="452" customWidth="1"/>
    <col min="8721" max="8721" width="9.140625" style="452"/>
    <col min="8722" max="8722" width="12.85546875" style="452" customWidth="1"/>
    <col min="8723" max="8723" width="9.140625" style="452"/>
    <col min="8724" max="8724" width="11.85546875" style="452" customWidth="1"/>
    <col min="8725" max="8725" width="11" style="452" bestFit="1" customWidth="1"/>
    <col min="8726" max="8726" width="10" style="452" bestFit="1" customWidth="1"/>
    <col min="8727" max="8727" width="9.5703125" style="452" bestFit="1" customWidth="1"/>
    <col min="8728" max="8729" width="10" style="452" bestFit="1" customWidth="1"/>
    <col min="8730" max="8730" width="10.5703125" style="452" bestFit="1" customWidth="1"/>
    <col min="8731" max="8731" width="10" style="452" bestFit="1" customWidth="1"/>
    <col min="8732" max="8732" width="9.140625" style="452"/>
    <col min="8733" max="8733" width="11" style="452" bestFit="1" customWidth="1"/>
    <col min="8734" max="8734" width="9.140625" style="452"/>
    <col min="8735" max="8735" width="10" style="452" bestFit="1" customWidth="1"/>
    <col min="8736" max="8736" width="9.5703125" style="452" bestFit="1" customWidth="1"/>
    <col min="8737" max="8738" width="10.5703125" style="452" bestFit="1" customWidth="1"/>
    <col min="8739" max="8739" width="10" style="452" bestFit="1" customWidth="1"/>
    <col min="8740" max="8740" width="9.140625" style="452"/>
    <col min="8741" max="8742" width="10" style="452" bestFit="1" customWidth="1"/>
    <col min="8743" max="8743" width="10.5703125" style="452" bestFit="1" customWidth="1"/>
    <col min="8744" max="8744" width="10.42578125" style="452" bestFit="1" customWidth="1"/>
    <col min="8745" max="8745" width="9.140625" style="452"/>
    <col min="8746" max="8746" width="9.5703125" style="452" bestFit="1" customWidth="1"/>
    <col min="8747" max="8747" width="10.42578125" style="452" bestFit="1" customWidth="1"/>
    <col min="8748" max="8748" width="10" style="452" bestFit="1" customWidth="1"/>
    <col min="8749" max="8749" width="12.42578125" style="452" bestFit="1" customWidth="1"/>
    <col min="8750" max="8966" width="9.140625" style="452"/>
    <col min="8967" max="8967" width="16.5703125" style="452" bestFit="1" customWidth="1"/>
    <col min="8968" max="8968" width="38.42578125" style="452" bestFit="1" customWidth="1"/>
    <col min="8969" max="8969" width="0" style="452" hidden="1" customWidth="1"/>
    <col min="8970" max="8970" width="36.5703125" style="452" customWidth="1"/>
    <col min="8971" max="8971" width="12.140625" style="452" customWidth="1"/>
    <col min="8972" max="8972" width="7.5703125" style="452" bestFit="1" customWidth="1"/>
    <col min="8973" max="8973" width="4.42578125" style="452" bestFit="1" customWidth="1"/>
    <col min="8974" max="8974" width="9.85546875" style="452" bestFit="1" customWidth="1"/>
    <col min="8975" max="8975" width="9.42578125" style="452" bestFit="1" customWidth="1"/>
    <col min="8976" max="8976" width="8.85546875" style="452" customWidth="1"/>
    <col min="8977" max="8977" width="9.140625" style="452"/>
    <col min="8978" max="8978" width="12.85546875" style="452" customWidth="1"/>
    <col min="8979" max="8979" width="9.140625" style="452"/>
    <col min="8980" max="8980" width="11.85546875" style="452" customWidth="1"/>
    <col min="8981" max="8981" width="11" style="452" bestFit="1" customWidth="1"/>
    <col min="8982" max="8982" width="10" style="452" bestFit="1" customWidth="1"/>
    <col min="8983" max="8983" width="9.5703125" style="452" bestFit="1" customWidth="1"/>
    <col min="8984" max="8985" width="10" style="452" bestFit="1" customWidth="1"/>
    <col min="8986" max="8986" width="10.5703125" style="452" bestFit="1" customWidth="1"/>
    <col min="8987" max="8987" width="10" style="452" bestFit="1" customWidth="1"/>
    <col min="8988" max="8988" width="9.140625" style="452"/>
    <col min="8989" max="8989" width="11" style="452" bestFit="1" customWidth="1"/>
    <col min="8990" max="8990" width="9.140625" style="452"/>
    <col min="8991" max="8991" width="10" style="452" bestFit="1" customWidth="1"/>
    <col min="8992" max="8992" width="9.5703125" style="452" bestFit="1" customWidth="1"/>
    <col min="8993" max="8994" width="10.5703125" style="452" bestFit="1" customWidth="1"/>
    <col min="8995" max="8995" width="10" style="452" bestFit="1" customWidth="1"/>
    <col min="8996" max="8996" width="9.140625" style="452"/>
    <col min="8997" max="8998" width="10" style="452" bestFit="1" customWidth="1"/>
    <col min="8999" max="8999" width="10.5703125" style="452" bestFit="1" customWidth="1"/>
    <col min="9000" max="9000" width="10.42578125" style="452" bestFit="1" customWidth="1"/>
    <col min="9001" max="9001" width="9.140625" style="452"/>
    <col min="9002" max="9002" width="9.5703125" style="452" bestFit="1" customWidth="1"/>
    <col min="9003" max="9003" width="10.42578125" style="452" bestFit="1" customWidth="1"/>
    <col min="9004" max="9004" width="10" style="452" bestFit="1" customWidth="1"/>
    <col min="9005" max="9005" width="12.42578125" style="452" bestFit="1" customWidth="1"/>
    <col min="9006" max="9222" width="9.140625" style="452"/>
    <col min="9223" max="9223" width="16.5703125" style="452" bestFit="1" customWidth="1"/>
    <col min="9224" max="9224" width="38.42578125" style="452" bestFit="1" customWidth="1"/>
    <col min="9225" max="9225" width="0" style="452" hidden="1" customWidth="1"/>
    <col min="9226" max="9226" width="36.5703125" style="452" customWidth="1"/>
    <col min="9227" max="9227" width="12.140625" style="452" customWidth="1"/>
    <col min="9228" max="9228" width="7.5703125" style="452" bestFit="1" customWidth="1"/>
    <col min="9229" max="9229" width="4.42578125" style="452" bestFit="1" customWidth="1"/>
    <col min="9230" max="9230" width="9.85546875" style="452" bestFit="1" customWidth="1"/>
    <col min="9231" max="9231" width="9.42578125" style="452" bestFit="1" customWidth="1"/>
    <col min="9232" max="9232" width="8.85546875" style="452" customWidth="1"/>
    <col min="9233" max="9233" width="9.140625" style="452"/>
    <col min="9234" max="9234" width="12.85546875" style="452" customWidth="1"/>
    <col min="9235" max="9235" width="9.140625" style="452"/>
    <col min="9236" max="9236" width="11.85546875" style="452" customWidth="1"/>
    <col min="9237" max="9237" width="11" style="452" bestFit="1" customWidth="1"/>
    <col min="9238" max="9238" width="10" style="452" bestFit="1" customWidth="1"/>
    <col min="9239" max="9239" width="9.5703125" style="452" bestFit="1" customWidth="1"/>
    <col min="9240" max="9241" width="10" style="452" bestFit="1" customWidth="1"/>
    <col min="9242" max="9242" width="10.5703125" style="452" bestFit="1" customWidth="1"/>
    <col min="9243" max="9243" width="10" style="452" bestFit="1" customWidth="1"/>
    <col min="9244" max="9244" width="9.140625" style="452"/>
    <col min="9245" max="9245" width="11" style="452" bestFit="1" customWidth="1"/>
    <col min="9246" max="9246" width="9.140625" style="452"/>
    <col min="9247" max="9247" width="10" style="452" bestFit="1" customWidth="1"/>
    <col min="9248" max="9248" width="9.5703125" style="452" bestFit="1" customWidth="1"/>
    <col min="9249" max="9250" width="10.5703125" style="452" bestFit="1" customWidth="1"/>
    <col min="9251" max="9251" width="10" style="452" bestFit="1" customWidth="1"/>
    <col min="9252" max="9252" width="9.140625" style="452"/>
    <col min="9253" max="9254" width="10" style="452" bestFit="1" customWidth="1"/>
    <col min="9255" max="9255" width="10.5703125" style="452" bestFit="1" customWidth="1"/>
    <col min="9256" max="9256" width="10.42578125" style="452" bestFit="1" customWidth="1"/>
    <col min="9257" max="9257" width="9.140625" style="452"/>
    <col min="9258" max="9258" width="9.5703125" style="452" bestFit="1" customWidth="1"/>
    <col min="9259" max="9259" width="10.42578125" style="452" bestFit="1" customWidth="1"/>
    <col min="9260" max="9260" width="10" style="452" bestFit="1" customWidth="1"/>
    <col min="9261" max="9261" width="12.42578125" style="452" bestFit="1" customWidth="1"/>
    <col min="9262" max="9478" width="9.140625" style="452"/>
    <col min="9479" max="9479" width="16.5703125" style="452" bestFit="1" customWidth="1"/>
    <col min="9480" max="9480" width="38.42578125" style="452" bestFit="1" customWidth="1"/>
    <col min="9481" max="9481" width="0" style="452" hidden="1" customWidth="1"/>
    <col min="9482" max="9482" width="36.5703125" style="452" customWidth="1"/>
    <col min="9483" max="9483" width="12.140625" style="452" customWidth="1"/>
    <col min="9484" max="9484" width="7.5703125" style="452" bestFit="1" customWidth="1"/>
    <col min="9485" max="9485" width="4.42578125" style="452" bestFit="1" customWidth="1"/>
    <col min="9486" max="9486" width="9.85546875" style="452" bestFit="1" customWidth="1"/>
    <col min="9487" max="9487" width="9.42578125" style="452" bestFit="1" customWidth="1"/>
    <col min="9488" max="9488" width="8.85546875" style="452" customWidth="1"/>
    <col min="9489" max="9489" width="9.140625" style="452"/>
    <col min="9490" max="9490" width="12.85546875" style="452" customWidth="1"/>
    <col min="9491" max="9491" width="9.140625" style="452"/>
    <col min="9492" max="9492" width="11.85546875" style="452" customWidth="1"/>
    <col min="9493" max="9493" width="11" style="452" bestFit="1" customWidth="1"/>
    <col min="9494" max="9494" width="10" style="452" bestFit="1" customWidth="1"/>
    <col min="9495" max="9495" width="9.5703125" style="452" bestFit="1" customWidth="1"/>
    <col min="9496" max="9497" width="10" style="452" bestFit="1" customWidth="1"/>
    <col min="9498" max="9498" width="10.5703125" style="452" bestFit="1" customWidth="1"/>
    <col min="9499" max="9499" width="10" style="452" bestFit="1" customWidth="1"/>
    <col min="9500" max="9500" width="9.140625" style="452"/>
    <col min="9501" max="9501" width="11" style="452" bestFit="1" customWidth="1"/>
    <col min="9502" max="9502" width="9.140625" style="452"/>
    <col min="9503" max="9503" width="10" style="452" bestFit="1" customWidth="1"/>
    <col min="9504" max="9504" width="9.5703125" style="452" bestFit="1" customWidth="1"/>
    <col min="9505" max="9506" width="10.5703125" style="452" bestFit="1" customWidth="1"/>
    <col min="9507" max="9507" width="10" style="452" bestFit="1" customWidth="1"/>
    <col min="9508" max="9508" width="9.140625" style="452"/>
    <col min="9509" max="9510" width="10" style="452" bestFit="1" customWidth="1"/>
    <col min="9511" max="9511" width="10.5703125" style="452" bestFit="1" customWidth="1"/>
    <col min="9512" max="9512" width="10.42578125" style="452" bestFit="1" customWidth="1"/>
    <col min="9513" max="9513" width="9.140625" style="452"/>
    <col min="9514" max="9514" width="9.5703125" style="452" bestFit="1" customWidth="1"/>
    <col min="9515" max="9515" width="10.42578125" style="452" bestFit="1" customWidth="1"/>
    <col min="9516" max="9516" width="10" style="452" bestFit="1" customWidth="1"/>
    <col min="9517" max="9517" width="12.42578125" style="452" bestFit="1" customWidth="1"/>
    <col min="9518" max="9734" width="9.140625" style="452"/>
    <col min="9735" max="9735" width="16.5703125" style="452" bestFit="1" customWidth="1"/>
    <col min="9736" max="9736" width="38.42578125" style="452" bestFit="1" customWidth="1"/>
    <col min="9737" max="9737" width="0" style="452" hidden="1" customWidth="1"/>
    <col min="9738" max="9738" width="36.5703125" style="452" customWidth="1"/>
    <col min="9739" max="9739" width="12.140625" style="452" customWidth="1"/>
    <col min="9740" max="9740" width="7.5703125" style="452" bestFit="1" customWidth="1"/>
    <col min="9741" max="9741" width="4.42578125" style="452" bestFit="1" customWidth="1"/>
    <col min="9742" max="9742" width="9.85546875" style="452" bestFit="1" customWidth="1"/>
    <col min="9743" max="9743" width="9.42578125" style="452" bestFit="1" customWidth="1"/>
    <col min="9744" max="9744" width="8.85546875" style="452" customWidth="1"/>
    <col min="9745" max="9745" width="9.140625" style="452"/>
    <col min="9746" max="9746" width="12.85546875" style="452" customWidth="1"/>
    <col min="9747" max="9747" width="9.140625" style="452"/>
    <col min="9748" max="9748" width="11.85546875" style="452" customWidth="1"/>
    <col min="9749" max="9749" width="11" style="452" bestFit="1" customWidth="1"/>
    <col min="9750" max="9750" width="10" style="452" bestFit="1" customWidth="1"/>
    <col min="9751" max="9751" width="9.5703125" style="452" bestFit="1" customWidth="1"/>
    <col min="9752" max="9753" width="10" style="452" bestFit="1" customWidth="1"/>
    <col min="9754" max="9754" width="10.5703125" style="452" bestFit="1" customWidth="1"/>
    <col min="9755" max="9755" width="10" style="452" bestFit="1" customWidth="1"/>
    <col min="9756" max="9756" width="9.140625" style="452"/>
    <col min="9757" max="9757" width="11" style="452" bestFit="1" customWidth="1"/>
    <col min="9758" max="9758" width="9.140625" style="452"/>
    <col min="9759" max="9759" width="10" style="452" bestFit="1" customWidth="1"/>
    <col min="9760" max="9760" width="9.5703125" style="452" bestFit="1" customWidth="1"/>
    <col min="9761" max="9762" width="10.5703125" style="452" bestFit="1" customWidth="1"/>
    <col min="9763" max="9763" width="10" style="452" bestFit="1" customWidth="1"/>
    <col min="9764" max="9764" width="9.140625" style="452"/>
    <col min="9765" max="9766" width="10" style="452" bestFit="1" customWidth="1"/>
    <col min="9767" max="9767" width="10.5703125" style="452" bestFit="1" customWidth="1"/>
    <col min="9768" max="9768" width="10.42578125" style="452" bestFit="1" customWidth="1"/>
    <col min="9769" max="9769" width="9.140625" style="452"/>
    <col min="9770" max="9770" width="9.5703125" style="452" bestFit="1" customWidth="1"/>
    <col min="9771" max="9771" width="10.42578125" style="452" bestFit="1" customWidth="1"/>
    <col min="9772" max="9772" width="10" style="452" bestFit="1" customWidth="1"/>
    <col min="9773" max="9773" width="12.42578125" style="452" bestFit="1" customWidth="1"/>
    <col min="9774" max="9990" width="9.140625" style="452"/>
    <col min="9991" max="9991" width="16.5703125" style="452" bestFit="1" customWidth="1"/>
    <col min="9992" max="9992" width="38.42578125" style="452" bestFit="1" customWidth="1"/>
    <col min="9993" max="9993" width="0" style="452" hidden="1" customWidth="1"/>
    <col min="9994" max="9994" width="36.5703125" style="452" customWidth="1"/>
    <col min="9995" max="9995" width="12.140625" style="452" customWidth="1"/>
    <col min="9996" max="9996" width="7.5703125" style="452" bestFit="1" customWidth="1"/>
    <col min="9997" max="9997" width="4.42578125" style="452" bestFit="1" customWidth="1"/>
    <col min="9998" max="9998" width="9.85546875" style="452" bestFit="1" customWidth="1"/>
    <col min="9999" max="9999" width="9.42578125" style="452" bestFit="1" customWidth="1"/>
    <col min="10000" max="10000" width="8.85546875" style="452" customWidth="1"/>
    <col min="10001" max="10001" width="9.140625" style="452"/>
    <col min="10002" max="10002" width="12.85546875" style="452" customWidth="1"/>
    <col min="10003" max="10003" width="9.140625" style="452"/>
    <col min="10004" max="10004" width="11.85546875" style="452" customWidth="1"/>
    <col min="10005" max="10005" width="11" style="452" bestFit="1" customWidth="1"/>
    <col min="10006" max="10006" width="10" style="452" bestFit="1" customWidth="1"/>
    <col min="10007" max="10007" width="9.5703125" style="452" bestFit="1" customWidth="1"/>
    <col min="10008" max="10009" width="10" style="452" bestFit="1" customWidth="1"/>
    <col min="10010" max="10010" width="10.5703125" style="452" bestFit="1" customWidth="1"/>
    <col min="10011" max="10011" width="10" style="452" bestFit="1" customWidth="1"/>
    <col min="10012" max="10012" width="9.140625" style="452"/>
    <col min="10013" max="10013" width="11" style="452" bestFit="1" customWidth="1"/>
    <col min="10014" max="10014" width="9.140625" style="452"/>
    <col min="10015" max="10015" width="10" style="452" bestFit="1" customWidth="1"/>
    <col min="10016" max="10016" width="9.5703125" style="452" bestFit="1" customWidth="1"/>
    <col min="10017" max="10018" width="10.5703125" style="452" bestFit="1" customWidth="1"/>
    <col min="10019" max="10019" width="10" style="452" bestFit="1" customWidth="1"/>
    <col min="10020" max="10020" width="9.140625" style="452"/>
    <col min="10021" max="10022" width="10" style="452" bestFit="1" customWidth="1"/>
    <col min="10023" max="10023" width="10.5703125" style="452" bestFit="1" customWidth="1"/>
    <col min="10024" max="10024" width="10.42578125" style="452" bestFit="1" customWidth="1"/>
    <col min="10025" max="10025" width="9.140625" style="452"/>
    <col min="10026" max="10026" width="9.5703125" style="452" bestFit="1" customWidth="1"/>
    <col min="10027" max="10027" width="10.42578125" style="452" bestFit="1" customWidth="1"/>
    <col min="10028" max="10028" width="10" style="452" bestFit="1" customWidth="1"/>
    <col min="10029" max="10029" width="12.42578125" style="452" bestFit="1" customWidth="1"/>
    <col min="10030" max="10246" width="9.140625" style="452"/>
    <col min="10247" max="10247" width="16.5703125" style="452" bestFit="1" customWidth="1"/>
    <col min="10248" max="10248" width="38.42578125" style="452" bestFit="1" customWidth="1"/>
    <col min="10249" max="10249" width="0" style="452" hidden="1" customWidth="1"/>
    <col min="10250" max="10250" width="36.5703125" style="452" customWidth="1"/>
    <col min="10251" max="10251" width="12.140625" style="452" customWidth="1"/>
    <col min="10252" max="10252" width="7.5703125" style="452" bestFit="1" customWidth="1"/>
    <col min="10253" max="10253" width="4.42578125" style="452" bestFit="1" customWidth="1"/>
    <col min="10254" max="10254" width="9.85546875" style="452" bestFit="1" customWidth="1"/>
    <col min="10255" max="10255" width="9.42578125" style="452" bestFit="1" customWidth="1"/>
    <col min="10256" max="10256" width="8.85546875" style="452" customWidth="1"/>
    <col min="10257" max="10257" width="9.140625" style="452"/>
    <col min="10258" max="10258" width="12.85546875" style="452" customWidth="1"/>
    <col min="10259" max="10259" width="9.140625" style="452"/>
    <col min="10260" max="10260" width="11.85546875" style="452" customWidth="1"/>
    <col min="10261" max="10261" width="11" style="452" bestFit="1" customWidth="1"/>
    <col min="10262" max="10262" width="10" style="452" bestFit="1" customWidth="1"/>
    <col min="10263" max="10263" width="9.5703125" style="452" bestFit="1" customWidth="1"/>
    <col min="10264" max="10265" width="10" style="452" bestFit="1" customWidth="1"/>
    <col min="10266" max="10266" width="10.5703125" style="452" bestFit="1" customWidth="1"/>
    <col min="10267" max="10267" width="10" style="452" bestFit="1" customWidth="1"/>
    <col min="10268" max="10268" width="9.140625" style="452"/>
    <col min="10269" max="10269" width="11" style="452" bestFit="1" customWidth="1"/>
    <col min="10270" max="10270" width="9.140625" style="452"/>
    <col min="10271" max="10271" width="10" style="452" bestFit="1" customWidth="1"/>
    <col min="10272" max="10272" width="9.5703125" style="452" bestFit="1" customWidth="1"/>
    <col min="10273" max="10274" width="10.5703125" style="452" bestFit="1" customWidth="1"/>
    <col min="10275" max="10275" width="10" style="452" bestFit="1" customWidth="1"/>
    <col min="10276" max="10276" width="9.140625" style="452"/>
    <col min="10277" max="10278" width="10" style="452" bestFit="1" customWidth="1"/>
    <col min="10279" max="10279" width="10.5703125" style="452" bestFit="1" customWidth="1"/>
    <col min="10280" max="10280" width="10.42578125" style="452" bestFit="1" customWidth="1"/>
    <col min="10281" max="10281" width="9.140625" style="452"/>
    <col min="10282" max="10282" width="9.5703125" style="452" bestFit="1" customWidth="1"/>
    <col min="10283" max="10283" width="10.42578125" style="452" bestFit="1" customWidth="1"/>
    <col min="10284" max="10284" width="10" style="452" bestFit="1" customWidth="1"/>
    <col min="10285" max="10285" width="12.42578125" style="452" bestFit="1" customWidth="1"/>
    <col min="10286" max="10502" width="9.140625" style="452"/>
    <col min="10503" max="10503" width="16.5703125" style="452" bestFit="1" customWidth="1"/>
    <col min="10504" max="10504" width="38.42578125" style="452" bestFit="1" customWidth="1"/>
    <col min="10505" max="10505" width="0" style="452" hidden="1" customWidth="1"/>
    <col min="10506" max="10506" width="36.5703125" style="452" customWidth="1"/>
    <col min="10507" max="10507" width="12.140625" style="452" customWidth="1"/>
    <col min="10508" max="10508" width="7.5703125" style="452" bestFit="1" customWidth="1"/>
    <col min="10509" max="10509" width="4.42578125" style="452" bestFit="1" customWidth="1"/>
    <col min="10510" max="10510" width="9.85546875" style="452" bestFit="1" customWidth="1"/>
    <col min="10511" max="10511" width="9.42578125" style="452" bestFit="1" customWidth="1"/>
    <col min="10512" max="10512" width="8.85546875" style="452" customWidth="1"/>
    <col min="10513" max="10513" width="9.140625" style="452"/>
    <col min="10514" max="10514" width="12.85546875" style="452" customWidth="1"/>
    <col min="10515" max="10515" width="9.140625" style="452"/>
    <col min="10516" max="10516" width="11.85546875" style="452" customWidth="1"/>
    <col min="10517" max="10517" width="11" style="452" bestFit="1" customWidth="1"/>
    <col min="10518" max="10518" width="10" style="452" bestFit="1" customWidth="1"/>
    <col min="10519" max="10519" width="9.5703125" style="452" bestFit="1" customWidth="1"/>
    <col min="10520" max="10521" width="10" style="452" bestFit="1" customWidth="1"/>
    <col min="10522" max="10522" width="10.5703125" style="452" bestFit="1" customWidth="1"/>
    <col min="10523" max="10523" width="10" style="452" bestFit="1" customWidth="1"/>
    <col min="10524" max="10524" width="9.140625" style="452"/>
    <col min="10525" max="10525" width="11" style="452" bestFit="1" customWidth="1"/>
    <col min="10526" max="10526" width="9.140625" style="452"/>
    <col min="10527" max="10527" width="10" style="452" bestFit="1" customWidth="1"/>
    <col min="10528" max="10528" width="9.5703125" style="452" bestFit="1" customWidth="1"/>
    <col min="10529" max="10530" width="10.5703125" style="452" bestFit="1" customWidth="1"/>
    <col min="10531" max="10531" width="10" style="452" bestFit="1" customWidth="1"/>
    <col min="10532" max="10532" width="9.140625" style="452"/>
    <col min="10533" max="10534" width="10" style="452" bestFit="1" customWidth="1"/>
    <col min="10535" max="10535" width="10.5703125" style="452" bestFit="1" customWidth="1"/>
    <col min="10536" max="10536" width="10.42578125" style="452" bestFit="1" customWidth="1"/>
    <col min="10537" max="10537" width="9.140625" style="452"/>
    <col min="10538" max="10538" width="9.5703125" style="452" bestFit="1" customWidth="1"/>
    <col min="10539" max="10539" width="10.42578125" style="452" bestFit="1" customWidth="1"/>
    <col min="10540" max="10540" width="10" style="452" bestFit="1" customWidth="1"/>
    <col min="10541" max="10541" width="12.42578125" style="452" bestFit="1" customWidth="1"/>
    <col min="10542" max="10758" width="9.140625" style="452"/>
    <col min="10759" max="10759" width="16.5703125" style="452" bestFit="1" customWidth="1"/>
    <col min="10760" max="10760" width="38.42578125" style="452" bestFit="1" customWidth="1"/>
    <col min="10761" max="10761" width="0" style="452" hidden="1" customWidth="1"/>
    <col min="10762" max="10762" width="36.5703125" style="452" customWidth="1"/>
    <col min="10763" max="10763" width="12.140625" style="452" customWidth="1"/>
    <col min="10764" max="10764" width="7.5703125" style="452" bestFit="1" customWidth="1"/>
    <col min="10765" max="10765" width="4.42578125" style="452" bestFit="1" customWidth="1"/>
    <col min="10766" max="10766" width="9.85546875" style="452" bestFit="1" customWidth="1"/>
    <col min="10767" max="10767" width="9.42578125" style="452" bestFit="1" customWidth="1"/>
    <col min="10768" max="10768" width="8.85546875" style="452" customWidth="1"/>
    <col min="10769" max="10769" width="9.140625" style="452"/>
    <col min="10770" max="10770" width="12.85546875" style="452" customWidth="1"/>
    <col min="10771" max="10771" width="9.140625" style="452"/>
    <col min="10772" max="10772" width="11.85546875" style="452" customWidth="1"/>
    <col min="10773" max="10773" width="11" style="452" bestFit="1" customWidth="1"/>
    <col min="10774" max="10774" width="10" style="452" bestFit="1" customWidth="1"/>
    <col min="10775" max="10775" width="9.5703125" style="452" bestFit="1" customWidth="1"/>
    <col min="10776" max="10777" width="10" style="452" bestFit="1" customWidth="1"/>
    <col min="10778" max="10778" width="10.5703125" style="452" bestFit="1" customWidth="1"/>
    <col min="10779" max="10779" width="10" style="452" bestFit="1" customWidth="1"/>
    <col min="10780" max="10780" width="9.140625" style="452"/>
    <col min="10781" max="10781" width="11" style="452" bestFit="1" customWidth="1"/>
    <col min="10782" max="10782" width="9.140625" style="452"/>
    <col min="10783" max="10783" width="10" style="452" bestFit="1" customWidth="1"/>
    <col min="10784" max="10784" width="9.5703125" style="452" bestFit="1" customWidth="1"/>
    <col min="10785" max="10786" width="10.5703125" style="452" bestFit="1" customWidth="1"/>
    <col min="10787" max="10787" width="10" style="452" bestFit="1" customWidth="1"/>
    <col min="10788" max="10788" width="9.140625" style="452"/>
    <col min="10789" max="10790" width="10" style="452" bestFit="1" customWidth="1"/>
    <col min="10791" max="10791" width="10.5703125" style="452" bestFit="1" customWidth="1"/>
    <col min="10792" max="10792" width="10.42578125" style="452" bestFit="1" customWidth="1"/>
    <col min="10793" max="10793" width="9.140625" style="452"/>
    <col min="10794" max="10794" width="9.5703125" style="452" bestFit="1" customWidth="1"/>
    <col min="10795" max="10795" width="10.42578125" style="452" bestFit="1" customWidth="1"/>
    <col min="10796" max="10796" width="10" style="452" bestFit="1" customWidth="1"/>
    <col min="10797" max="10797" width="12.42578125" style="452" bestFit="1" customWidth="1"/>
    <col min="10798" max="11014" width="9.140625" style="452"/>
    <col min="11015" max="11015" width="16.5703125" style="452" bestFit="1" customWidth="1"/>
    <col min="11016" max="11016" width="38.42578125" style="452" bestFit="1" customWidth="1"/>
    <col min="11017" max="11017" width="0" style="452" hidden="1" customWidth="1"/>
    <col min="11018" max="11018" width="36.5703125" style="452" customWidth="1"/>
    <col min="11019" max="11019" width="12.140625" style="452" customWidth="1"/>
    <col min="11020" max="11020" width="7.5703125" style="452" bestFit="1" customWidth="1"/>
    <col min="11021" max="11021" width="4.42578125" style="452" bestFit="1" customWidth="1"/>
    <col min="11022" max="11022" width="9.85546875" style="452" bestFit="1" customWidth="1"/>
    <col min="11023" max="11023" width="9.42578125" style="452" bestFit="1" customWidth="1"/>
    <col min="11024" max="11024" width="8.85546875" style="452" customWidth="1"/>
    <col min="11025" max="11025" width="9.140625" style="452"/>
    <col min="11026" max="11026" width="12.85546875" style="452" customWidth="1"/>
    <col min="11027" max="11027" width="9.140625" style="452"/>
    <col min="11028" max="11028" width="11.85546875" style="452" customWidth="1"/>
    <col min="11029" max="11029" width="11" style="452" bestFit="1" customWidth="1"/>
    <col min="11030" max="11030" width="10" style="452" bestFit="1" customWidth="1"/>
    <col min="11031" max="11031" width="9.5703125" style="452" bestFit="1" customWidth="1"/>
    <col min="11032" max="11033" width="10" style="452" bestFit="1" customWidth="1"/>
    <col min="11034" max="11034" width="10.5703125" style="452" bestFit="1" customWidth="1"/>
    <col min="11035" max="11035" width="10" style="452" bestFit="1" customWidth="1"/>
    <col min="11036" max="11036" width="9.140625" style="452"/>
    <col min="11037" max="11037" width="11" style="452" bestFit="1" customWidth="1"/>
    <col min="11038" max="11038" width="9.140625" style="452"/>
    <col min="11039" max="11039" width="10" style="452" bestFit="1" customWidth="1"/>
    <col min="11040" max="11040" width="9.5703125" style="452" bestFit="1" customWidth="1"/>
    <col min="11041" max="11042" width="10.5703125" style="452" bestFit="1" customWidth="1"/>
    <col min="11043" max="11043" width="10" style="452" bestFit="1" customWidth="1"/>
    <col min="11044" max="11044" width="9.140625" style="452"/>
    <col min="11045" max="11046" width="10" style="452" bestFit="1" customWidth="1"/>
    <col min="11047" max="11047" width="10.5703125" style="452" bestFit="1" customWidth="1"/>
    <col min="11048" max="11048" width="10.42578125" style="452" bestFit="1" customWidth="1"/>
    <col min="11049" max="11049" width="9.140625" style="452"/>
    <col min="11050" max="11050" width="9.5703125" style="452" bestFit="1" customWidth="1"/>
    <col min="11051" max="11051" width="10.42578125" style="452" bestFit="1" customWidth="1"/>
    <col min="11052" max="11052" width="10" style="452" bestFit="1" customWidth="1"/>
    <col min="11053" max="11053" width="12.42578125" style="452" bestFit="1" customWidth="1"/>
    <col min="11054" max="11270" width="9.140625" style="452"/>
    <col min="11271" max="11271" width="16.5703125" style="452" bestFit="1" customWidth="1"/>
    <col min="11272" max="11272" width="38.42578125" style="452" bestFit="1" customWidth="1"/>
    <col min="11273" max="11273" width="0" style="452" hidden="1" customWidth="1"/>
    <col min="11274" max="11274" width="36.5703125" style="452" customWidth="1"/>
    <col min="11275" max="11275" width="12.140625" style="452" customWidth="1"/>
    <col min="11276" max="11276" width="7.5703125" style="452" bestFit="1" customWidth="1"/>
    <col min="11277" max="11277" width="4.42578125" style="452" bestFit="1" customWidth="1"/>
    <col min="11278" max="11278" width="9.85546875" style="452" bestFit="1" customWidth="1"/>
    <col min="11279" max="11279" width="9.42578125" style="452" bestFit="1" customWidth="1"/>
    <col min="11280" max="11280" width="8.85546875" style="452" customWidth="1"/>
    <col min="11281" max="11281" width="9.140625" style="452"/>
    <col min="11282" max="11282" width="12.85546875" style="452" customWidth="1"/>
    <col min="11283" max="11283" width="9.140625" style="452"/>
    <col min="11284" max="11284" width="11.85546875" style="452" customWidth="1"/>
    <col min="11285" max="11285" width="11" style="452" bestFit="1" customWidth="1"/>
    <col min="11286" max="11286" width="10" style="452" bestFit="1" customWidth="1"/>
    <col min="11287" max="11287" width="9.5703125" style="452" bestFit="1" customWidth="1"/>
    <col min="11288" max="11289" width="10" style="452" bestFit="1" customWidth="1"/>
    <col min="11290" max="11290" width="10.5703125" style="452" bestFit="1" customWidth="1"/>
    <col min="11291" max="11291" width="10" style="452" bestFit="1" customWidth="1"/>
    <col min="11292" max="11292" width="9.140625" style="452"/>
    <col min="11293" max="11293" width="11" style="452" bestFit="1" customWidth="1"/>
    <col min="11294" max="11294" width="9.140625" style="452"/>
    <col min="11295" max="11295" width="10" style="452" bestFit="1" customWidth="1"/>
    <col min="11296" max="11296" width="9.5703125" style="452" bestFit="1" customWidth="1"/>
    <col min="11297" max="11298" width="10.5703125" style="452" bestFit="1" customWidth="1"/>
    <col min="11299" max="11299" width="10" style="452" bestFit="1" customWidth="1"/>
    <col min="11300" max="11300" width="9.140625" style="452"/>
    <col min="11301" max="11302" width="10" style="452" bestFit="1" customWidth="1"/>
    <col min="11303" max="11303" width="10.5703125" style="452" bestFit="1" customWidth="1"/>
    <col min="11304" max="11304" width="10.42578125" style="452" bestFit="1" customWidth="1"/>
    <col min="11305" max="11305" width="9.140625" style="452"/>
    <col min="11306" max="11306" width="9.5703125" style="452" bestFit="1" customWidth="1"/>
    <col min="11307" max="11307" width="10.42578125" style="452" bestFit="1" customWidth="1"/>
    <col min="11308" max="11308" width="10" style="452" bestFit="1" customWidth="1"/>
    <col min="11309" max="11309" width="12.42578125" style="452" bestFit="1" customWidth="1"/>
    <col min="11310" max="11526" width="9.140625" style="452"/>
    <col min="11527" max="11527" width="16.5703125" style="452" bestFit="1" customWidth="1"/>
    <col min="11528" max="11528" width="38.42578125" style="452" bestFit="1" customWidth="1"/>
    <col min="11529" max="11529" width="0" style="452" hidden="1" customWidth="1"/>
    <col min="11530" max="11530" width="36.5703125" style="452" customWidth="1"/>
    <col min="11531" max="11531" width="12.140625" style="452" customWidth="1"/>
    <col min="11532" max="11532" width="7.5703125" style="452" bestFit="1" customWidth="1"/>
    <col min="11533" max="11533" width="4.42578125" style="452" bestFit="1" customWidth="1"/>
    <col min="11534" max="11534" width="9.85546875" style="452" bestFit="1" customWidth="1"/>
    <col min="11535" max="11535" width="9.42578125" style="452" bestFit="1" customWidth="1"/>
    <col min="11536" max="11536" width="8.85546875" style="452" customWidth="1"/>
    <col min="11537" max="11537" width="9.140625" style="452"/>
    <col min="11538" max="11538" width="12.85546875" style="452" customWidth="1"/>
    <col min="11539" max="11539" width="9.140625" style="452"/>
    <col min="11540" max="11540" width="11.85546875" style="452" customWidth="1"/>
    <col min="11541" max="11541" width="11" style="452" bestFit="1" customWidth="1"/>
    <col min="11542" max="11542" width="10" style="452" bestFit="1" customWidth="1"/>
    <col min="11543" max="11543" width="9.5703125" style="452" bestFit="1" customWidth="1"/>
    <col min="11544" max="11545" width="10" style="452" bestFit="1" customWidth="1"/>
    <col min="11546" max="11546" width="10.5703125" style="452" bestFit="1" customWidth="1"/>
    <col min="11547" max="11547" width="10" style="452" bestFit="1" customWidth="1"/>
    <col min="11548" max="11548" width="9.140625" style="452"/>
    <col min="11549" max="11549" width="11" style="452" bestFit="1" customWidth="1"/>
    <col min="11550" max="11550" width="9.140625" style="452"/>
    <col min="11551" max="11551" width="10" style="452" bestFit="1" customWidth="1"/>
    <col min="11552" max="11552" width="9.5703125" style="452" bestFit="1" customWidth="1"/>
    <col min="11553" max="11554" width="10.5703125" style="452" bestFit="1" customWidth="1"/>
    <col min="11555" max="11555" width="10" style="452" bestFit="1" customWidth="1"/>
    <col min="11556" max="11556" width="9.140625" style="452"/>
    <col min="11557" max="11558" width="10" style="452" bestFit="1" customWidth="1"/>
    <col min="11559" max="11559" width="10.5703125" style="452" bestFit="1" customWidth="1"/>
    <col min="11560" max="11560" width="10.42578125" style="452" bestFit="1" customWidth="1"/>
    <col min="11561" max="11561" width="9.140625" style="452"/>
    <col min="11562" max="11562" width="9.5703125" style="452" bestFit="1" customWidth="1"/>
    <col min="11563" max="11563" width="10.42578125" style="452" bestFit="1" customWidth="1"/>
    <col min="11564" max="11564" width="10" style="452" bestFit="1" customWidth="1"/>
    <col min="11565" max="11565" width="12.42578125" style="452" bestFit="1" customWidth="1"/>
    <col min="11566" max="11782" width="9.140625" style="452"/>
    <col min="11783" max="11783" width="16.5703125" style="452" bestFit="1" customWidth="1"/>
    <col min="11784" max="11784" width="38.42578125" style="452" bestFit="1" customWidth="1"/>
    <col min="11785" max="11785" width="0" style="452" hidden="1" customWidth="1"/>
    <col min="11786" max="11786" width="36.5703125" style="452" customWidth="1"/>
    <col min="11787" max="11787" width="12.140625" style="452" customWidth="1"/>
    <col min="11788" max="11788" width="7.5703125" style="452" bestFit="1" customWidth="1"/>
    <col min="11789" max="11789" width="4.42578125" style="452" bestFit="1" customWidth="1"/>
    <col min="11790" max="11790" width="9.85546875" style="452" bestFit="1" customWidth="1"/>
    <col min="11791" max="11791" width="9.42578125" style="452" bestFit="1" customWidth="1"/>
    <col min="11792" max="11792" width="8.85546875" style="452" customWidth="1"/>
    <col min="11793" max="11793" width="9.140625" style="452"/>
    <col min="11794" max="11794" width="12.85546875" style="452" customWidth="1"/>
    <col min="11795" max="11795" width="9.140625" style="452"/>
    <col min="11796" max="11796" width="11.85546875" style="452" customWidth="1"/>
    <col min="11797" max="11797" width="11" style="452" bestFit="1" customWidth="1"/>
    <col min="11798" max="11798" width="10" style="452" bestFit="1" customWidth="1"/>
    <col min="11799" max="11799" width="9.5703125" style="452" bestFit="1" customWidth="1"/>
    <col min="11800" max="11801" width="10" style="452" bestFit="1" customWidth="1"/>
    <col min="11802" max="11802" width="10.5703125" style="452" bestFit="1" customWidth="1"/>
    <col min="11803" max="11803" width="10" style="452" bestFit="1" customWidth="1"/>
    <col min="11804" max="11804" width="9.140625" style="452"/>
    <col min="11805" max="11805" width="11" style="452" bestFit="1" customWidth="1"/>
    <col min="11806" max="11806" width="9.140625" style="452"/>
    <col min="11807" max="11807" width="10" style="452" bestFit="1" customWidth="1"/>
    <col min="11808" max="11808" width="9.5703125" style="452" bestFit="1" customWidth="1"/>
    <col min="11809" max="11810" width="10.5703125" style="452" bestFit="1" customWidth="1"/>
    <col min="11811" max="11811" width="10" style="452" bestFit="1" customWidth="1"/>
    <col min="11812" max="11812" width="9.140625" style="452"/>
    <col min="11813" max="11814" width="10" style="452" bestFit="1" customWidth="1"/>
    <col min="11815" max="11815" width="10.5703125" style="452" bestFit="1" customWidth="1"/>
    <col min="11816" max="11816" width="10.42578125" style="452" bestFit="1" customWidth="1"/>
    <col min="11817" max="11817" width="9.140625" style="452"/>
    <col min="11818" max="11818" width="9.5703125" style="452" bestFit="1" customWidth="1"/>
    <col min="11819" max="11819" width="10.42578125" style="452" bestFit="1" customWidth="1"/>
    <col min="11820" max="11820" width="10" style="452" bestFit="1" customWidth="1"/>
    <col min="11821" max="11821" width="12.42578125" style="452" bestFit="1" customWidth="1"/>
    <col min="11822" max="12038" width="9.140625" style="452"/>
    <col min="12039" max="12039" width="16.5703125" style="452" bestFit="1" customWidth="1"/>
    <col min="12040" max="12040" width="38.42578125" style="452" bestFit="1" customWidth="1"/>
    <col min="12041" max="12041" width="0" style="452" hidden="1" customWidth="1"/>
    <col min="12042" max="12042" width="36.5703125" style="452" customWidth="1"/>
    <col min="12043" max="12043" width="12.140625" style="452" customWidth="1"/>
    <col min="12044" max="12044" width="7.5703125" style="452" bestFit="1" customWidth="1"/>
    <col min="12045" max="12045" width="4.42578125" style="452" bestFit="1" customWidth="1"/>
    <col min="12046" max="12046" width="9.85546875" style="452" bestFit="1" customWidth="1"/>
    <col min="12047" max="12047" width="9.42578125" style="452" bestFit="1" customWidth="1"/>
    <col min="12048" max="12048" width="8.85546875" style="452" customWidth="1"/>
    <col min="12049" max="12049" width="9.140625" style="452"/>
    <col min="12050" max="12050" width="12.85546875" style="452" customWidth="1"/>
    <col min="12051" max="12051" width="9.140625" style="452"/>
    <col min="12052" max="12052" width="11.85546875" style="452" customWidth="1"/>
    <col min="12053" max="12053" width="11" style="452" bestFit="1" customWidth="1"/>
    <col min="12054" max="12054" width="10" style="452" bestFit="1" customWidth="1"/>
    <col min="12055" max="12055" width="9.5703125" style="452" bestFit="1" customWidth="1"/>
    <col min="12056" max="12057" width="10" style="452" bestFit="1" customWidth="1"/>
    <col min="12058" max="12058" width="10.5703125" style="452" bestFit="1" customWidth="1"/>
    <col min="12059" max="12059" width="10" style="452" bestFit="1" customWidth="1"/>
    <col min="12060" max="12060" width="9.140625" style="452"/>
    <col min="12061" max="12061" width="11" style="452" bestFit="1" customWidth="1"/>
    <col min="12062" max="12062" width="9.140625" style="452"/>
    <col min="12063" max="12063" width="10" style="452" bestFit="1" customWidth="1"/>
    <col min="12064" max="12064" width="9.5703125" style="452" bestFit="1" customWidth="1"/>
    <col min="12065" max="12066" width="10.5703125" style="452" bestFit="1" customWidth="1"/>
    <col min="12067" max="12067" width="10" style="452" bestFit="1" customWidth="1"/>
    <col min="12068" max="12068" width="9.140625" style="452"/>
    <col min="12069" max="12070" width="10" style="452" bestFit="1" customWidth="1"/>
    <col min="12071" max="12071" width="10.5703125" style="452" bestFit="1" customWidth="1"/>
    <col min="12072" max="12072" width="10.42578125" style="452" bestFit="1" customWidth="1"/>
    <col min="12073" max="12073" width="9.140625" style="452"/>
    <col min="12074" max="12074" width="9.5703125" style="452" bestFit="1" customWidth="1"/>
    <col min="12075" max="12075" width="10.42578125" style="452" bestFit="1" customWidth="1"/>
    <col min="12076" max="12076" width="10" style="452" bestFit="1" customWidth="1"/>
    <col min="12077" max="12077" width="12.42578125" style="452" bestFit="1" customWidth="1"/>
    <col min="12078" max="12294" width="9.140625" style="452"/>
    <col min="12295" max="12295" width="16.5703125" style="452" bestFit="1" customWidth="1"/>
    <col min="12296" max="12296" width="38.42578125" style="452" bestFit="1" customWidth="1"/>
    <col min="12297" max="12297" width="0" style="452" hidden="1" customWidth="1"/>
    <col min="12298" max="12298" width="36.5703125" style="452" customWidth="1"/>
    <col min="12299" max="12299" width="12.140625" style="452" customWidth="1"/>
    <col min="12300" max="12300" width="7.5703125" style="452" bestFit="1" customWidth="1"/>
    <col min="12301" max="12301" width="4.42578125" style="452" bestFit="1" customWidth="1"/>
    <col min="12302" max="12302" width="9.85546875" style="452" bestFit="1" customWidth="1"/>
    <col min="12303" max="12303" width="9.42578125" style="452" bestFit="1" customWidth="1"/>
    <col min="12304" max="12304" width="8.85546875" style="452" customWidth="1"/>
    <col min="12305" max="12305" width="9.140625" style="452"/>
    <col min="12306" max="12306" width="12.85546875" style="452" customWidth="1"/>
    <col min="12307" max="12307" width="9.140625" style="452"/>
    <col min="12308" max="12308" width="11.85546875" style="452" customWidth="1"/>
    <col min="12309" max="12309" width="11" style="452" bestFit="1" customWidth="1"/>
    <col min="12310" max="12310" width="10" style="452" bestFit="1" customWidth="1"/>
    <col min="12311" max="12311" width="9.5703125" style="452" bestFit="1" customWidth="1"/>
    <col min="12312" max="12313" width="10" style="452" bestFit="1" customWidth="1"/>
    <col min="12314" max="12314" width="10.5703125" style="452" bestFit="1" customWidth="1"/>
    <col min="12315" max="12315" width="10" style="452" bestFit="1" customWidth="1"/>
    <col min="12316" max="12316" width="9.140625" style="452"/>
    <col min="12317" max="12317" width="11" style="452" bestFit="1" customWidth="1"/>
    <col min="12318" max="12318" width="9.140625" style="452"/>
    <col min="12319" max="12319" width="10" style="452" bestFit="1" customWidth="1"/>
    <col min="12320" max="12320" width="9.5703125" style="452" bestFit="1" customWidth="1"/>
    <col min="12321" max="12322" width="10.5703125" style="452" bestFit="1" customWidth="1"/>
    <col min="12323" max="12323" width="10" style="452" bestFit="1" customWidth="1"/>
    <col min="12324" max="12324" width="9.140625" style="452"/>
    <col min="12325" max="12326" width="10" style="452" bestFit="1" customWidth="1"/>
    <col min="12327" max="12327" width="10.5703125" style="452" bestFit="1" customWidth="1"/>
    <col min="12328" max="12328" width="10.42578125" style="452" bestFit="1" customWidth="1"/>
    <col min="12329" max="12329" width="9.140625" style="452"/>
    <col min="12330" max="12330" width="9.5703125" style="452" bestFit="1" customWidth="1"/>
    <col min="12331" max="12331" width="10.42578125" style="452" bestFit="1" customWidth="1"/>
    <col min="12332" max="12332" width="10" style="452" bestFit="1" customWidth="1"/>
    <col min="12333" max="12333" width="12.42578125" style="452" bestFit="1" customWidth="1"/>
    <col min="12334" max="12550" width="9.140625" style="452"/>
    <col min="12551" max="12551" width="16.5703125" style="452" bestFit="1" customWidth="1"/>
    <col min="12552" max="12552" width="38.42578125" style="452" bestFit="1" customWidth="1"/>
    <col min="12553" max="12553" width="0" style="452" hidden="1" customWidth="1"/>
    <col min="12554" max="12554" width="36.5703125" style="452" customWidth="1"/>
    <col min="12555" max="12555" width="12.140625" style="452" customWidth="1"/>
    <col min="12556" max="12556" width="7.5703125" style="452" bestFit="1" customWidth="1"/>
    <col min="12557" max="12557" width="4.42578125" style="452" bestFit="1" customWidth="1"/>
    <col min="12558" max="12558" width="9.85546875" style="452" bestFit="1" customWidth="1"/>
    <col min="12559" max="12559" width="9.42578125" style="452" bestFit="1" customWidth="1"/>
    <col min="12560" max="12560" width="8.85546875" style="452" customWidth="1"/>
    <col min="12561" max="12561" width="9.140625" style="452"/>
    <col min="12562" max="12562" width="12.85546875" style="452" customWidth="1"/>
    <col min="12563" max="12563" width="9.140625" style="452"/>
    <col min="12564" max="12564" width="11.85546875" style="452" customWidth="1"/>
    <col min="12565" max="12565" width="11" style="452" bestFit="1" customWidth="1"/>
    <col min="12566" max="12566" width="10" style="452" bestFit="1" customWidth="1"/>
    <col min="12567" max="12567" width="9.5703125" style="452" bestFit="1" customWidth="1"/>
    <col min="12568" max="12569" width="10" style="452" bestFit="1" customWidth="1"/>
    <col min="12570" max="12570" width="10.5703125" style="452" bestFit="1" customWidth="1"/>
    <col min="12571" max="12571" width="10" style="452" bestFit="1" customWidth="1"/>
    <col min="12572" max="12572" width="9.140625" style="452"/>
    <col min="12573" max="12573" width="11" style="452" bestFit="1" customWidth="1"/>
    <col min="12574" max="12574" width="9.140625" style="452"/>
    <col min="12575" max="12575" width="10" style="452" bestFit="1" customWidth="1"/>
    <col min="12576" max="12576" width="9.5703125" style="452" bestFit="1" customWidth="1"/>
    <col min="12577" max="12578" width="10.5703125" style="452" bestFit="1" customWidth="1"/>
    <col min="12579" max="12579" width="10" style="452" bestFit="1" customWidth="1"/>
    <col min="12580" max="12580" width="9.140625" style="452"/>
    <col min="12581" max="12582" width="10" style="452" bestFit="1" customWidth="1"/>
    <col min="12583" max="12583" width="10.5703125" style="452" bestFit="1" customWidth="1"/>
    <col min="12584" max="12584" width="10.42578125" style="452" bestFit="1" customWidth="1"/>
    <col min="12585" max="12585" width="9.140625" style="452"/>
    <col min="12586" max="12586" width="9.5703125" style="452" bestFit="1" customWidth="1"/>
    <col min="12587" max="12587" width="10.42578125" style="452" bestFit="1" customWidth="1"/>
    <col min="12588" max="12588" width="10" style="452" bestFit="1" customWidth="1"/>
    <col min="12589" max="12589" width="12.42578125" style="452" bestFit="1" customWidth="1"/>
    <col min="12590" max="12806" width="9.140625" style="452"/>
    <col min="12807" max="12807" width="16.5703125" style="452" bestFit="1" customWidth="1"/>
    <col min="12808" max="12808" width="38.42578125" style="452" bestFit="1" customWidth="1"/>
    <col min="12809" max="12809" width="0" style="452" hidden="1" customWidth="1"/>
    <col min="12810" max="12810" width="36.5703125" style="452" customWidth="1"/>
    <col min="12811" max="12811" width="12.140625" style="452" customWidth="1"/>
    <col min="12812" max="12812" width="7.5703125" style="452" bestFit="1" customWidth="1"/>
    <col min="12813" max="12813" width="4.42578125" style="452" bestFit="1" customWidth="1"/>
    <col min="12814" max="12814" width="9.85546875" style="452" bestFit="1" customWidth="1"/>
    <col min="12815" max="12815" width="9.42578125" style="452" bestFit="1" customWidth="1"/>
    <col min="12816" max="12816" width="8.85546875" style="452" customWidth="1"/>
    <col min="12817" max="12817" width="9.140625" style="452"/>
    <col min="12818" max="12818" width="12.85546875" style="452" customWidth="1"/>
    <col min="12819" max="12819" width="9.140625" style="452"/>
    <col min="12820" max="12820" width="11.85546875" style="452" customWidth="1"/>
    <col min="12821" max="12821" width="11" style="452" bestFit="1" customWidth="1"/>
    <col min="12822" max="12822" width="10" style="452" bestFit="1" customWidth="1"/>
    <col min="12823" max="12823" width="9.5703125" style="452" bestFit="1" customWidth="1"/>
    <col min="12824" max="12825" width="10" style="452" bestFit="1" customWidth="1"/>
    <col min="12826" max="12826" width="10.5703125" style="452" bestFit="1" customWidth="1"/>
    <col min="12827" max="12827" width="10" style="452" bestFit="1" customWidth="1"/>
    <col min="12828" max="12828" width="9.140625" style="452"/>
    <col min="12829" max="12829" width="11" style="452" bestFit="1" customWidth="1"/>
    <col min="12830" max="12830" width="9.140625" style="452"/>
    <col min="12831" max="12831" width="10" style="452" bestFit="1" customWidth="1"/>
    <col min="12832" max="12832" width="9.5703125" style="452" bestFit="1" customWidth="1"/>
    <col min="12833" max="12834" width="10.5703125" style="452" bestFit="1" customWidth="1"/>
    <col min="12835" max="12835" width="10" style="452" bestFit="1" customWidth="1"/>
    <col min="12836" max="12836" width="9.140625" style="452"/>
    <col min="12837" max="12838" width="10" style="452" bestFit="1" customWidth="1"/>
    <col min="12839" max="12839" width="10.5703125" style="452" bestFit="1" customWidth="1"/>
    <col min="12840" max="12840" width="10.42578125" style="452" bestFit="1" customWidth="1"/>
    <col min="12841" max="12841" width="9.140625" style="452"/>
    <col min="12842" max="12842" width="9.5703125" style="452" bestFit="1" customWidth="1"/>
    <col min="12843" max="12843" width="10.42578125" style="452" bestFit="1" customWidth="1"/>
    <col min="12844" max="12844" width="10" style="452" bestFit="1" customWidth="1"/>
    <col min="12845" max="12845" width="12.42578125" style="452" bestFit="1" customWidth="1"/>
    <col min="12846" max="13062" width="9.140625" style="452"/>
    <col min="13063" max="13063" width="16.5703125" style="452" bestFit="1" customWidth="1"/>
    <col min="13064" max="13064" width="38.42578125" style="452" bestFit="1" customWidth="1"/>
    <col min="13065" max="13065" width="0" style="452" hidden="1" customWidth="1"/>
    <col min="13066" max="13066" width="36.5703125" style="452" customWidth="1"/>
    <col min="13067" max="13067" width="12.140625" style="452" customWidth="1"/>
    <col min="13068" max="13068" width="7.5703125" style="452" bestFit="1" customWidth="1"/>
    <col min="13069" max="13069" width="4.42578125" style="452" bestFit="1" customWidth="1"/>
    <col min="13070" max="13070" width="9.85546875" style="452" bestFit="1" customWidth="1"/>
    <col min="13071" max="13071" width="9.42578125" style="452" bestFit="1" customWidth="1"/>
    <col min="13072" max="13072" width="8.85546875" style="452" customWidth="1"/>
    <col min="13073" max="13073" width="9.140625" style="452"/>
    <col min="13074" max="13074" width="12.85546875" style="452" customWidth="1"/>
    <col min="13075" max="13075" width="9.140625" style="452"/>
    <col min="13076" max="13076" width="11.85546875" style="452" customWidth="1"/>
    <col min="13077" max="13077" width="11" style="452" bestFit="1" customWidth="1"/>
    <col min="13078" max="13078" width="10" style="452" bestFit="1" customWidth="1"/>
    <col min="13079" max="13079" width="9.5703125" style="452" bestFit="1" customWidth="1"/>
    <col min="13080" max="13081" width="10" style="452" bestFit="1" customWidth="1"/>
    <col min="13082" max="13082" width="10.5703125" style="452" bestFit="1" customWidth="1"/>
    <col min="13083" max="13083" width="10" style="452" bestFit="1" customWidth="1"/>
    <col min="13084" max="13084" width="9.140625" style="452"/>
    <col min="13085" max="13085" width="11" style="452" bestFit="1" customWidth="1"/>
    <col min="13086" max="13086" width="9.140625" style="452"/>
    <col min="13087" max="13087" width="10" style="452" bestFit="1" customWidth="1"/>
    <col min="13088" max="13088" width="9.5703125" style="452" bestFit="1" customWidth="1"/>
    <col min="13089" max="13090" width="10.5703125" style="452" bestFit="1" customWidth="1"/>
    <col min="13091" max="13091" width="10" style="452" bestFit="1" customWidth="1"/>
    <col min="13092" max="13092" width="9.140625" style="452"/>
    <col min="13093" max="13094" width="10" style="452" bestFit="1" customWidth="1"/>
    <col min="13095" max="13095" width="10.5703125" style="452" bestFit="1" customWidth="1"/>
    <col min="13096" max="13096" width="10.42578125" style="452" bestFit="1" customWidth="1"/>
    <col min="13097" max="13097" width="9.140625" style="452"/>
    <col min="13098" max="13098" width="9.5703125" style="452" bestFit="1" customWidth="1"/>
    <col min="13099" max="13099" width="10.42578125" style="452" bestFit="1" customWidth="1"/>
    <col min="13100" max="13100" width="10" style="452" bestFit="1" customWidth="1"/>
    <col min="13101" max="13101" width="12.42578125" style="452" bestFit="1" customWidth="1"/>
    <col min="13102" max="13318" width="9.140625" style="452"/>
    <col min="13319" max="13319" width="16.5703125" style="452" bestFit="1" customWidth="1"/>
    <col min="13320" max="13320" width="38.42578125" style="452" bestFit="1" customWidth="1"/>
    <col min="13321" max="13321" width="0" style="452" hidden="1" customWidth="1"/>
    <col min="13322" max="13322" width="36.5703125" style="452" customWidth="1"/>
    <col min="13323" max="13323" width="12.140625" style="452" customWidth="1"/>
    <col min="13324" max="13324" width="7.5703125" style="452" bestFit="1" customWidth="1"/>
    <col min="13325" max="13325" width="4.42578125" style="452" bestFit="1" customWidth="1"/>
    <col min="13326" max="13326" width="9.85546875" style="452" bestFit="1" customWidth="1"/>
    <col min="13327" max="13327" width="9.42578125" style="452" bestFit="1" customWidth="1"/>
    <col min="13328" max="13328" width="8.85546875" style="452" customWidth="1"/>
    <col min="13329" max="13329" width="9.140625" style="452"/>
    <col min="13330" max="13330" width="12.85546875" style="452" customWidth="1"/>
    <col min="13331" max="13331" width="9.140625" style="452"/>
    <col min="13332" max="13332" width="11.85546875" style="452" customWidth="1"/>
    <col min="13333" max="13333" width="11" style="452" bestFit="1" customWidth="1"/>
    <col min="13334" max="13334" width="10" style="452" bestFit="1" customWidth="1"/>
    <col min="13335" max="13335" width="9.5703125" style="452" bestFit="1" customWidth="1"/>
    <col min="13336" max="13337" width="10" style="452" bestFit="1" customWidth="1"/>
    <col min="13338" max="13338" width="10.5703125" style="452" bestFit="1" customWidth="1"/>
    <col min="13339" max="13339" width="10" style="452" bestFit="1" customWidth="1"/>
    <col min="13340" max="13340" width="9.140625" style="452"/>
    <col min="13341" max="13341" width="11" style="452" bestFit="1" customWidth="1"/>
    <col min="13342" max="13342" width="9.140625" style="452"/>
    <col min="13343" max="13343" width="10" style="452" bestFit="1" customWidth="1"/>
    <col min="13344" max="13344" width="9.5703125" style="452" bestFit="1" customWidth="1"/>
    <col min="13345" max="13346" width="10.5703125" style="452" bestFit="1" customWidth="1"/>
    <col min="13347" max="13347" width="10" style="452" bestFit="1" customWidth="1"/>
    <col min="13348" max="13348" width="9.140625" style="452"/>
    <col min="13349" max="13350" width="10" style="452" bestFit="1" customWidth="1"/>
    <col min="13351" max="13351" width="10.5703125" style="452" bestFit="1" customWidth="1"/>
    <col min="13352" max="13352" width="10.42578125" style="452" bestFit="1" customWidth="1"/>
    <col min="13353" max="13353" width="9.140625" style="452"/>
    <col min="13354" max="13354" width="9.5703125" style="452" bestFit="1" customWidth="1"/>
    <col min="13355" max="13355" width="10.42578125" style="452" bestFit="1" customWidth="1"/>
    <col min="13356" max="13356" width="10" style="452" bestFit="1" customWidth="1"/>
    <col min="13357" max="13357" width="12.42578125" style="452" bestFit="1" customWidth="1"/>
    <col min="13358" max="13574" width="9.140625" style="452"/>
    <col min="13575" max="13575" width="16.5703125" style="452" bestFit="1" customWidth="1"/>
    <col min="13576" max="13576" width="38.42578125" style="452" bestFit="1" customWidth="1"/>
    <col min="13577" max="13577" width="0" style="452" hidden="1" customWidth="1"/>
    <col min="13578" max="13578" width="36.5703125" style="452" customWidth="1"/>
    <col min="13579" max="13579" width="12.140625" style="452" customWidth="1"/>
    <col min="13580" max="13580" width="7.5703125" style="452" bestFit="1" customWidth="1"/>
    <col min="13581" max="13581" width="4.42578125" style="452" bestFit="1" customWidth="1"/>
    <col min="13582" max="13582" width="9.85546875" style="452" bestFit="1" customWidth="1"/>
    <col min="13583" max="13583" width="9.42578125" style="452" bestFit="1" customWidth="1"/>
    <col min="13584" max="13584" width="8.85546875" style="452" customWidth="1"/>
    <col min="13585" max="13585" width="9.140625" style="452"/>
    <col min="13586" max="13586" width="12.85546875" style="452" customWidth="1"/>
    <col min="13587" max="13587" width="9.140625" style="452"/>
    <col min="13588" max="13588" width="11.85546875" style="452" customWidth="1"/>
    <col min="13589" max="13589" width="11" style="452" bestFit="1" customWidth="1"/>
    <col min="13590" max="13590" width="10" style="452" bestFit="1" customWidth="1"/>
    <col min="13591" max="13591" width="9.5703125" style="452" bestFit="1" customWidth="1"/>
    <col min="13592" max="13593" width="10" style="452" bestFit="1" customWidth="1"/>
    <col min="13594" max="13594" width="10.5703125" style="452" bestFit="1" customWidth="1"/>
    <col min="13595" max="13595" width="10" style="452" bestFit="1" customWidth="1"/>
    <col min="13596" max="13596" width="9.140625" style="452"/>
    <col min="13597" max="13597" width="11" style="452" bestFit="1" customWidth="1"/>
    <col min="13598" max="13598" width="9.140625" style="452"/>
    <col min="13599" max="13599" width="10" style="452" bestFit="1" customWidth="1"/>
    <col min="13600" max="13600" width="9.5703125" style="452" bestFit="1" customWidth="1"/>
    <col min="13601" max="13602" width="10.5703125" style="452" bestFit="1" customWidth="1"/>
    <col min="13603" max="13603" width="10" style="452" bestFit="1" customWidth="1"/>
    <col min="13604" max="13604" width="9.140625" style="452"/>
    <col min="13605" max="13606" width="10" style="452" bestFit="1" customWidth="1"/>
    <col min="13607" max="13607" width="10.5703125" style="452" bestFit="1" customWidth="1"/>
    <col min="13608" max="13608" width="10.42578125" style="452" bestFit="1" customWidth="1"/>
    <col min="13609" max="13609" width="9.140625" style="452"/>
    <col min="13610" max="13610" width="9.5703125" style="452" bestFit="1" customWidth="1"/>
    <col min="13611" max="13611" width="10.42578125" style="452" bestFit="1" customWidth="1"/>
    <col min="13612" max="13612" width="10" style="452" bestFit="1" customWidth="1"/>
    <col min="13613" max="13613" width="12.42578125" style="452" bestFit="1" customWidth="1"/>
    <col min="13614" max="13830" width="9.140625" style="452"/>
    <col min="13831" max="13831" width="16.5703125" style="452" bestFit="1" customWidth="1"/>
    <col min="13832" max="13832" width="38.42578125" style="452" bestFit="1" customWidth="1"/>
    <col min="13833" max="13833" width="0" style="452" hidden="1" customWidth="1"/>
    <col min="13834" max="13834" width="36.5703125" style="452" customWidth="1"/>
    <col min="13835" max="13835" width="12.140625" style="452" customWidth="1"/>
    <col min="13836" max="13836" width="7.5703125" style="452" bestFit="1" customWidth="1"/>
    <col min="13837" max="13837" width="4.42578125" style="452" bestFit="1" customWidth="1"/>
    <col min="13838" max="13838" width="9.85546875" style="452" bestFit="1" customWidth="1"/>
    <col min="13839" max="13839" width="9.42578125" style="452" bestFit="1" customWidth="1"/>
    <col min="13840" max="13840" width="8.85546875" style="452" customWidth="1"/>
    <col min="13841" max="13841" width="9.140625" style="452"/>
    <col min="13842" max="13842" width="12.85546875" style="452" customWidth="1"/>
    <col min="13843" max="13843" width="9.140625" style="452"/>
    <col min="13844" max="13844" width="11.85546875" style="452" customWidth="1"/>
    <col min="13845" max="13845" width="11" style="452" bestFit="1" customWidth="1"/>
    <col min="13846" max="13846" width="10" style="452" bestFit="1" customWidth="1"/>
    <col min="13847" max="13847" width="9.5703125" style="452" bestFit="1" customWidth="1"/>
    <col min="13848" max="13849" width="10" style="452" bestFit="1" customWidth="1"/>
    <col min="13850" max="13850" width="10.5703125" style="452" bestFit="1" customWidth="1"/>
    <col min="13851" max="13851" width="10" style="452" bestFit="1" customWidth="1"/>
    <col min="13852" max="13852" width="9.140625" style="452"/>
    <col min="13853" max="13853" width="11" style="452" bestFit="1" customWidth="1"/>
    <col min="13854" max="13854" width="9.140625" style="452"/>
    <col min="13855" max="13855" width="10" style="452" bestFit="1" customWidth="1"/>
    <col min="13856" max="13856" width="9.5703125" style="452" bestFit="1" customWidth="1"/>
    <col min="13857" max="13858" width="10.5703125" style="452" bestFit="1" customWidth="1"/>
    <col min="13859" max="13859" width="10" style="452" bestFit="1" customWidth="1"/>
    <col min="13860" max="13860" width="9.140625" style="452"/>
    <col min="13861" max="13862" width="10" style="452" bestFit="1" customWidth="1"/>
    <col min="13863" max="13863" width="10.5703125" style="452" bestFit="1" customWidth="1"/>
    <col min="13864" max="13864" width="10.42578125" style="452" bestFit="1" customWidth="1"/>
    <col min="13865" max="13865" width="9.140625" style="452"/>
    <col min="13866" max="13866" width="9.5703125" style="452" bestFit="1" customWidth="1"/>
    <col min="13867" max="13867" width="10.42578125" style="452" bestFit="1" customWidth="1"/>
    <col min="13868" max="13868" width="10" style="452" bestFit="1" customWidth="1"/>
    <col min="13869" max="13869" width="12.42578125" style="452" bestFit="1" customWidth="1"/>
    <col min="13870" max="14086" width="9.140625" style="452"/>
    <col min="14087" max="14087" width="16.5703125" style="452" bestFit="1" customWidth="1"/>
    <col min="14088" max="14088" width="38.42578125" style="452" bestFit="1" customWidth="1"/>
    <col min="14089" max="14089" width="0" style="452" hidden="1" customWidth="1"/>
    <col min="14090" max="14090" width="36.5703125" style="452" customWidth="1"/>
    <col min="14091" max="14091" width="12.140625" style="452" customWidth="1"/>
    <col min="14092" max="14092" width="7.5703125" style="452" bestFit="1" customWidth="1"/>
    <col min="14093" max="14093" width="4.42578125" style="452" bestFit="1" customWidth="1"/>
    <col min="14094" max="14094" width="9.85546875" style="452" bestFit="1" customWidth="1"/>
    <col min="14095" max="14095" width="9.42578125" style="452" bestFit="1" customWidth="1"/>
    <col min="14096" max="14096" width="8.85546875" style="452" customWidth="1"/>
    <col min="14097" max="14097" width="9.140625" style="452"/>
    <col min="14098" max="14098" width="12.85546875" style="452" customWidth="1"/>
    <col min="14099" max="14099" width="9.140625" style="452"/>
    <col min="14100" max="14100" width="11.85546875" style="452" customWidth="1"/>
    <col min="14101" max="14101" width="11" style="452" bestFit="1" customWidth="1"/>
    <col min="14102" max="14102" width="10" style="452" bestFit="1" customWidth="1"/>
    <col min="14103" max="14103" width="9.5703125" style="452" bestFit="1" customWidth="1"/>
    <col min="14104" max="14105" width="10" style="452" bestFit="1" customWidth="1"/>
    <col min="14106" max="14106" width="10.5703125" style="452" bestFit="1" customWidth="1"/>
    <col min="14107" max="14107" width="10" style="452" bestFit="1" customWidth="1"/>
    <col min="14108" max="14108" width="9.140625" style="452"/>
    <col min="14109" max="14109" width="11" style="452" bestFit="1" customWidth="1"/>
    <col min="14110" max="14110" width="9.140625" style="452"/>
    <col min="14111" max="14111" width="10" style="452" bestFit="1" customWidth="1"/>
    <col min="14112" max="14112" width="9.5703125" style="452" bestFit="1" customWidth="1"/>
    <col min="14113" max="14114" width="10.5703125" style="452" bestFit="1" customWidth="1"/>
    <col min="14115" max="14115" width="10" style="452" bestFit="1" customWidth="1"/>
    <col min="14116" max="14116" width="9.140625" style="452"/>
    <col min="14117" max="14118" width="10" style="452" bestFit="1" customWidth="1"/>
    <col min="14119" max="14119" width="10.5703125" style="452" bestFit="1" customWidth="1"/>
    <col min="14120" max="14120" width="10.42578125" style="452" bestFit="1" customWidth="1"/>
    <col min="14121" max="14121" width="9.140625" style="452"/>
    <col min="14122" max="14122" width="9.5703125" style="452" bestFit="1" customWidth="1"/>
    <col min="14123" max="14123" width="10.42578125" style="452" bestFit="1" customWidth="1"/>
    <col min="14124" max="14124" width="10" style="452" bestFit="1" customWidth="1"/>
    <col min="14125" max="14125" width="12.42578125" style="452" bestFit="1" customWidth="1"/>
    <col min="14126" max="14342" width="9.140625" style="452"/>
    <col min="14343" max="14343" width="16.5703125" style="452" bestFit="1" customWidth="1"/>
    <col min="14344" max="14344" width="38.42578125" style="452" bestFit="1" customWidth="1"/>
    <col min="14345" max="14345" width="0" style="452" hidden="1" customWidth="1"/>
    <col min="14346" max="14346" width="36.5703125" style="452" customWidth="1"/>
    <col min="14347" max="14347" width="12.140625" style="452" customWidth="1"/>
    <col min="14348" max="14348" width="7.5703125" style="452" bestFit="1" customWidth="1"/>
    <col min="14349" max="14349" width="4.42578125" style="452" bestFit="1" customWidth="1"/>
    <col min="14350" max="14350" width="9.85546875" style="452" bestFit="1" customWidth="1"/>
    <col min="14351" max="14351" width="9.42578125" style="452" bestFit="1" customWidth="1"/>
    <col min="14352" max="14352" width="8.85546875" style="452" customWidth="1"/>
    <col min="14353" max="14353" width="9.140625" style="452"/>
    <col min="14354" max="14354" width="12.85546875" style="452" customWidth="1"/>
    <col min="14355" max="14355" width="9.140625" style="452"/>
    <col min="14356" max="14356" width="11.85546875" style="452" customWidth="1"/>
    <col min="14357" max="14357" width="11" style="452" bestFit="1" customWidth="1"/>
    <col min="14358" max="14358" width="10" style="452" bestFit="1" customWidth="1"/>
    <col min="14359" max="14359" width="9.5703125" style="452" bestFit="1" customWidth="1"/>
    <col min="14360" max="14361" width="10" style="452" bestFit="1" customWidth="1"/>
    <col min="14362" max="14362" width="10.5703125" style="452" bestFit="1" customWidth="1"/>
    <col min="14363" max="14363" width="10" style="452" bestFit="1" customWidth="1"/>
    <col min="14364" max="14364" width="9.140625" style="452"/>
    <col min="14365" max="14365" width="11" style="452" bestFit="1" customWidth="1"/>
    <col min="14366" max="14366" width="9.140625" style="452"/>
    <col min="14367" max="14367" width="10" style="452" bestFit="1" customWidth="1"/>
    <col min="14368" max="14368" width="9.5703125" style="452" bestFit="1" customWidth="1"/>
    <col min="14369" max="14370" width="10.5703125" style="452" bestFit="1" customWidth="1"/>
    <col min="14371" max="14371" width="10" style="452" bestFit="1" customWidth="1"/>
    <col min="14372" max="14372" width="9.140625" style="452"/>
    <col min="14373" max="14374" width="10" style="452" bestFit="1" customWidth="1"/>
    <col min="14375" max="14375" width="10.5703125" style="452" bestFit="1" customWidth="1"/>
    <col min="14376" max="14376" width="10.42578125" style="452" bestFit="1" customWidth="1"/>
    <col min="14377" max="14377" width="9.140625" style="452"/>
    <col min="14378" max="14378" width="9.5703125" style="452" bestFit="1" customWidth="1"/>
    <col min="14379" max="14379" width="10.42578125" style="452" bestFit="1" customWidth="1"/>
    <col min="14380" max="14380" width="10" style="452" bestFit="1" customWidth="1"/>
    <col min="14381" max="14381" width="12.42578125" style="452" bestFit="1" customWidth="1"/>
    <col min="14382" max="14598" width="9.140625" style="452"/>
    <col min="14599" max="14599" width="16.5703125" style="452" bestFit="1" customWidth="1"/>
    <col min="14600" max="14600" width="38.42578125" style="452" bestFit="1" customWidth="1"/>
    <col min="14601" max="14601" width="0" style="452" hidden="1" customWidth="1"/>
    <col min="14602" max="14602" width="36.5703125" style="452" customWidth="1"/>
    <col min="14603" max="14603" width="12.140625" style="452" customWidth="1"/>
    <col min="14604" max="14604" width="7.5703125" style="452" bestFit="1" customWidth="1"/>
    <col min="14605" max="14605" width="4.42578125" style="452" bestFit="1" customWidth="1"/>
    <col min="14606" max="14606" width="9.85546875" style="452" bestFit="1" customWidth="1"/>
    <col min="14607" max="14607" width="9.42578125" style="452" bestFit="1" customWidth="1"/>
    <col min="14608" max="14608" width="8.85546875" style="452" customWidth="1"/>
    <col min="14609" max="14609" width="9.140625" style="452"/>
    <col min="14610" max="14610" width="12.85546875" style="452" customWidth="1"/>
    <col min="14611" max="14611" width="9.140625" style="452"/>
    <col min="14612" max="14612" width="11.85546875" style="452" customWidth="1"/>
    <col min="14613" max="14613" width="11" style="452" bestFit="1" customWidth="1"/>
    <col min="14614" max="14614" width="10" style="452" bestFit="1" customWidth="1"/>
    <col min="14615" max="14615" width="9.5703125" style="452" bestFit="1" customWidth="1"/>
    <col min="14616" max="14617" width="10" style="452" bestFit="1" customWidth="1"/>
    <col min="14618" max="14618" width="10.5703125" style="452" bestFit="1" customWidth="1"/>
    <col min="14619" max="14619" width="10" style="452" bestFit="1" customWidth="1"/>
    <col min="14620" max="14620" width="9.140625" style="452"/>
    <col min="14621" max="14621" width="11" style="452" bestFit="1" customWidth="1"/>
    <col min="14622" max="14622" width="9.140625" style="452"/>
    <col min="14623" max="14623" width="10" style="452" bestFit="1" customWidth="1"/>
    <col min="14624" max="14624" width="9.5703125" style="452" bestFit="1" customWidth="1"/>
    <col min="14625" max="14626" width="10.5703125" style="452" bestFit="1" customWidth="1"/>
    <col min="14627" max="14627" width="10" style="452" bestFit="1" customWidth="1"/>
    <col min="14628" max="14628" width="9.140625" style="452"/>
    <col min="14629" max="14630" width="10" style="452" bestFit="1" customWidth="1"/>
    <col min="14631" max="14631" width="10.5703125" style="452" bestFit="1" customWidth="1"/>
    <col min="14632" max="14632" width="10.42578125" style="452" bestFit="1" customWidth="1"/>
    <col min="14633" max="14633" width="9.140625" style="452"/>
    <col min="14634" max="14634" width="9.5703125" style="452" bestFit="1" customWidth="1"/>
    <col min="14635" max="14635" width="10.42578125" style="452" bestFit="1" customWidth="1"/>
    <col min="14636" max="14636" width="10" style="452" bestFit="1" customWidth="1"/>
    <col min="14637" max="14637" width="12.42578125" style="452" bestFit="1" customWidth="1"/>
    <col min="14638" max="14854" width="9.140625" style="452"/>
    <col min="14855" max="14855" width="16.5703125" style="452" bestFit="1" customWidth="1"/>
    <col min="14856" max="14856" width="38.42578125" style="452" bestFit="1" customWidth="1"/>
    <col min="14857" max="14857" width="0" style="452" hidden="1" customWidth="1"/>
    <col min="14858" max="14858" width="36.5703125" style="452" customWidth="1"/>
    <col min="14859" max="14859" width="12.140625" style="452" customWidth="1"/>
    <col min="14860" max="14860" width="7.5703125" style="452" bestFit="1" customWidth="1"/>
    <col min="14861" max="14861" width="4.42578125" style="452" bestFit="1" customWidth="1"/>
    <col min="14862" max="14862" width="9.85546875" style="452" bestFit="1" customWidth="1"/>
    <col min="14863" max="14863" width="9.42578125" style="452" bestFit="1" customWidth="1"/>
    <col min="14864" max="14864" width="8.85546875" style="452" customWidth="1"/>
    <col min="14865" max="14865" width="9.140625" style="452"/>
    <col min="14866" max="14866" width="12.85546875" style="452" customWidth="1"/>
    <col min="14867" max="14867" width="9.140625" style="452"/>
    <col min="14868" max="14868" width="11.85546875" style="452" customWidth="1"/>
    <col min="14869" max="14869" width="11" style="452" bestFit="1" customWidth="1"/>
    <col min="14870" max="14870" width="10" style="452" bestFit="1" customWidth="1"/>
    <col min="14871" max="14871" width="9.5703125" style="452" bestFit="1" customWidth="1"/>
    <col min="14872" max="14873" width="10" style="452" bestFit="1" customWidth="1"/>
    <col min="14874" max="14874" width="10.5703125" style="452" bestFit="1" customWidth="1"/>
    <col min="14875" max="14875" width="10" style="452" bestFit="1" customWidth="1"/>
    <col min="14876" max="14876" width="9.140625" style="452"/>
    <col min="14877" max="14877" width="11" style="452" bestFit="1" customWidth="1"/>
    <col min="14878" max="14878" width="9.140625" style="452"/>
    <col min="14879" max="14879" width="10" style="452" bestFit="1" customWidth="1"/>
    <col min="14880" max="14880" width="9.5703125" style="452" bestFit="1" customWidth="1"/>
    <col min="14881" max="14882" width="10.5703125" style="452" bestFit="1" customWidth="1"/>
    <col min="14883" max="14883" width="10" style="452" bestFit="1" customWidth="1"/>
    <col min="14884" max="14884" width="9.140625" style="452"/>
    <col min="14885" max="14886" width="10" style="452" bestFit="1" customWidth="1"/>
    <col min="14887" max="14887" width="10.5703125" style="452" bestFit="1" customWidth="1"/>
    <col min="14888" max="14888" width="10.42578125" style="452" bestFit="1" customWidth="1"/>
    <col min="14889" max="14889" width="9.140625" style="452"/>
    <col min="14890" max="14890" width="9.5703125" style="452" bestFit="1" customWidth="1"/>
    <col min="14891" max="14891" width="10.42578125" style="452" bestFit="1" customWidth="1"/>
    <col min="14892" max="14892" width="10" style="452" bestFit="1" customWidth="1"/>
    <col min="14893" max="14893" width="12.42578125" style="452" bestFit="1" customWidth="1"/>
    <col min="14894" max="15110" width="9.140625" style="452"/>
    <col min="15111" max="15111" width="16.5703125" style="452" bestFit="1" customWidth="1"/>
    <col min="15112" max="15112" width="38.42578125" style="452" bestFit="1" customWidth="1"/>
    <col min="15113" max="15113" width="0" style="452" hidden="1" customWidth="1"/>
    <col min="15114" max="15114" width="36.5703125" style="452" customWidth="1"/>
    <col min="15115" max="15115" width="12.140625" style="452" customWidth="1"/>
    <col min="15116" max="15116" width="7.5703125" style="452" bestFit="1" customWidth="1"/>
    <col min="15117" max="15117" width="4.42578125" style="452" bestFit="1" customWidth="1"/>
    <col min="15118" max="15118" width="9.85546875" style="452" bestFit="1" customWidth="1"/>
    <col min="15119" max="15119" width="9.42578125" style="452" bestFit="1" customWidth="1"/>
    <col min="15120" max="15120" width="8.85546875" style="452" customWidth="1"/>
    <col min="15121" max="15121" width="9.140625" style="452"/>
    <col min="15122" max="15122" width="12.85546875" style="452" customWidth="1"/>
    <col min="15123" max="15123" width="9.140625" style="452"/>
    <col min="15124" max="15124" width="11.85546875" style="452" customWidth="1"/>
    <col min="15125" max="15125" width="11" style="452" bestFit="1" customWidth="1"/>
    <col min="15126" max="15126" width="10" style="452" bestFit="1" customWidth="1"/>
    <col min="15127" max="15127" width="9.5703125" style="452" bestFit="1" customWidth="1"/>
    <col min="15128" max="15129" width="10" style="452" bestFit="1" customWidth="1"/>
    <col min="15130" max="15130" width="10.5703125" style="452" bestFit="1" customWidth="1"/>
    <col min="15131" max="15131" width="10" style="452" bestFit="1" customWidth="1"/>
    <col min="15132" max="15132" width="9.140625" style="452"/>
    <col min="15133" max="15133" width="11" style="452" bestFit="1" customWidth="1"/>
    <col min="15134" max="15134" width="9.140625" style="452"/>
    <col min="15135" max="15135" width="10" style="452" bestFit="1" customWidth="1"/>
    <col min="15136" max="15136" width="9.5703125" style="452" bestFit="1" customWidth="1"/>
    <col min="15137" max="15138" width="10.5703125" style="452" bestFit="1" customWidth="1"/>
    <col min="15139" max="15139" width="10" style="452" bestFit="1" customWidth="1"/>
    <col min="15140" max="15140" width="9.140625" style="452"/>
    <col min="15141" max="15142" width="10" style="452" bestFit="1" customWidth="1"/>
    <col min="15143" max="15143" width="10.5703125" style="452" bestFit="1" customWidth="1"/>
    <col min="15144" max="15144" width="10.42578125" style="452" bestFit="1" customWidth="1"/>
    <col min="15145" max="15145" width="9.140625" style="452"/>
    <col min="15146" max="15146" width="9.5703125" style="452" bestFit="1" customWidth="1"/>
    <col min="15147" max="15147" width="10.42578125" style="452" bestFit="1" customWidth="1"/>
    <col min="15148" max="15148" width="10" style="452" bestFit="1" customWidth="1"/>
    <col min="15149" max="15149" width="12.42578125" style="452" bestFit="1" customWidth="1"/>
    <col min="15150" max="15366" width="9.140625" style="452"/>
    <col min="15367" max="15367" width="16.5703125" style="452" bestFit="1" customWidth="1"/>
    <col min="15368" max="15368" width="38.42578125" style="452" bestFit="1" customWidth="1"/>
    <col min="15369" max="15369" width="0" style="452" hidden="1" customWidth="1"/>
    <col min="15370" max="15370" width="36.5703125" style="452" customWidth="1"/>
    <col min="15371" max="15371" width="12.140625" style="452" customWidth="1"/>
    <col min="15372" max="15372" width="7.5703125" style="452" bestFit="1" customWidth="1"/>
    <col min="15373" max="15373" width="4.42578125" style="452" bestFit="1" customWidth="1"/>
    <col min="15374" max="15374" width="9.85546875" style="452" bestFit="1" customWidth="1"/>
    <col min="15375" max="15375" width="9.42578125" style="452" bestFit="1" customWidth="1"/>
    <col min="15376" max="15376" width="8.85546875" style="452" customWidth="1"/>
    <col min="15377" max="15377" width="9.140625" style="452"/>
    <col min="15378" max="15378" width="12.85546875" style="452" customWidth="1"/>
    <col min="15379" max="15379" width="9.140625" style="452"/>
    <col min="15380" max="15380" width="11.85546875" style="452" customWidth="1"/>
    <col min="15381" max="15381" width="11" style="452" bestFit="1" customWidth="1"/>
    <col min="15382" max="15382" width="10" style="452" bestFit="1" customWidth="1"/>
    <col min="15383" max="15383" width="9.5703125" style="452" bestFit="1" customWidth="1"/>
    <col min="15384" max="15385" width="10" style="452" bestFit="1" customWidth="1"/>
    <col min="15386" max="15386" width="10.5703125" style="452" bestFit="1" customWidth="1"/>
    <col min="15387" max="15387" width="10" style="452" bestFit="1" customWidth="1"/>
    <col min="15388" max="15388" width="9.140625" style="452"/>
    <col min="15389" max="15389" width="11" style="452" bestFit="1" customWidth="1"/>
    <col min="15390" max="15390" width="9.140625" style="452"/>
    <col min="15391" max="15391" width="10" style="452" bestFit="1" customWidth="1"/>
    <col min="15392" max="15392" width="9.5703125" style="452" bestFit="1" customWidth="1"/>
    <col min="15393" max="15394" width="10.5703125" style="452" bestFit="1" customWidth="1"/>
    <col min="15395" max="15395" width="10" style="452" bestFit="1" customWidth="1"/>
    <col min="15396" max="15396" width="9.140625" style="452"/>
    <col min="15397" max="15398" width="10" style="452" bestFit="1" customWidth="1"/>
    <col min="15399" max="15399" width="10.5703125" style="452" bestFit="1" customWidth="1"/>
    <col min="15400" max="15400" width="10.42578125" style="452" bestFit="1" customWidth="1"/>
    <col min="15401" max="15401" width="9.140625" style="452"/>
    <col min="15402" max="15402" width="9.5703125" style="452" bestFit="1" customWidth="1"/>
    <col min="15403" max="15403" width="10.42578125" style="452" bestFit="1" customWidth="1"/>
    <col min="15404" max="15404" width="10" style="452" bestFit="1" customWidth="1"/>
    <col min="15405" max="15405" width="12.42578125" style="452" bestFit="1" customWidth="1"/>
    <col min="15406" max="15622" width="9.140625" style="452"/>
    <col min="15623" max="15623" width="16.5703125" style="452" bestFit="1" customWidth="1"/>
    <col min="15624" max="15624" width="38.42578125" style="452" bestFit="1" customWidth="1"/>
    <col min="15625" max="15625" width="0" style="452" hidden="1" customWidth="1"/>
    <col min="15626" max="15626" width="36.5703125" style="452" customWidth="1"/>
    <col min="15627" max="15627" width="12.140625" style="452" customWidth="1"/>
    <col min="15628" max="15628" width="7.5703125" style="452" bestFit="1" customWidth="1"/>
    <col min="15629" max="15629" width="4.42578125" style="452" bestFit="1" customWidth="1"/>
    <col min="15630" max="15630" width="9.85546875" style="452" bestFit="1" customWidth="1"/>
    <col min="15631" max="15631" width="9.42578125" style="452" bestFit="1" customWidth="1"/>
    <col min="15632" max="15632" width="8.85546875" style="452" customWidth="1"/>
    <col min="15633" max="15633" width="9.140625" style="452"/>
    <col min="15634" max="15634" width="12.85546875" style="452" customWidth="1"/>
    <col min="15635" max="15635" width="9.140625" style="452"/>
    <col min="15636" max="15636" width="11.85546875" style="452" customWidth="1"/>
    <col min="15637" max="15637" width="11" style="452" bestFit="1" customWidth="1"/>
    <col min="15638" max="15638" width="10" style="452" bestFit="1" customWidth="1"/>
    <col min="15639" max="15639" width="9.5703125" style="452" bestFit="1" customWidth="1"/>
    <col min="15640" max="15641" width="10" style="452" bestFit="1" customWidth="1"/>
    <col min="15642" max="15642" width="10.5703125" style="452" bestFit="1" customWidth="1"/>
    <col min="15643" max="15643" width="10" style="452" bestFit="1" customWidth="1"/>
    <col min="15644" max="15644" width="9.140625" style="452"/>
    <col min="15645" max="15645" width="11" style="452" bestFit="1" customWidth="1"/>
    <col min="15646" max="15646" width="9.140625" style="452"/>
    <col min="15647" max="15647" width="10" style="452" bestFit="1" customWidth="1"/>
    <col min="15648" max="15648" width="9.5703125" style="452" bestFit="1" customWidth="1"/>
    <col min="15649" max="15650" width="10.5703125" style="452" bestFit="1" customWidth="1"/>
    <col min="15651" max="15651" width="10" style="452" bestFit="1" customWidth="1"/>
    <col min="15652" max="15652" width="9.140625" style="452"/>
    <col min="15653" max="15654" width="10" style="452" bestFit="1" customWidth="1"/>
    <col min="15655" max="15655" width="10.5703125" style="452" bestFit="1" customWidth="1"/>
    <col min="15656" max="15656" width="10.42578125" style="452" bestFit="1" customWidth="1"/>
    <col min="15657" max="15657" width="9.140625" style="452"/>
    <col min="15658" max="15658" width="9.5703125" style="452" bestFit="1" customWidth="1"/>
    <col min="15659" max="15659" width="10.42578125" style="452" bestFit="1" customWidth="1"/>
    <col min="15660" max="15660" width="10" style="452" bestFit="1" customWidth="1"/>
    <col min="15661" max="15661" width="12.42578125" style="452" bestFit="1" customWidth="1"/>
    <col min="15662" max="15878" width="9.140625" style="452"/>
    <col min="15879" max="15879" width="16.5703125" style="452" bestFit="1" customWidth="1"/>
    <col min="15880" max="15880" width="38.42578125" style="452" bestFit="1" customWidth="1"/>
    <col min="15881" max="15881" width="0" style="452" hidden="1" customWidth="1"/>
    <col min="15882" max="15882" width="36.5703125" style="452" customWidth="1"/>
    <col min="15883" max="15883" width="12.140625" style="452" customWidth="1"/>
    <col min="15884" max="15884" width="7.5703125" style="452" bestFit="1" customWidth="1"/>
    <col min="15885" max="15885" width="4.42578125" style="452" bestFit="1" customWidth="1"/>
    <col min="15886" max="15886" width="9.85546875" style="452" bestFit="1" customWidth="1"/>
    <col min="15887" max="15887" width="9.42578125" style="452" bestFit="1" customWidth="1"/>
    <col min="15888" max="15888" width="8.85546875" style="452" customWidth="1"/>
    <col min="15889" max="15889" width="9.140625" style="452"/>
    <col min="15890" max="15890" width="12.85546875" style="452" customWidth="1"/>
    <col min="15891" max="15891" width="9.140625" style="452"/>
    <col min="15892" max="15892" width="11.85546875" style="452" customWidth="1"/>
    <col min="15893" max="15893" width="11" style="452" bestFit="1" customWidth="1"/>
    <col min="15894" max="15894" width="10" style="452" bestFit="1" customWidth="1"/>
    <col min="15895" max="15895" width="9.5703125" style="452" bestFit="1" customWidth="1"/>
    <col min="15896" max="15897" width="10" style="452" bestFit="1" customWidth="1"/>
    <col min="15898" max="15898" width="10.5703125" style="452" bestFit="1" customWidth="1"/>
    <col min="15899" max="15899" width="10" style="452" bestFit="1" customWidth="1"/>
    <col min="15900" max="15900" width="9.140625" style="452"/>
    <col min="15901" max="15901" width="11" style="452" bestFit="1" customWidth="1"/>
    <col min="15902" max="15902" width="9.140625" style="452"/>
    <col min="15903" max="15903" width="10" style="452" bestFit="1" customWidth="1"/>
    <col min="15904" max="15904" width="9.5703125" style="452" bestFit="1" customWidth="1"/>
    <col min="15905" max="15906" width="10.5703125" style="452" bestFit="1" customWidth="1"/>
    <col min="15907" max="15907" width="10" style="452" bestFit="1" customWidth="1"/>
    <col min="15908" max="15908" width="9.140625" style="452"/>
    <col min="15909" max="15910" width="10" style="452" bestFit="1" customWidth="1"/>
    <col min="15911" max="15911" width="10.5703125" style="452" bestFit="1" customWidth="1"/>
    <col min="15912" max="15912" width="10.42578125" style="452" bestFit="1" customWidth="1"/>
    <col min="15913" max="15913" width="9.140625" style="452"/>
    <col min="15914" max="15914" width="9.5703125" style="452" bestFit="1" customWidth="1"/>
    <col min="15915" max="15915" width="10.42578125" style="452" bestFit="1" customWidth="1"/>
    <col min="15916" max="15916" width="10" style="452" bestFit="1" customWidth="1"/>
    <col min="15917" max="15917" width="12.42578125" style="452" bestFit="1" customWidth="1"/>
    <col min="15918" max="16134" width="9.140625" style="452"/>
    <col min="16135" max="16135" width="16.5703125" style="452" bestFit="1" customWidth="1"/>
    <col min="16136" max="16136" width="38.42578125" style="452" bestFit="1" customWidth="1"/>
    <col min="16137" max="16137" width="0" style="452" hidden="1" customWidth="1"/>
    <col min="16138" max="16138" width="36.5703125" style="452" customWidth="1"/>
    <col min="16139" max="16139" width="12.140625" style="452" customWidth="1"/>
    <col min="16140" max="16140" width="7.5703125" style="452" bestFit="1" customWidth="1"/>
    <col min="16141" max="16141" width="4.42578125" style="452" bestFit="1" customWidth="1"/>
    <col min="16142" max="16142" width="9.85546875" style="452" bestFit="1" customWidth="1"/>
    <col min="16143" max="16143" width="9.42578125" style="452" bestFit="1" customWidth="1"/>
    <col min="16144" max="16144" width="8.85546875" style="452" customWidth="1"/>
    <col min="16145" max="16145" width="9.140625" style="452"/>
    <col min="16146" max="16146" width="12.85546875" style="452" customWidth="1"/>
    <col min="16147" max="16147" width="9.140625" style="452"/>
    <col min="16148" max="16148" width="11.85546875" style="452" customWidth="1"/>
    <col min="16149" max="16149" width="11" style="452" bestFit="1" customWidth="1"/>
    <col min="16150" max="16150" width="10" style="452" bestFit="1" customWidth="1"/>
    <col min="16151" max="16151" width="9.5703125" style="452" bestFit="1" customWidth="1"/>
    <col min="16152" max="16153" width="10" style="452" bestFit="1" customWidth="1"/>
    <col min="16154" max="16154" width="10.5703125" style="452" bestFit="1" customWidth="1"/>
    <col min="16155" max="16155" width="10" style="452" bestFit="1" customWidth="1"/>
    <col min="16156" max="16156" width="9.140625" style="452"/>
    <col min="16157" max="16157" width="11" style="452" bestFit="1" customWidth="1"/>
    <col min="16158" max="16158" width="9.140625" style="452"/>
    <col min="16159" max="16159" width="10" style="452" bestFit="1" customWidth="1"/>
    <col min="16160" max="16160" width="9.5703125" style="452" bestFit="1" customWidth="1"/>
    <col min="16161" max="16162" width="10.5703125" style="452" bestFit="1" customWidth="1"/>
    <col min="16163" max="16163" width="10" style="452" bestFit="1" customWidth="1"/>
    <col min="16164" max="16164" width="9.140625" style="452"/>
    <col min="16165" max="16166" width="10" style="452" bestFit="1" customWidth="1"/>
    <col min="16167" max="16167" width="10.5703125" style="452" bestFit="1" customWidth="1"/>
    <col min="16168" max="16168" width="10.42578125" style="452" bestFit="1" customWidth="1"/>
    <col min="16169" max="16169" width="9.140625" style="452"/>
    <col min="16170" max="16170" width="9.5703125" style="452" bestFit="1" customWidth="1"/>
    <col min="16171" max="16171" width="10.42578125" style="452" bestFit="1" customWidth="1"/>
    <col min="16172" max="16172" width="10" style="452" bestFit="1" customWidth="1"/>
    <col min="16173" max="16173" width="12.42578125" style="452" bestFit="1" customWidth="1"/>
    <col min="16174" max="16384" width="9.140625" style="452"/>
  </cols>
  <sheetData>
    <row r="1" spans="1:45" ht="48.75" customHeight="1" x14ac:dyDescent="0.2">
      <c r="C1" s="453"/>
      <c r="D1" s="454"/>
      <c r="E1" s="455"/>
      <c r="F1" s="455"/>
      <c r="G1" s="454"/>
      <c r="H1" s="456"/>
      <c r="I1" s="456"/>
      <c r="J1" s="454"/>
      <c r="K1" s="454"/>
      <c r="L1" s="454"/>
    </row>
    <row r="2" spans="1:45" ht="13.35" customHeight="1" thickBot="1" x14ac:dyDescent="0.25">
      <c r="C2" s="454"/>
      <c r="D2" s="454"/>
      <c r="E2" s="458"/>
      <c r="F2" s="458"/>
      <c r="G2" s="453"/>
      <c r="H2" s="459"/>
      <c r="I2" s="459"/>
      <c r="J2" s="453"/>
      <c r="K2" s="453"/>
      <c r="L2" s="453"/>
    </row>
    <row r="3" spans="1:45" ht="19.5" customHeight="1" x14ac:dyDescent="0.2">
      <c r="C3" s="454"/>
      <c r="D3" s="460"/>
      <c r="E3" s="461"/>
      <c r="F3" s="461"/>
      <c r="G3" s="461"/>
      <c r="H3" s="462"/>
      <c r="I3" s="463"/>
      <c r="J3" s="464"/>
      <c r="K3" s="465"/>
      <c r="L3" s="466"/>
      <c r="M3" s="776" t="s">
        <v>65</v>
      </c>
      <c r="N3" s="777"/>
      <c r="O3" s="777"/>
      <c r="P3" s="777"/>
      <c r="Q3" s="777"/>
      <c r="R3" s="777"/>
      <c r="S3" s="778"/>
    </row>
    <row r="4" spans="1:45" ht="27.95" customHeight="1" x14ac:dyDescent="0.2">
      <c r="D4" s="467"/>
      <c r="E4" s="468" t="s">
        <v>66</v>
      </c>
      <c r="F4" s="468" t="s">
        <v>67</v>
      </c>
      <c r="G4" s="469" t="s">
        <v>68</v>
      </c>
      <c r="H4" s="470" t="s">
        <v>69</v>
      </c>
      <c r="I4" s="471" t="s">
        <v>70</v>
      </c>
      <c r="J4" s="469" t="s">
        <v>71</v>
      </c>
      <c r="K4" s="472" t="s">
        <v>72</v>
      </c>
      <c r="L4" s="473" t="s">
        <v>73</v>
      </c>
      <c r="M4" s="779" t="s">
        <v>74</v>
      </c>
      <c r="N4" s="474" t="s">
        <v>75</v>
      </c>
      <c r="O4" s="475"/>
      <c r="P4" s="781" t="s">
        <v>75</v>
      </c>
      <c r="Q4" s="781" t="s">
        <v>77</v>
      </c>
      <c r="R4" s="476"/>
      <c r="S4" s="783" t="s">
        <v>78</v>
      </c>
      <c r="T4" s="477">
        <v>1</v>
      </c>
      <c r="U4" s="469">
        <v>2</v>
      </c>
      <c r="V4" s="469">
        <v>3</v>
      </c>
      <c r="W4" s="469">
        <v>4</v>
      </c>
      <c r="X4" s="469">
        <v>5</v>
      </c>
      <c r="Y4" s="469">
        <v>6</v>
      </c>
      <c r="Z4" s="469">
        <v>7</v>
      </c>
      <c r="AA4" s="469">
        <v>8</v>
      </c>
      <c r="AB4" s="469">
        <v>9</v>
      </c>
      <c r="AC4" s="469">
        <v>10</v>
      </c>
      <c r="AD4" s="469">
        <v>11</v>
      </c>
      <c r="AE4" s="469">
        <v>12</v>
      </c>
      <c r="AF4" s="469">
        <v>13</v>
      </c>
      <c r="AG4" s="469">
        <v>14</v>
      </c>
      <c r="AH4" s="469">
        <v>15</v>
      </c>
      <c r="AI4" s="469">
        <v>16</v>
      </c>
      <c r="AJ4" s="469">
        <v>17</v>
      </c>
      <c r="AK4" s="469">
        <v>18</v>
      </c>
      <c r="AL4" s="469">
        <v>19</v>
      </c>
      <c r="AM4" s="469">
        <v>20</v>
      </c>
      <c r="AN4" s="469">
        <v>21</v>
      </c>
      <c r="AO4" s="469">
        <v>22</v>
      </c>
      <c r="AP4" s="469">
        <v>23</v>
      </c>
      <c r="AQ4" s="469">
        <v>24</v>
      </c>
      <c r="AR4" s="469">
        <v>25</v>
      </c>
      <c r="AS4" s="469" t="s">
        <v>28</v>
      </c>
    </row>
    <row r="5" spans="1:45" ht="11.25" customHeight="1" thickBot="1" x14ac:dyDescent="0.25">
      <c r="E5" s="478"/>
      <c r="F5" s="478"/>
      <c r="G5" s="479"/>
      <c r="H5" s="480"/>
      <c r="I5" s="481"/>
      <c r="J5" s="479"/>
      <c r="K5" s="482">
        <v>0.05</v>
      </c>
      <c r="L5" s="483"/>
      <c r="M5" s="780"/>
      <c r="N5" s="484"/>
      <c r="O5" s="485"/>
      <c r="P5" s="782"/>
      <c r="Q5" s="782"/>
      <c r="R5" s="486"/>
      <c r="S5" s="784"/>
      <c r="T5" s="487"/>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9"/>
    </row>
    <row r="6" spans="1:45" ht="13.35" customHeight="1" thickBot="1" x14ac:dyDescent="0.25">
      <c r="A6" s="490" t="s">
        <v>41</v>
      </c>
      <c r="B6" s="490" t="s">
        <v>41</v>
      </c>
      <c r="C6" s="490" t="s">
        <v>41</v>
      </c>
      <c r="D6" s="491" t="s">
        <v>79</v>
      </c>
      <c r="E6" s="492"/>
      <c r="F6" s="492"/>
      <c r="G6" s="493"/>
      <c r="H6" s="494"/>
      <c r="I6" s="495"/>
      <c r="J6" s="493"/>
      <c r="K6" s="496"/>
      <c r="L6" s="497"/>
      <c r="M6" s="498"/>
      <c r="N6" s="498"/>
      <c r="O6" s="498"/>
      <c r="P6" s="493"/>
      <c r="Q6" s="493"/>
      <c r="R6" s="499"/>
      <c r="S6" s="500"/>
      <c r="T6" s="50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502"/>
    </row>
    <row r="7" spans="1:45" ht="15.95" customHeight="1" thickBot="1" x14ac:dyDescent="0.25">
      <c r="A7" s="775">
        <f>'Option B'!A7</f>
        <v>1</v>
      </c>
      <c r="B7" s="503" t="s">
        <v>80</v>
      </c>
      <c r="C7" s="504">
        <f>IF('Option B'!B7="x",'Option B'!C7,0)</f>
        <v>0</v>
      </c>
      <c r="D7" s="505">
        <f>IF('Option B'!B7="x",'Option B'!D7, 0)</f>
        <v>0</v>
      </c>
      <c r="E7" s="506"/>
      <c r="F7" s="506">
        <f>IF('Option B'!$B7="x",'Option B'!J7,0)</f>
        <v>0</v>
      </c>
      <c r="G7" s="506">
        <f>IF('Option B'!$B7="x",'Option B'!K7,0)</f>
        <v>0</v>
      </c>
      <c r="H7" s="507">
        <f>IF('Option B'!$B7="x",'Option B'!L7,0)</f>
        <v>0</v>
      </c>
      <c r="I7" s="507">
        <f>IF('Option B'!$B7="x",'Option B'!M7,0)</f>
        <v>0</v>
      </c>
      <c r="J7" s="508"/>
      <c r="K7" s="509">
        <f>J7*(1+$K$5)</f>
        <v>0</v>
      </c>
      <c r="L7" s="510"/>
      <c r="M7" s="511">
        <f>'ECM Options Lifecycle'!N12</f>
        <v>0</v>
      </c>
      <c r="N7" s="512">
        <f>IF(D7=0,0,(VLOOKUP(D7,'Technology Inputs'!$D$44:$E$172,2,FALSE)))</f>
        <v>0</v>
      </c>
      <c r="O7" s="513"/>
      <c r="P7" s="512">
        <f>IF(D7=0,0,(ROUNDUP(VLOOKUP(D7,'Technology Inputs'!$D$44:$E$172,2,FALSE),0)))</f>
        <v>0</v>
      </c>
      <c r="Q7" s="514">
        <v>1</v>
      </c>
      <c r="R7" s="515"/>
      <c r="S7" s="516">
        <f>I7*Q7</f>
        <v>0</v>
      </c>
      <c r="T7" s="517">
        <f t="shared" ref="T7:AR7" si="0">IF(T$4&lt;$M7,0,IF($P7=0,0,IF(T$4=$M7,$S7,IF((T$4-$M7)/$P7=INT((T$4-$M7)/$P7),$S7,0))))-IF(T$4=$M7, $S7, 0)</f>
        <v>0</v>
      </c>
      <c r="U7" s="517">
        <f t="shared" si="0"/>
        <v>0</v>
      </c>
      <c r="V7" s="517">
        <f t="shared" si="0"/>
        <v>0</v>
      </c>
      <c r="W7" s="517">
        <f t="shared" si="0"/>
        <v>0</v>
      </c>
      <c r="X7" s="517">
        <f t="shared" si="0"/>
        <v>0</v>
      </c>
      <c r="Y7" s="517">
        <f t="shared" si="0"/>
        <v>0</v>
      </c>
      <c r="Z7" s="517">
        <f t="shared" si="0"/>
        <v>0</v>
      </c>
      <c r="AA7" s="517">
        <f t="shared" si="0"/>
        <v>0</v>
      </c>
      <c r="AB7" s="517">
        <f t="shared" si="0"/>
        <v>0</v>
      </c>
      <c r="AC7" s="517">
        <f t="shared" si="0"/>
        <v>0</v>
      </c>
      <c r="AD7" s="517">
        <f t="shared" si="0"/>
        <v>0</v>
      </c>
      <c r="AE7" s="517">
        <f t="shared" si="0"/>
        <v>0</v>
      </c>
      <c r="AF7" s="517">
        <f t="shared" si="0"/>
        <v>0</v>
      </c>
      <c r="AG7" s="517">
        <f t="shared" si="0"/>
        <v>0</v>
      </c>
      <c r="AH7" s="517">
        <f t="shared" si="0"/>
        <v>0</v>
      </c>
      <c r="AI7" s="517">
        <f t="shared" si="0"/>
        <v>0</v>
      </c>
      <c r="AJ7" s="517">
        <f t="shared" si="0"/>
        <v>0</v>
      </c>
      <c r="AK7" s="517">
        <f t="shared" si="0"/>
        <v>0</v>
      </c>
      <c r="AL7" s="517">
        <f t="shared" si="0"/>
        <v>0</v>
      </c>
      <c r="AM7" s="517">
        <f t="shared" si="0"/>
        <v>0</v>
      </c>
      <c r="AN7" s="517">
        <f t="shared" si="0"/>
        <v>0</v>
      </c>
      <c r="AO7" s="517">
        <f t="shared" si="0"/>
        <v>0</v>
      </c>
      <c r="AP7" s="517">
        <f t="shared" si="0"/>
        <v>0</v>
      </c>
      <c r="AQ7" s="517">
        <f t="shared" si="0"/>
        <v>0</v>
      </c>
      <c r="AR7" s="517">
        <f t="shared" si="0"/>
        <v>0</v>
      </c>
      <c r="AS7" s="518">
        <f t="shared" ref="AS7:AS33" si="1">SUM(T7:AR7)</f>
        <v>0</v>
      </c>
    </row>
    <row r="8" spans="1:45" ht="14.45" customHeight="1" x14ac:dyDescent="0.2">
      <c r="A8" s="775"/>
      <c r="B8" s="503" t="s">
        <v>81</v>
      </c>
      <c r="C8" s="503">
        <f>IF('Option B'!$B7="x",IF('Option B'!$E7="Yes", 'Option B'!G7),0)</f>
        <v>0</v>
      </c>
      <c r="D8" s="503">
        <f>IF('Option B'!$B7="x",IF('Option B'!$E7="Yes", 'Option B'!H7),0)</f>
        <v>0</v>
      </c>
      <c r="E8" s="519">
        <f>IF('Option B'!$B7="x",'ECM Options Lifecycle'!F13,0)</f>
        <v>0</v>
      </c>
      <c r="F8" s="519">
        <f>IF('Option B'!$B7="x",'ECM Options Lifecycle'!G13,0)</f>
        <v>0</v>
      </c>
      <c r="G8" s="520">
        <f>IF('Option B'!$B7="x",'ECM Options Lifecycle'!H13,0)</f>
        <v>0</v>
      </c>
      <c r="H8" s="521">
        <f>IF('Option B'!$B7="x",'ECM Options Lifecycle'!I13,0)</f>
        <v>0</v>
      </c>
      <c r="I8" s="522">
        <f>F8*H8</f>
        <v>0</v>
      </c>
      <c r="J8" s="523"/>
      <c r="K8" s="524"/>
      <c r="L8" s="525"/>
      <c r="M8" s="511">
        <f>'ECM Options Lifecycle'!N13</f>
        <v>0</v>
      </c>
      <c r="N8" s="526">
        <f>'Option B'!I7</f>
        <v>0</v>
      </c>
      <c r="O8" s="523"/>
      <c r="P8" s="526">
        <f>ROUNDUP(N8, 0)</f>
        <v>0</v>
      </c>
      <c r="Q8" s="527">
        <v>1</v>
      </c>
      <c r="R8" s="528"/>
      <c r="S8" s="516">
        <f>I8*Q8</f>
        <v>0</v>
      </c>
      <c r="T8" s="517">
        <f t="shared" ref="T8:AR8" si="2">IF(T$4&lt;$M8,0,IF($P8=0,0,IF(T$4=$M8,$S8,IF((T$4-$M8)/$P8=INT((T$4-$M8)/$P8),$S8,0))))</f>
        <v>0</v>
      </c>
      <c r="U8" s="517">
        <f t="shared" si="2"/>
        <v>0</v>
      </c>
      <c r="V8" s="517">
        <f t="shared" si="2"/>
        <v>0</v>
      </c>
      <c r="W8" s="517">
        <f t="shared" si="2"/>
        <v>0</v>
      </c>
      <c r="X8" s="517">
        <f t="shared" si="2"/>
        <v>0</v>
      </c>
      <c r="Y8" s="517">
        <f t="shared" si="2"/>
        <v>0</v>
      </c>
      <c r="Z8" s="517">
        <f t="shared" si="2"/>
        <v>0</v>
      </c>
      <c r="AA8" s="517">
        <f t="shared" si="2"/>
        <v>0</v>
      </c>
      <c r="AB8" s="517">
        <f t="shared" si="2"/>
        <v>0</v>
      </c>
      <c r="AC8" s="517">
        <f t="shared" si="2"/>
        <v>0</v>
      </c>
      <c r="AD8" s="517">
        <f t="shared" si="2"/>
        <v>0</v>
      </c>
      <c r="AE8" s="517">
        <f t="shared" si="2"/>
        <v>0</v>
      </c>
      <c r="AF8" s="517">
        <f t="shared" si="2"/>
        <v>0</v>
      </c>
      <c r="AG8" s="517">
        <f t="shared" si="2"/>
        <v>0</v>
      </c>
      <c r="AH8" s="517">
        <f t="shared" si="2"/>
        <v>0</v>
      </c>
      <c r="AI8" s="517">
        <f t="shared" si="2"/>
        <v>0</v>
      </c>
      <c r="AJ8" s="517">
        <f t="shared" si="2"/>
        <v>0</v>
      </c>
      <c r="AK8" s="517">
        <f t="shared" si="2"/>
        <v>0</v>
      </c>
      <c r="AL8" s="517">
        <f t="shared" si="2"/>
        <v>0</v>
      </c>
      <c r="AM8" s="517">
        <f t="shared" si="2"/>
        <v>0</v>
      </c>
      <c r="AN8" s="517">
        <f t="shared" si="2"/>
        <v>0</v>
      </c>
      <c r="AO8" s="517">
        <f t="shared" si="2"/>
        <v>0</v>
      </c>
      <c r="AP8" s="517">
        <f t="shared" si="2"/>
        <v>0</v>
      </c>
      <c r="AQ8" s="517">
        <f t="shared" si="2"/>
        <v>0</v>
      </c>
      <c r="AR8" s="517">
        <f t="shared" si="2"/>
        <v>0</v>
      </c>
      <c r="AS8" s="518">
        <f t="shared" si="1"/>
        <v>0</v>
      </c>
    </row>
    <row r="9" spans="1:45" ht="11.1" customHeight="1" thickBot="1" x14ac:dyDescent="0.25">
      <c r="A9" s="775"/>
      <c r="B9" s="503" t="s">
        <v>82</v>
      </c>
      <c r="C9" s="529"/>
      <c r="D9" s="530"/>
      <c r="E9" s="531"/>
      <c r="F9" s="531"/>
      <c r="G9" s="532"/>
      <c r="H9" s="533"/>
      <c r="I9" s="534"/>
      <c r="J9" s="535"/>
      <c r="K9" s="536"/>
      <c r="L9" s="537"/>
      <c r="M9" s="538"/>
      <c r="N9" s="535"/>
      <c r="O9" s="535"/>
      <c r="P9" s="538"/>
      <c r="Q9" s="539"/>
      <c r="R9" s="540"/>
      <c r="S9" s="541"/>
      <c r="T9" s="517">
        <f>T7-T8</f>
        <v>0</v>
      </c>
      <c r="U9" s="517">
        <f t="shared" ref="U9:AR9" si="3">U7-U8</f>
        <v>0</v>
      </c>
      <c r="V9" s="517">
        <f t="shared" si="3"/>
        <v>0</v>
      </c>
      <c r="W9" s="517">
        <f t="shared" si="3"/>
        <v>0</v>
      </c>
      <c r="X9" s="517">
        <f t="shared" si="3"/>
        <v>0</v>
      </c>
      <c r="Y9" s="517">
        <f t="shared" si="3"/>
        <v>0</v>
      </c>
      <c r="Z9" s="517">
        <f t="shared" si="3"/>
        <v>0</v>
      </c>
      <c r="AA9" s="517">
        <f t="shared" si="3"/>
        <v>0</v>
      </c>
      <c r="AB9" s="517">
        <f t="shared" si="3"/>
        <v>0</v>
      </c>
      <c r="AC9" s="517">
        <f t="shared" si="3"/>
        <v>0</v>
      </c>
      <c r="AD9" s="517">
        <f t="shared" si="3"/>
        <v>0</v>
      </c>
      <c r="AE9" s="517">
        <f t="shared" si="3"/>
        <v>0</v>
      </c>
      <c r="AF9" s="517">
        <f t="shared" si="3"/>
        <v>0</v>
      </c>
      <c r="AG9" s="517">
        <f t="shared" si="3"/>
        <v>0</v>
      </c>
      <c r="AH9" s="517">
        <f t="shared" si="3"/>
        <v>0</v>
      </c>
      <c r="AI9" s="517">
        <f t="shared" si="3"/>
        <v>0</v>
      </c>
      <c r="AJ9" s="517">
        <f t="shared" si="3"/>
        <v>0</v>
      </c>
      <c r="AK9" s="517">
        <f t="shared" si="3"/>
        <v>0</v>
      </c>
      <c r="AL9" s="517">
        <f t="shared" si="3"/>
        <v>0</v>
      </c>
      <c r="AM9" s="517">
        <f t="shared" si="3"/>
        <v>0</v>
      </c>
      <c r="AN9" s="517">
        <f t="shared" si="3"/>
        <v>0</v>
      </c>
      <c r="AO9" s="517">
        <f t="shared" si="3"/>
        <v>0</v>
      </c>
      <c r="AP9" s="517">
        <f t="shared" si="3"/>
        <v>0</v>
      </c>
      <c r="AQ9" s="517">
        <f t="shared" si="3"/>
        <v>0</v>
      </c>
      <c r="AR9" s="517">
        <f t="shared" si="3"/>
        <v>0</v>
      </c>
      <c r="AS9" s="518">
        <f t="shared" si="1"/>
        <v>0</v>
      </c>
    </row>
    <row r="10" spans="1:45" ht="15.95" customHeight="1" thickBot="1" x14ac:dyDescent="0.25">
      <c r="A10" s="775">
        <f>'Option B'!A8</f>
        <v>2</v>
      </c>
      <c r="B10" s="503" t="s">
        <v>80</v>
      </c>
      <c r="C10" s="504">
        <f>IF('Option B'!$B8="x",'Option B'!C8,0)</f>
        <v>0</v>
      </c>
      <c r="D10" s="504">
        <f>IF('Option B'!$B8="x",'Option B'!D8,0)</f>
        <v>0</v>
      </c>
      <c r="E10" s="542"/>
      <c r="F10" s="542">
        <f>IF('Option B'!$B8="x",'Option B'!J8,0)</f>
        <v>0</v>
      </c>
      <c r="G10" s="542">
        <f>IF('Option B'!$B8="x",'Option B'!K8,0)</f>
        <v>0</v>
      </c>
      <c r="H10" s="542">
        <f>IF('Option B'!$B8="x",'Option B'!L8,0)</f>
        <v>0</v>
      </c>
      <c r="I10" s="543">
        <f>IF('Option B'!$B8="x",'Option B'!M8,0)</f>
        <v>0</v>
      </c>
      <c r="J10" s="508"/>
      <c r="K10" s="509">
        <f>J10*(1+$K$5)</f>
        <v>0</v>
      </c>
      <c r="L10" s="510"/>
      <c r="M10" s="511">
        <f>'ECM Options Lifecycle'!N15</f>
        <v>0</v>
      </c>
      <c r="N10" s="512">
        <f>IF(D10=0,0,(VLOOKUP(D10,'Technology Inputs'!$D$44:$E$172,2,FALSE)))</f>
        <v>0</v>
      </c>
      <c r="O10" s="513"/>
      <c r="P10" s="512">
        <f>IF(D10=0,0,(ROUNDUP(VLOOKUP(D10,'Technology Inputs'!$D$44:$E$172,2,FALSE),0)))</f>
        <v>0</v>
      </c>
      <c r="Q10" s="514">
        <v>1</v>
      </c>
      <c r="R10" s="515"/>
      <c r="S10" s="516">
        <f>I10*Q10</f>
        <v>0</v>
      </c>
      <c r="T10" s="517">
        <f t="shared" ref="T10:AR10" si="4">IF(T$4&lt;$M10,0,IF($P10=0,0,IF(T$4=$M10,$S10,IF((T$4-$M10)/$P10=INT((T$4-$M10)/$P10),$S10,0))))-IF(T$4=$M10, $S10, 0)</f>
        <v>0</v>
      </c>
      <c r="U10" s="517">
        <f t="shared" si="4"/>
        <v>0</v>
      </c>
      <c r="V10" s="517">
        <f t="shared" si="4"/>
        <v>0</v>
      </c>
      <c r="W10" s="517">
        <f t="shared" si="4"/>
        <v>0</v>
      </c>
      <c r="X10" s="517">
        <f t="shared" si="4"/>
        <v>0</v>
      </c>
      <c r="Y10" s="517">
        <f t="shared" si="4"/>
        <v>0</v>
      </c>
      <c r="Z10" s="517">
        <f t="shared" si="4"/>
        <v>0</v>
      </c>
      <c r="AA10" s="517">
        <f t="shared" si="4"/>
        <v>0</v>
      </c>
      <c r="AB10" s="517">
        <f t="shared" si="4"/>
        <v>0</v>
      </c>
      <c r="AC10" s="517">
        <f t="shared" si="4"/>
        <v>0</v>
      </c>
      <c r="AD10" s="517">
        <f t="shared" si="4"/>
        <v>0</v>
      </c>
      <c r="AE10" s="517">
        <f t="shared" si="4"/>
        <v>0</v>
      </c>
      <c r="AF10" s="517">
        <f t="shared" si="4"/>
        <v>0</v>
      </c>
      <c r="AG10" s="517">
        <f t="shared" si="4"/>
        <v>0</v>
      </c>
      <c r="AH10" s="517">
        <f t="shared" si="4"/>
        <v>0</v>
      </c>
      <c r="AI10" s="517">
        <f t="shared" si="4"/>
        <v>0</v>
      </c>
      <c r="AJ10" s="517">
        <f t="shared" si="4"/>
        <v>0</v>
      </c>
      <c r="AK10" s="517">
        <f t="shared" si="4"/>
        <v>0</v>
      </c>
      <c r="AL10" s="517">
        <f t="shared" si="4"/>
        <v>0</v>
      </c>
      <c r="AM10" s="517">
        <f t="shared" si="4"/>
        <v>0</v>
      </c>
      <c r="AN10" s="517">
        <f t="shared" si="4"/>
        <v>0</v>
      </c>
      <c r="AO10" s="517">
        <f t="shared" si="4"/>
        <v>0</v>
      </c>
      <c r="AP10" s="517">
        <f t="shared" si="4"/>
        <v>0</v>
      </c>
      <c r="AQ10" s="517">
        <f t="shared" si="4"/>
        <v>0</v>
      </c>
      <c r="AR10" s="517">
        <f t="shared" si="4"/>
        <v>0</v>
      </c>
      <c r="AS10" s="518">
        <f t="shared" si="1"/>
        <v>0</v>
      </c>
    </row>
    <row r="11" spans="1:45" ht="14.45" customHeight="1" x14ac:dyDescent="0.2">
      <c r="A11" s="775"/>
      <c r="B11" s="503" t="s">
        <v>81</v>
      </c>
      <c r="C11" s="503" t="b">
        <f>IF('Option B'!$B8="x",IF('Option B'!$E8="Yes", 'Option B'!G8),0)</f>
        <v>0</v>
      </c>
      <c r="D11" s="503" t="b">
        <f>IF('Option B'!$B8="x",IF('Option B'!$E8="Yes", 'Option B'!H8),0)</f>
        <v>0</v>
      </c>
      <c r="E11" s="519">
        <f>IF('Option B'!$B8="x",'ECM Options Lifecycle'!F16,0)</f>
        <v>0</v>
      </c>
      <c r="F11" s="519">
        <f>IF('Option B'!$B8="x",'ECM Options Lifecycle'!G16,0)</f>
        <v>0</v>
      </c>
      <c r="G11" s="520" t="str">
        <f>IF('Option B'!$B8="x",'ECM Options Lifecycle'!H16,0)</f>
        <v xml:space="preserve"> </v>
      </c>
      <c r="H11" s="521">
        <f>IF('Option B'!$B8="x",'ECM Options Lifecycle'!I16,0)</f>
        <v>0</v>
      </c>
      <c r="I11" s="522">
        <f>F11*H11</f>
        <v>0</v>
      </c>
      <c r="J11" s="523"/>
      <c r="K11" s="524"/>
      <c r="L11" s="525"/>
      <c r="M11" s="511">
        <f>'ECM Options Lifecycle'!N16</f>
        <v>0</v>
      </c>
      <c r="N11" s="526">
        <f>'Option B'!I8</f>
        <v>0</v>
      </c>
      <c r="O11" s="523"/>
      <c r="P11" s="526">
        <f>ROUNDUP(N11, 0)</f>
        <v>0</v>
      </c>
      <c r="Q11" s="527">
        <v>1</v>
      </c>
      <c r="R11" s="528"/>
      <c r="S11" s="516">
        <f>I11*Q11</f>
        <v>0</v>
      </c>
      <c r="T11" s="517">
        <f t="shared" ref="T11:AR11" si="5">IF(T$4&lt;$M11,0,IF($P11=0,0,IF(T$4=$M11,$S11,IF((T$4-$M11)/$P11=INT((T$4-$M11)/$P11),$S11,0))))</f>
        <v>0</v>
      </c>
      <c r="U11" s="517">
        <f t="shared" si="5"/>
        <v>0</v>
      </c>
      <c r="V11" s="517">
        <f t="shared" si="5"/>
        <v>0</v>
      </c>
      <c r="W11" s="517">
        <f t="shared" si="5"/>
        <v>0</v>
      </c>
      <c r="X11" s="517">
        <f t="shared" si="5"/>
        <v>0</v>
      </c>
      <c r="Y11" s="517">
        <f t="shared" si="5"/>
        <v>0</v>
      </c>
      <c r="Z11" s="517">
        <f t="shared" si="5"/>
        <v>0</v>
      </c>
      <c r="AA11" s="517">
        <f t="shared" si="5"/>
        <v>0</v>
      </c>
      <c r="AB11" s="517">
        <f t="shared" si="5"/>
        <v>0</v>
      </c>
      <c r="AC11" s="517">
        <f t="shared" si="5"/>
        <v>0</v>
      </c>
      <c r="AD11" s="517">
        <f t="shared" si="5"/>
        <v>0</v>
      </c>
      <c r="AE11" s="517">
        <f t="shared" si="5"/>
        <v>0</v>
      </c>
      <c r="AF11" s="517">
        <f t="shared" si="5"/>
        <v>0</v>
      </c>
      <c r="AG11" s="517">
        <f t="shared" si="5"/>
        <v>0</v>
      </c>
      <c r="AH11" s="517">
        <f t="shared" si="5"/>
        <v>0</v>
      </c>
      <c r="AI11" s="517">
        <f t="shared" si="5"/>
        <v>0</v>
      </c>
      <c r="AJ11" s="517">
        <f t="shared" si="5"/>
        <v>0</v>
      </c>
      <c r="AK11" s="517">
        <f t="shared" si="5"/>
        <v>0</v>
      </c>
      <c r="AL11" s="517">
        <f t="shared" si="5"/>
        <v>0</v>
      </c>
      <c r="AM11" s="517">
        <f t="shared" si="5"/>
        <v>0</v>
      </c>
      <c r="AN11" s="517">
        <f t="shared" si="5"/>
        <v>0</v>
      </c>
      <c r="AO11" s="517">
        <f t="shared" si="5"/>
        <v>0</v>
      </c>
      <c r="AP11" s="517">
        <f t="shared" si="5"/>
        <v>0</v>
      </c>
      <c r="AQ11" s="517">
        <f t="shared" si="5"/>
        <v>0</v>
      </c>
      <c r="AR11" s="517">
        <f t="shared" si="5"/>
        <v>0</v>
      </c>
      <c r="AS11" s="518">
        <f t="shared" si="1"/>
        <v>0</v>
      </c>
    </row>
    <row r="12" spans="1:45" ht="11.1" customHeight="1" thickBot="1" x14ac:dyDescent="0.25">
      <c r="A12" s="775"/>
      <c r="B12" s="503" t="s">
        <v>82</v>
      </c>
      <c r="C12" s="529"/>
      <c r="D12" s="530"/>
      <c r="E12" s="531"/>
      <c r="F12" s="531"/>
      <c r="G12" s="532"/>
      <c r="H12" s="533"/>
      <c r="I12" s="534"/>
      <c r="J12" s="535"/>
      <c r="K12" s="536"/>
      <c r="L12" s="537"/>
      <c r="M12" s="538"/>
      <c r="N12" s="535"/>
      <c r="O12" s="535"/>
      <c r="P12" s="538"/>
      <c r="Q12" s="539"/>
      <c r="R12" s="540"/>
      <c r="S12" s="541"/>
      <c r="T12" s="517">
        <f>T10-T11</f>
        <v>0</v>
      </c>
      <c r="U12" s="517">
        <f t="shared" ref="U12:AR12" si="6">U10-U11</f>
        <v>0</v>
      </c>
      <c r="V12" s="517">
        <f t="shared" si="6"/>
        <v>0</v>
      </c>
      <c r="W12" s="517">
        <f t="shared" si="6"/>
        <v>0</v>
      </c>
      <c r="X12" s="517">
        <f t="shared" si="6"/>
        <v>0</v>
      </c>
      <c r="Y12" s="517">
        <f t="shared" si="6"/>
        <v>0</v>
      </c>
      <c r="Z12" s="517">
        <f t="shared" si="6"/>
        <v>0</v>
      </c>
      <c r="AA12" s="517">
        <f t="shared" si="6"/>
        <v>0</v>
      </c>
      <c r="AB12" s="517">
        <f t="shared" si="6"/>
        <v>0</v>
      </c>
      <c r="AC12" s="517">
        <f t="shared" si="6"/>
        <v>0</v>
      </c>
      <c r="AD12" s="517">
        <f t="shared" si="6"/>
        <v>0</v>
      </c>
      <c r="AE12" s="517">
        <f t="shared" si="6"/>
        <v>0</v>
      </c>
      <c r="AF12" s="517">
        <f t="shared" si="6"/>
        <v>0</v>
      </c>
      <c r="AG12" s="517">
        <f t="shared" si="6"/>
        <v>0</v>
      </c>
      <c r="AH12" s="517">
        <f t="shared" si="6"/>
        <v>0</v>
      </c>
      <c r="AI12" s="517">
        <f t="shared" si="6"/>
        <v>0</v>
      </c>
      <c r="AJ12" s="517">
        <f t="shared" si="6"/>
        <v>0</v>
      </c>
      <c r="AK12" s="517">
        <f t="shared" si="6"/>
        <v>0</v>
      </c>
      <c r="AL12" s="517">
        <f t="shared" si="6"/>
        <v>0</v>
      </c>
      <c r="AM12" s="517">
        <f t="shared" si="6"/>
        <v>0</v>
      </c>
      <c r="AN12" s="517">
        <f t="shared" si="6"/>
        <v>0</v>
      </c>
      <c r="AO12" s="517">
        <f t="shared" si="6"/>
        <v>0</v>
      </c>
      <c r="AP12" s="517">
        <f t="shared" si="6"/>
        <v>0</v>
      </c>
      <c r="AQ12" s="517">
        <f t="shared" si="6"/>
        <v>0</v>
      </c>
      <c r="AR12" s="517">
        <f t="shared" si="6"/>
        <v>0</v>
      </c>
      <c r="AS12" s="518">
        <f t="shared" si="1"/>
        <v>0</v>
      </c>
    </row>
    <row r="13" spans="1:45" ht="15.95" customHeight="1" thickBot="1" x14ac:dyDescent="0.25">
      <c r="A13" s="775">
        <f>'Option B'!A9</f>
        <v>3</v>
      </c>
      <c r="B13" s="503" t="s">
        <v>80</v>
      </c>
      <c r="C13" s="504">
        <f>IF('Option B'!$B9="x",'Option B'!C9,0)</f>
        <v>0</v>
      </c>
      <c r="D13" s="504">
        <f>IF('Option B'!$B9="x",'Option B'!D9,0)</f>
        <v>0</v>
      </c>
      <c r="E13" s="542"/>
      <c r="F13" s="542">
        <f>IF('Option B'!$B9="x",'Option B'!J9,0)</f>
        <v>0</v>
      </c>
      <c r="G13" s="542">
        <f>IF('Option B'!$B9="x",'Option B'!K9,0)</f>
        <v>0</v>
      </c>
      <c r="H13" s="542">
        <f>IF('Option B'!$B9="x",'Option B'!L9,0)</f>
        <v>0</v>
      </c>
      <c r="I13" s="543">
        <f>IF('Option B'!$B9="x",'Option B'!M9,0)</f>
        <v>0</v>
      </c>
      <c r="J13" s="508"/>
      <c r="K13" s="509">
        <f>J13*(1+$K$5)</f>
        <v>0</v>
      </c>
      <c r="L13" s="510"/>
      <c r="M13" s="511">
        <f>'ECM Options Lifecycle'!N18</f>
        <v>0</v>
      </c>
      <c r="N13" s="512">
        <f>IF(D13=0,0,(VLOOKUP(D13,'Technology Inputs'!$D$44:$E$172,2,FALSE)))</f>
        <v>0</v>
      </c>
      <c r="O13" s="513"/>
      <c r="P13" s="512">
        <f>IF(D13=0,0,(ROUNDUP(VLOOKUP(D13,'Technology Inputs'!$D$44:$E$172,2,FALSE),0)))</f>
        <v>0</v>
      </c>
      <c r="Q13" s="514">
        <v>1</v>
      </c>
      <c r="R13" s="515"/>
      <c r="S13" s="516">
        <f>I13*Q13</f>
        <v>0</v>
      </c>
      <c r="T13" s="517">
        <f t="shared" ref="T13:AR13" si="7">IF(T$4&lt;$M13,0,IF($P13=0,0,IF(T$4=$M13,$S13,IF((T$4-$M13)/$P13=INT((T$4-$M13)/$P13),$S13,0))))-IF(T$4=$M13, $S13, 0)</f>
        <v>0</v>
      </c>
      <c r="U13" s="517">
        <f t="shared" si="7"/>
        <v>0</v>
      </c>
      <c r="V13" s="517">
        <f t="shared" si="7"/>
        <v>0</v>
      </c>
      <c r="W13" s="517">
        <f t="shared" si="7"/>
        <v>0</v>
      </c>
      <c r="X13" s="517">
        <f t="shared" si="7"/>
        <v>0</v>
      </c>
      <c r="Y13" s="517">
        <f t="shared" si="7"/>
        <v>0</v>
      </c>
      <c r="Z13" s="517">
        <f t="shared" si="7"/>
        <v>0</v>
      </c>
      <c r="AA13" s="517">
        <f t="shared" si="7"/>
        <v>0</v>
      </c>
      <c r="AB13" s="517">
        <f t="shared" si="7"/>
        <v>0</v>
      </c>
      <c r="AC13" s="517">
        <f t="shared" si="7"/>
        <v>0</v>
      </c>
      <c r="AD13" s="517">
        <f t="shared" si="7"/>
        <v>0</v>
      </c>
      <c r="AE13" s="517">
        <f t="shared" si="7"/>
        <v>0</v>
      </c>
      <c r="AF13" s="517">
        <f t="shared" si="7"/>
        <v>0</v>
      </c>
      <c r="AG13" s="517">
        <f t="shared" si="7"/>
        <v>0</v>
      </c>
      <c r="AH13" s="517">
        <f t="shared" si="7"/>
        <v>0</v>
      </c>
      <c r="AI13" s="517">
        <f t="shared" si="7"/>
        <v>0</v>
      </c>
      <c r="AJ13" s="517">
        <f t="shared" si="7"/>
        <v>0</v>
      </c>
      <c r="AK13" s="517">
        <f t="shared" si="7"/>
        <v>0</v>
      </c>
      <c r="AL13" s="517">
        <f t="shared" si="7"/>
        <v>0</v>
      </c>
      <c r="AM13" s="517">
        <f t="shared" si="7"/>
        <v>0</v>
      </c>
      <c r="AN13" s="517">
        <f t="shared" si="7"/>
        <v>0</v>
      </c>
      <c r="AO13" s="517">
        <f t="shared" si="7"/>
        <v>0</v>
      </c>
      <c r="AP13" s="517">
        <f t="shared" si="7"/>
        <v>0</v>
      </c>
      <c r="AQ13" s="517">
        <f t="shared" si="7"/>
        <v>0</v>
      </c>
      <c r="AR13" s="517">
        <f t="shared" si="7"/>
        <v>0</v>
      </c>
      <c r="AS13" s="518">
        <f t="shared" si="1"/>
        <v>0</v>
      </c>
    </row>
    <row r="14" spans="1:45" ht="14.45" customHeight="1" x14ac:dyDescent="0.2">
      <c r="A14" s="775"/>
      <c r="B14" s="503" t="s">
        <v>81</v>
      </c>
      <c r="C14" s="503" t="b">
        <f>IF('Option B'!$B9="x",IF('Option B'!$E9="Yes", 'Option B'!G9),0)</f>
        <v>0</v>
      </c>
      <c r="D14" s="503" t="b">
        <f>IF('Option B'!$B9="x",IF('Option B'!$E9="Yes", 'Option B'!H9),0)</f>
        <v>0</v>
      </c>
      <c r="E14" s="519">
        <f>IF('Option B'!$B9="x",'ECM Options Lifecycle'!F19,0)</f>
        <v>0</v>
      </c>
      <c r="F14" s="519">
        <f>IF('Option B'!$B9="x",'ECM Options Lifecycle'!G19,0)</f>
        <v>0</v>
      </c>
      <c r="G14" s="520" t="str">
        <f>IF('Option B'!$B9="x",'ECM Options Lifecycle'!H19,0)</f>
        <v xml:space="preserve"> </v>
      </c>
      <c r="H14" s="521">
        <f>IF('Option B'!$B9="x",'ECM Options Lifecycle'!I19,0)</f>
        <v>0</v>
      </c>
      <c r="I14" s="522">
        <f>F14*H14</f>
        <v>0</v>
      </c>
      <c r="J14" s="523"/>
      <c r="K14" s="524"/>
      <c r="L14" s="525"/>
      <c r="M14" s="511">
        <f>'ECM Options Lifecycle'!N19</f>
        <v>0</v>
      </c>
      <c r="N14" s="526">
        <f>'Option B'!I9</f>
        <v>0</v>
      </c>
      <c r="O14" s="523"/>
      <c r="P14" s="526">
        <f>ROUNDUP(N14, 0)</f>
        <v>0</v>
      </c>
      <c r="Q14" s="527">
        <v>1</v>
      </c>
      <c r="R14" s="528"/>
      <c r="S14" s="516">
        <f>I14*Q14</f>
        <v>0</v>
      </c>
      <c r="T14" s="517">
        <f t="shared" ref="T14:AR14" si="8">IF(T$4&lt;$M14,0,IF($P14=0,0,IF(T$4=$M14,$S14,IF((T$4-$M14)/$P14=INT((T$4-$M14)/$P14),$S14,0))))</f>
        <v>0</v>
      </c>
      <c r="U14" s="517">
        <f t="shared" si="8"/>
        <v>0</v>
      </c>
      <c r="V14" s="517">
        <f t="shared" si="8"/>
        <v>0</v>
      </c>
      <c r="W14" s="517">
        <f t="shared" si="8"/>
        <v>0</v>
      </c>
      <c r="X14" s="517">
        <f t="shared" si="8"/>
        <v>0</v>
      </c>
      <c r="Y14" s="517">
        <f t="shared" si="8"/>
        <v>0</v>
      </c>
      <c r="Z14" s="517">
        <f t="shared" si="8"/>
        <v>0</v>
      </c>
      <c r="AA14" s="517">
        <f t="shared" si="8"/>
        <v>0</v>
      </c>
      <c r="AB14" s="517">
        <f t="shared" si="8"/>
        <v>0</v>
      </c>
      <c r="AC14" s="517">
        <f t="shared" si="8"/>
        <v>0</v>
      </c>
      <c r="AD14" s="517">
        <f t="shared" si="8"/>
        <v>0</v>
      </c>
      <c r="AE14" s="517">
        <f t="shared" si="8"/>
        <v>0</v>
      </c>
      <c r="AF14" s="517">
        <f t="shared" si="8"/>
        <v>0</v>
      </c>
      <c r="AG14" s="517">
        <f t="shared" si="8"/>
        <v>0</v>
      </c>
      <c r="AH14" s="517">
        <f t="shared" si="8"/>
        <v>0</v>
      </c>
      <c r="AI14" s="517">
        <f t="shared" si="8"/>
        <v>0</v>
      </c>
      <c r="AJ14" s="517">
        <f t="shared" si="8"/>
        <v>0</v>
      </c>
      <c r="AK14" s="517">
        <f t="shared" si="8"/>
        <v>0</v>
      </c>
      <c r="AL14" s="517">
        <f t="shared" si="8"/>
        <v>0</v>
      </c>
      <c r="AM14" s="517">
        <f t="shared" si="8"/>
        <v>0</v>
      </c>
      <c r="AN14" s="517">
        <f t="shared" si="8"/>
        <v>0</v>
      </c>
      <c r="AO14" s="517">
        <f t="shared" si="8"/>
        <v>0</v>
      </c>
      <c r="AP14" s="517">
        <f t="shared" si="8"/>
        <v>0</v>
      </c>
      <c r="AQ14" s="517">
        <f t="shared" si="8"/>
        <v>0</v>
      </c>
      <c r="AR14" s="517">
        <f t="shared" si="8"/>
        <v>0</v>
      </c>
      <c r="AS14" s="518">
        <f t="shared" si="1"/>
        <v>0</v>
      </c>
    </row>
    <row r="15" spans="1:45" ht="11.1" customHeight="1" thickBot="1" x14ac:dyDescent="0.25">
      <c r="A15" s="775"/>
      <c r="B15" s="503" t="s">
        <v>82</v>
      </c>
      <c r="C15" s="529"/>
      <c r="D15" s="530"/>
      <c r="E15" s="531"/>
      <c r="F15" s="531"/>
      <c r="G15" s="532"/>
      <c r="H15" s="533"/>
      <c r="I15" s="534"/>
      <c r="J15" s="535"/>
      <c r="K15" s="536"/>
      <c r="L15" s="537"/>
      <c r="M15" s="538"/>
      <c r="N15" s="535"/>
      <c r="O15" s="535"/>
      <c r="P15" s="538"/>
      <c r="Q15" s="539"/>
      <c r="R15" s="540"/>
      <c r="S15" s="541"/>
      <c r="T15" s="517">
        <f>T13-T14</f>
        <v>0</v>
      </c>
      <c r="U15" s="517">
        <f t="shared" ref="U15:AR15" si="9">U13-U14</f>
        <v>0</v>
      </c>
      <c r="V15" s="517">
        <f t="shared" si="9"/>
        <v>0</v>
      </c>
      <c r="W15" s="517">
        <f t="shared" si="9"/>
        <v>0</v>
      </c>
      <c r="X15" s="517">
        <f t="shared" si="9"/>
        <v>0</v>
      </c>
      <c r="Y15" s="517">
        <f t="shared" si="9"/>
        <v>0</v>
      </c>
      <c r="Z15" s="517">
        <f t="shared" si="9"/>
        <v>0</v>
      </c>
      <c r="AA15" s="517">
        <f t="shared" si="9"/>
        <v>0</v>
      </c>
      <c r="AB15" s="517">
        <f t="shared" si="9"/>
        <v>0</v>
      </c>
      <c r="AC15" s="517">
        <f t="shared" si="9"/>
        <v>0</v>
      </c>
      <c r="AD15" s="517">
        <f t="shared" si="9"/>
        <v>0</v>
      </c>
      <c r="AE15" s="517">
        <f t="shared" si="9"/>
        <v>0</v>
      </c>
      <c r="AF15" s="517">
        <f t="shared" si="9"/>
        <v>0</v>
      </c>
      <c r="AG15" s="517">
        <f t="shared" si="9"/>
        <v>0</v>
      </c>
      <c r="AH15" s="517">
        <f t="shared" si="9"/>
        <v>0</v>
      </c>
      <c r="AI15" s="517">
        <f t="shared" si="9"/>
        <v>0</v>
      </c>
      <c r="AJ15" s="517">
        <f t="shared" si="9"/>
        <v>0</v>
      </c>
      <c r="AK15" s="517">
        <f t="shared" si="9"/>
        <v>0</v>
      </c>
      <c r="AL15" s="517">
        <f t="shared" si="9"/>
        <v>0</v>
      </c>
      <c r="AM15" s="517">
        <f t="shared" si="9"/>
        <v>0</v>
      </c>
      <c r="AN15" s="517">
        <f t="shared" si="9"/>
        <v>0</v>
      </c>
      <c r="AO15" s="517">
        <f t="shared" si="9"/>
        <v>0</v>
      </c>
      <c r="AP15" s="517">
        <f t="shared" si="9"/>
        <v>0</v>
      </c>
      <c r="AQ15" s="517">
        <f t="shared" si="9"/>
        <v>0</v>
      </c>
      <c r="AR15" s="517">
        <f t="shared" si="9"/>
        <v>0</v>
      </c>
      <c r="AS15" s="518">
        <f t="shared" si="1"/>
        <v>0</v>
      </c>
    </row>
    <row r="16" spans="1:45" ht="15.95" customHeight="1" thickBot="1" x14ac:dyDescent="0.25">
      <c r="A16" s="775">
        <f>'Option B'!A10</f>
        <v>4</v>
      </c>
      <c r="B16" s="503" t="s">
        <v>80</v>
      </c>
      <c r="C16" s="504">
        <f>IF('Option B'!B10="x",'Option B'!C10,0)</f>
        <v>0</v>
      </c>
      <c r="D16" s="504">
        <f>IF('Option B'!B10="x",'Option B'!D10,0)</f>
        <v>0</v>
      </c>
      <c r="E16" s="544"/>
      <c r="F16" s="542">
        <f>IF('Option B'!$B10="x",'Option B'!J10,0)</f>
        <v>0</v>
      </c>
      <c r="G16" s="542">
        <f>IF('Option B'!$B10="x",'Option B'!K10,0)</f>
        <v>0</v>
      </c>
      <c r="H16" s="542">
        <f>IF('Option B'!$B10="x",'Option B'!L10,0)</f>
        <v>0</v>
      </c>
      <c r="I16" s="543">
        <f>IF('Option B'!$B10="x",'Option B'!M10,0)</f>
        <v>0</v>
      </c>
      <c r="J16" s="508"/>
      <c r="K16" s="509">
        <f>J16*(1+$K$5)</f>
        <v>0</v>
      </c>
      <c r="L16" s="510"/>
      <c r="M16" s="511">
        <f>'ECM Options Lifecycle'!N21</f>
        <v>0</v>
      </c>
      <c r="N16" s="512">
        <f>IF(D16=0,0,(VLOOKUP(D16,'Technology Inputs'!$D$44:$E$172,2,FALSE)))</f>
        <v>0</v>
      </c>
      <c r="O16" s="513"/>
      <c r="P16" s="512">
        <f>IF(D16=0,0,(ROUNDUP(VLOOKUP(D16,'Technology Inputs'!$D$44:$E$172,2,FALSE),0)))</f>
        <v>0</v>
      </c>
      <c r="Q16" s="514">
        <v>1</v>
      </c>
      <c r="R16" s="515"/>
      <c r="S16" s="516">
        <f>I16*Q16</f>
        <v>0</v>
      </c>
      <c r="T16" s="517">
        <f t="shared" ref="T16:AR16" si="10">IF(T$4&lt;$M16,0,IF($P16=0,0,IF(T$4=$M16,$S16,IF((T$4-$M16)/$P16=INT((T$4-$M16)/$P16),$S16,0))))-IF(T$4=$M16, $S16, 0)</f>
        <v>0</v>
      </c>
      <c r="U16" s="517">
        <f t="shared" si="10"/>
        <v>0</v>
      </c>
      <c r="V16" s="517">
        <f t="shared" si="10"/>
        <v>0</v>
      </c>
      <c r="W16" s="517">
        <f t="shared" si="10"/>
        <v>0</v>
      </c>
      <c r="X16" s="517">
        <f t="shared" si="10"/>
        <v>0</v>
      </c>
      <c r="Y16" s="517">
        <f t="shared" si="10"/>
        <v>0</v>
      </c>
      <c r="Z16" s="517">
        <f t="shared" si="10"/>
        <v>0</v>
      </c>
      <c r="AA16" s="517">
        <f t="shared" si="10"/>
        <v>0</v>
      </c>
      <c r="AB16" s="517">
        <f t="shared" si="10"/>
        <v>0</v>
      </c>
      <c r="AC16" s="517">
        <f t="shared" si="10"/>
        <v>0</v>
      </c>
      <c r="AD16" s="517">
        <f t="shared" si="10"/>
        <v>0</v>
      </c>
      <c r="AE16" s="517">
        <f t="shared" si="10"/>
        <v>0</v>
      </c>
      <c r="AF16" s="517">
        <f t="shared" si="10"/>
        <v>0</v>
      </c>
      <c r="AG16" s="517">
        <f t="shared" si="10"/>
        <v>0</v>
      </c>
      <c r="AH16" s="517">
        <f t="shared" si="10"/>
        <v>0</v>
      </c>
      <c r="AI16" s="517">
        <f t="shared" si="10"/>
        <v>0</v>
      </c>
      <c r="AJ16" s="517">
        <f t="shared" si="10"/>
        <v>0</v>
      </c>
      <c r="AK16" s="517">
        <f t="shared" si="10"/>
        <v>0</v>
      </c>
      <c r="AL16" s="517">
        <f t="shared" si="10"/>
        <v>0</v>
      </c>
      <c r="AM16" s="517">
        <f t="shared" si="10"/>
        <v>0</v>
      </c>
      <c r="AN16" s="517">
        <f t="shared" si="10"/>
        <v>0</v>
      </c>
      <c r="AO16" s="517">
        <f t="shared" si="10"/>
        <v>0</v>
      </c>
      <c r="AP16" s="517">
        <f t="shared" si="10"/>
        <v>0</v>
      </c>
      <c r="AQ16" s="517">
        <f t="shared" si="10"/>
        <v>0</v>
      </c>
      <c r="AR16" s="517">
        <f t="shared" si="10"/>
        <v>0</v>
      </c>
      <c r="AS16" s="518">
        <f t="shared" si="1"/>
        <v>0</v>
      </c>
    </row>
    <row r="17" spans="1:45" ht="14.45" customHeight="1" x14ac:dyDescent="0.2">
      <c r="A17" s="775"/>
      <c r="B17" s="503" t="s">
        <v>81</v>
      </c>
      <c r="C17" s="503" t="b">
        <f>IF('Option B'!$B10="x",IF('Option B'!$E10="Yes", 'Option B'!G10),0)</f>
        <v>0</v>
      </c>
      <c r="D17" s="503" t="b">
        <f>IF('Option B'!$B10="x",IF('Option B'!$E10="Yes", 'Option B'!H10),0)</f>
        <v>0</v>
      </c>
      <c r="E17" s="519">
        <f>IF('Option B'!$B10="x",'ECM Options Lifecycle'!F22,0)</f>
        <v>0</v>
      </c>
      <c r="F17" s="519">
        <f>IF('Option B'!$B10="x",'ECM Options Lifecycle'!G22,0)</f>
        <v>0</v>
      </c>
      <c r="G17" s="520" t="str">
        <f>IF('Option B'!$B10="x",'ECM Options Lifecycle'!H22,0)</f>
        <v xml:space="preserve"> </v>
      </c>
      <c r="H17" s="521">
        <f>IF('Option B'!$B10="x",'ECM Options Lifecycle'!I22,0)</f>
        <v>0</v>
      </c>
      <c r="I17" s="522">
        <f>F17*H17</f>
        <v>0</v>
      </c>
      <c r="J17" s="523"/>
      <c r="K17" s="524"/>
      <c r="L17" s="525"/>
      <c r="M17" s="511">
        <f>'ECM Options Lifecycle'!N22</f>
        <v>0</v>
      </c>
      <c r="N17" s="526">
        <f>'Option B'!I10</f>
        <v>0</v>
      </c>
      <c r="O17" s="523"/>
      <c r="P17" s="526">
        <f>ROUNDUP(N17, 0)</f>
        <v>0</v>
      </c>
      <c r="Q17" s="527">
        <v>1</v>
      </c>
      <c r="R17" s="528"/>
      <c r="S17" s="516">
        <f>I17*Q17</f>
        <v>0</v>
      </c>
      <c r="T17" s="517">
        <f t="shared" ref="T17:AR17" si="11">IF(T$4&lt;$M17,0,IF($P17=0,0,IF(T$4=$M17,$S17,IF((T$4-$M17)/$P17=INT((T$4-$M17)/$P17),$S17,0))))</f>
        <v>0</v>
      </c>
      <c r="U17" s="517">
        <f t="shared" si="11"/>
        <v>0</v>
      </c>
      <c r="V17" s="517">
        <f t="shared" si="11"/>
        <v>0</v>
      </c>
      <c r="W17" s="517">
        <f t="shared" si="11"/>
        <v>0</v>
      </c>
      <c r="X17" s="517">
        <f t="shared" si="11"/>
        <v>0</v>
      </c>
      <c r="Y17" s="517">
        <f t="shared" si="11"/>
        <v>0</v>
      </c>
      <c r="Z17" s="517">
        <f t="shared" si="11"/>
        <v>0</v>
      </c>
      <c r="AA17" s="517">
        <f t="shared" si="11"/>
        <v>0</v>
      </c>
      <c r="AB17" s="517">
        <f t="shared" si="11"/>
        <v>0</v>
      </c>
      <c r="AC17" s="517">
        <f t="shared" si="11"/>
        <v>0</v>
      </c>
      <c r="AD17" s="517">
        <f t="shared" si="11"/>
        <v>0</v>
      </c>
      <c r="AE17" s="517">
        <f t="shared" si="11"/>
        <v>0</v>
      </c>
      <c r="AF17" s="517">
        <f t="shared" si="11"/>
        <v>0</v>
      </c>
      <c r="AG17" s="517">
        <f t="shared" si="11"/>
        <v>0</v>
      </c>
      <c r="AH17" s="517">
        <f t="shared" si="11"/>
        <v>0</v>
      </c>
      <c r="AI17" s="517">
        <f t="shared" si="11"/>
        <v>0</v>
      </c>
      <c r="AJ17" s="517">
        <f t="shared" si="11"/>
        <v>0</v>
      </c>
      <c r="AK17" s="517">
        <f t="shared" si="11"/>
        <v>0</v>
      </c>
      <c r="AL17" s="517">
        <f t="shared" si="11"/>
        <v>0</v>
      </c>
      <c r="AM17" s="517">
        <f t="shared" si="11"/>
        <v>0</v>
      </c>
      <c r="AN17" s="517">
        <f t="shared" si="11"/>
        <v>0</v>
      </c>
      <c r="AO17" s="517">
        <f t="shared" si="11"/>
        <v>0</v>
      </c>
      <c r="AP17" s="517">
        <f t="shared" si="11"/>
        <v>0</v>
      </c>
      <c r="AQ17" s="517">
        <f t="shared" si="11"/>
        <v>0</v>
      </c>
      <c r="AR17" s="517">
        <f t="shared" si="11"/>
        <v>0</v>
      </c>
      <c r="AS17" s="518">
        <f t="shared" si="1"/>
        <v>0</v>
      </c>
    </row>
    <row r="18" spans="1:45" ht="11.1" customHeight="1" thickBot="1" x14ac:dyDescent="0.25">
      <c r="A18" s="775"/>
      <c r="B18" s="503" t="s">
        <v>82</v>
      </c>
      <c r="C18" s="529"/>
      <c r="D18" s="530"/>
      <c r="E18" s="531"/>
      <c r="F18" s="531"/>
      <c r="G18" s="532"/>
      <c r="H18" s="533"/>
      <c r="I18" s="534"/>
      <c r="J18" s="535"/>
      <c r="K18" s="536"/>
      <c r="L18" s="537"/>
      <c r="M18" s="538"/>
      <c r="N18" s="535"/>
      <c r="O18" s="535"/>
      <c r="P18" s="538"/>
      <c r="Q18" s="539"/>
      <c r="R18" s="540"/>
      <c r="S18" s="541"/>
      <c r="T18" s="517">
        <f>T16-T17</f>
        <v>0</v>
      </c>
      <c r="U18" s="517">
        <f t="shared" ref="U18:AR18" si="12">U16-U17</f>
        <v>0</v>
      </c>
      <c r="V18" s="517">
        <f t="shared" si="12"/>
        <v>0</v>
      </c>
      <c r="W18" s="517">
        <f t="shared" si="12"/>
        <v>0</v>
      </c>
      <c r="X18" s="517">
        <f t="shared" si="12"/>
        <v>0</v>
      </c>
      <c r="Y18" s="517">
        <f t="shared" si="12"/>
        <v>0</v>
      </c>
      <c r="Z18" s="517">
        <f t="shared" si="12"/>
        <v>0</v>
      </c>
      <c r="AA18" s="517">
        <f t="shared" si="12"/>
        <v>0</v>
      </c>
      <c r="AB18" s="517">
        <f t="shared" si="12"/>
        <v>0</v>
      </c>
      <c r="AC18" s="517">
        <f t="shared" si="12"/>
        <v>0</v>
      </c>
      <c r="AD18" s="517">
        <f t="shared" si="12"/>
        <v>0</v>
      </c>
      <c r="AE18" s="517">
        <f t="shared" si="12"/>
        <v>0</v>
      </c>
      <c r="AF18" s="517">
        <f t="shared" si="12"/>
        <v>0</v>
      </c>
      <c r="AG18" s="517">
        <f t="shared" si="12"/>
        <v>0</v>
      </c>
      <c r="AH18" s="517">
        <f t="shared" si="12"/>
        <v>0</v>
      </c>
      <c r="AI18" s="517">
        <f t="shared" si="12"/>
        <v>0</v>
      </c>
      <c r="AJ18" s="517">
        <f t="shared" si="12"/>
        <v>0</v>
      </c>
      <c r="AK18" s="517">
        <f t="shared" si="12"/>
        <v>0</v>
      </c>
      <c r="AL18" s="517">
        <f t="shared" si="12"/>
        <v>0</v>
      </c>
      <c r="AM18" s="517">
        <f t="shared" si="12"/>
        <v>0</v>
      </c>
      <c r="AN18" s="517">
        <f t="shared" si="12"/>
        <v>0</v>
      </c>
      <c r="AO18" s="517">
        <f t="shared" si="12"/>
        <v>0</v>
      </c>
      <c r="AP18" s="517">
        <f t="shared" si="12"/>
        <v>0</v>
      </c>
      <c r="AQ18" s="517">
        <f t="shared" si="12"/>
        <v>0</v>
      </c>
      <c r="AR18" s="517">
        <f t="shared" si="12"/>
        <v>0</v>
      </c>
      <c r="AS18" s="518">
        <f t="shared" si="1"/>
        <v>0</v>
      </c>
    </row>
    <row r="19" spans="1:45" ht="15.95" customHeight="1" thickBot="1" x14ac:dyDescent="0.25">
      <c r="A19" s="775">
        <f>'Option B'!A11</f>
        <v>5</v>
      </c>
      <c r="B19" s="503" t="s">
        <v>80</v>
      </c>
      <c r="C19" s="504">
        <f>IF('Option B'!$B11="x",'Option B'!C11,0)</f>
        <v>0</v>
      </c>
      <c r="D19" s="504">
        <f>IF('Option B'!$B11="x",'Option B'!D11,0)</f>
        <v>0</v>
      </c>
      <c r="E19" s="544"/>
      <c r="F19" s="542">
        <f>IF('Option B'!$B11="x",'Option B'!J11,0)</f>
        <v>0</v>
      </c>
      <c r="G19" s="542">
        <f>IF('Option B'!$B11="x",'Option B'!K11,0)</f>
        <v>0</v>
      </c>
      <c r="H19" s="542">
        <f>IF('Option B'!$B11="x",'Option B'!L11,0)</f>
        <v>0</v>
      </c>
      <c r="I19" s="543">
        <f>IF('Option B'!$B11="x",'Option B'!M11,0)</f>
        <v>0</v>
      </c>
      <c r="J19" s="508"/>
      <c r="K19" s="509">
        <f>J19*(1+$K$5)</f>
        <v>0</v>
      </c>
      <c r="L19" s="510"/>
      <c r="M19" s="511">
        <f>'ECM Options Lifecycle'!N24</f>
        <v>0</v>
      </c>
      <c r="N19" s="512">
        <f>IF(D19=0,0,(VLOOKUP(D19,'Technology Inputs'!$D$44:$E$172,2,FALSE)))</f>
        <v>0</v>
      </c>
      <c r="O19" s="513"/>
      <c r="P19" s="512">
        <f>IF(D19=0,0,(ROUNDUP(VLOOKUP(D19,'Technology Inputs'!$D$44:$E$172,2,FALSE),0)))</f>
        <v>0</v>
      </c>
      <c r="Q19" s="514">
        <v>1</v>
      </c>
      <c r="R19" s="515"/>
      <c r="S19" s="516">
        <f>I19*Q19</f>
        <v>0</v>
      </c>
      <c r="T19" s="517">
        <f t="shared" ref="T19:AR19" si="13">IF(T$4&lt;$M19,0,IF($P19=0,0,IF(T$4=$M19,$S19,IF((T$4-$M19)/$P19=INT((T$4-$M19)/$P19),$S19,0))))-IF(T$4=$M19, $S19, 0)</f>
        <v>0</v>
      </c>
      <c r="U19" s="517">
        <f t="shared" si="13"/>
        <v>0</v>
      </c>
      <c r="V19" s="517">
        <f t="shared" si="13"/>
        <v>0</v>
      </c>
      <c r="W19" s="517">
        <f t="shared" si="13"/>
        <v>0</v>
      </c>
      <c r="X19" s="517">
        <f t="shared" si="13"/>
        <v>0</v>
      </c>
      <c r="Y19" s="517">
        <f t="shared" si="13"/>
        <v>0</v>
      </c>
      <c r="Z19" s="517">
        <f t="shared" si="13"/>
        <v>0</v>
      </c>
      <c r="AA19" s="517">
        <f t="shared" si="13"/>
        <v>0</v>
      </c>
      <c r="AB19" s="517">
        <f t="shared" si="13"/>
        <v>0</v>
      </c>
      <c r="AC19" s="517">
        <f t="shared" si="13"/>
        <v>0</v>
      </c>
      <c r="AD19" s="517">
        <f t="shared" si="13"/>
        <v>0</v>
      </c>
      <c r="AE19" s="517">
        <f t="shared" si="13"/>
        <v>0</v>
      </c>
      <c r="AF19" s="517">
        <f t="shared" si="13"/>
        <v>0</v>
      </c>
      <c r="AG19" s="517">
        <f t="shared" si="13"/>
        <v>0</v>
      </c>
      <c r="AH19" s="517">
        <f t="shared" si="13"/>
        <v>0</v>
      </c>
      <c r="AI19" s="517">
        <f t="shared" si="13"/>
        <v>0</v>
      </c>
      <c r="AJ19" s="517">
        <f t="shared" si="13"/>
        <v>0</v>
      </c>
      <c r="AK19" s="517">
        <f t="shared" si="13"/>
        <v>0</v>
      </c>
      <c r="AL19" s="517">
        <f t="shared" si="13"/>
        <v>0</v>
      </c>
      <c r="AM19" s="517">
        <f t="shared" si="13"/>
        <v>0</v>
      </c>
      <c r="AN19" s="517">
        <f t="shared" si="13"/>
        <v>0</v>
      </c>
      <c r="AO19" s="517">
        <f t="shared" si="13"/>
        <v>0</v>
      </c>
      <c r="AP19" s="517">
        <f t="shared" si="13"/>
        <v>0</v>
      </c>
      <c r="AQ19" s="517">
        <f t="shared" si="13"/>
        <v>0</v>
      </c>
      <c r="AR19" s="517">
        <f t="shared" si="13"/>
        <v>0</v>
      </c>
      <c r="AS19" s="518">
        <f t="shared" si="1"/>
        <v>0</v>
      </c>
    </row>
    <row r="20" spans="1:45" ht="14.45" customHeight="1" x14ac:dyDescent="0.2">
      <c r="A20" s="775"/>
      <c r="B20" s="503" t="s">
        <v>81</v>
      </c>
      <c r="C20" s="503" t="b">
        <f>IF('Option B'!$B11="x",IF('Option B'!$E11="Yes", 'Option B'!G11),0)</f>
        <v>0</v>
      </c>
      <c r="D20" s="503" t="b">
        <f>IF('Option B'!$B11="x",IF('Option B'!$E11="Yes", 'Option B'!H11),0)</f>
        <v>0</v>
      </c>
      <c r="E20" s="519">
        <f>IF('Option B'!$B11="x",'ECM Options Lifecycle'!F25,0)</f>
        <v>0</v>
      </c>
      <c r="F20" s="519">
        <f>IF('Option B'!$B11="x",'ECM Options Lifecycle'!G25,0)</f>
        <v>0</v>
      </c>
      <c r="G20" s="520">
        <f>IF('Option B'!$B11="x",'ECM Options Lifecycle'!H25,0)</f>
        <v>0</v>
      </c>
      <c r="H20" s="521">
        <f>IF('Option B'!$B11="x",'ECM Options Lifecycle'!I25,0)</f>
        <v>0</v>
      </c>
      <c r="I20" s="522">
        <f>F20*H20</f>
        <v>0</v>
      </c>
      <c r="J20" s="523"/>
      <c r="K20" s="524"/>
      <c r="L20" s="525"/>
      <c r="M20" s="511">
        <f>'ECM Options Lifecycle'!N25</f>
        <v>0</v>
      </c>
      <c r="N20" s="526">
        <f>'Option B'!I11</f>
        <v>0</v>
      </c>
      <c r="O20" s="523"/>
      <c r="P20" s="526">
        <f>ROUNDUP(N20, 0)</f>
        <v>0</v>
      </c>
      <c r="Q20" s="527">
        <v>1</v>
      </c>
      <c r="R20" s="528"/>
      <c r="S20" s="516">
        <f>I20*Q20</f>
        <v>0</v>
      </c>
      <c r="T20" s="517">
        <f t="shared" ref="T20:AR20" si="14">IF(T$4&lt;$M20,0,IF($P20=0,0,IF(T$4=$M20,$S20,IF((T$4-$M20)/$P20=INT((T$4-$M20)/$P20),$S20,0))))</f>
        <v>0</v>
      </c>
      <c r="U20" s="517">
        <f t="shared" si="14"/>
        <v>0</v>
      </c>
      <c r="V20" s="517">
        <f t="shared" si="14"/>
        <v>0</v>
      </c>
      <c r="W20" s="517">
        <f t="shared" si="14"/>
        <v>0</v>
      </c>
      <c r="X20" s="517">
        <f t="shared" si="14"/>
        <v>0</v>
      </c>
      <c r="Y20" s="517">
        <f t="shared" si="14"/>
        <v>0</v>
      </c>
      <c r="Z20" s="517">
        <f t="shared" si="14"/>
        <v>0</v>
      </c>
      <c r="AA20" s="517">
        <f t="shared" si="14"/>
        <v>0</v>
      </c>
      <c r="AB20" s="517">
        <f t="shared" si="14"/>
        <v>0</v>
      </c>
      <c r="AC20" s="517">
        <f t="shared" si="14"/>
        <v>0</v>
      </c>
      <c r="AD20" s="517">
        <f t="shared" si="14"/>
        <v>0</v>
      </c>
      <c r="AE20" s="517">
        <f t="shared" si="14"/>
        <v>0</v>
      </c>
      <c r="AF20" s="517">
        <f t="shared" si="14"/>
        <v>0</v>
      </c>
      <c r="AG20" s="517">
        <f t="shared" si="14"/>
        <v>0</v>
      </c>
      <c r="AH20" s="517">
        <f t="shared" si="14"/>
        <v>0</v>
      </c>
      <c r="AI20" s="517">
        <f t="shared" si="14"/>
        <v>0</v>
      </c>
      <c r="AJ20" s="517">
        <f t="shared" si="14"/>
        <v>0</v>
      </c>
      <c r="AK20" s="517">
        <f t="shared" si="14"/>
        <v>0</v>
      </c>
      <c r="AL20" s="517">
        <f t="shared" si="14"/>
        <v>0</v>
      </c>
      <c r="AM20" s="517">
        <f t="shared" si="14"/>
        <v>0</v>
      </c>
      <c r="AN20" s="517">
        <f t="shared" si="14"/>
        <v>0</v>
      </c>
      <c r="AO20" s="517">
        <f t="shared" si="14"/>
        <v>0</v>
      </c>
      <c r="AP20" s="517">
        <f t="shared" si="14"/>
        <v>0</v>
      </c>
      <c r="AQ20" s="517">
        <f t="shared" si="14"/>
        <v>0</v>
      </c>
      <c r="AR20" s="517">
        <f t="shared" si="14"/>
        <v>0</v>
      </c>
      <c r="AS20" s="518">
        <f t="shared" si="1"/>
        <v>0</v>
      </c>
    </row>
    <row r="21" spans="1:45" ht="11.1" customHeight="1" thickBot="1" x14ac:dyDescent="0.25">
      <c r="A21" s="775"/>
      <c r="B21" s="503" t="s">
        <v>82</v>
      </c>
      <c r="C21" s="529"/>
      <c r="D21" s="530"/>
      <c r="E21" s="531"/>
      <c r="F21" s="531"/>
      <c r="G21" s="532"/>
      <c r="H21" s="533"/>
      <c r="I21" s="534"/>
      <c r="J21" s="535"/>
      <c r="K21" s="536"/>
      <c r="L21" s="537"/>
      <c r="M21" s="538"/>
      <c r="N21" s="535"/>
      <c r="O21" s="535"/>
      <c r="P21" s="538"/>
      <c r="Q21" s="539"/>
      <c r="R21" s="540"/>
      <c r="S21" s="541"/>
      <c r="T21" s="517">
        <f>T19-T20</f>
        <v>0</v>
      </c>
      <c r="U21" s="517">
        <f t="shared" ref="U21:AR21" si="15">U19-U20</f>
        <v>0</v>
      </c>
      <c r="V21" s="517">
        <f t="shared" si="15"/>
        <v>0</v>
      </c>
      <c r="W21" s="517">
        <f t="shared" si="15"/>
        <v>0</v>
      </c>
      <c r="X21" s="517">
        <f t="shared" si="15"/>
        <v>0</v>
      </c>
      <c r="Y21" s="517">
        <f t="shared" si="15"/>
        <v>0</v>
      </c>
      <c r="Z21" s="517">
        <f t="shared" si="15"/>
        <v>0</v>
      </c>
      <c r="AA21" s="517">
        <f t="shared" si="15"/>
        <v>0</v>
      </c>
      <c r="AB21" s="517">
        <f t="shared" si="15"/>
        <v>0</v>
      </c>
      <c r="AC21" s="517">
        <f t="shared" si="15"/>
        <v>0</v>
      </c>
      <c r="AD21" s="517">
        <f t="shared" si="15"/>
        <v>0</v>
      </c>
      <c r="AE21" s="517">
        <f t="shared" si="15"/>
        <v>0</v>
      </c>
      <c r="AF21" s="517">
        <f t="shared" si="15"/>
        <v>0</v>
      </c>
      <c r="AG21" s="517">
        <f t="shared" si="15"/>
        <v>0</v>
      </c>
      <c r="AH21" s="517">
        <f t="shared" si="15"/>
        <v>0</v>
      </c>
      <c r="AI21" s="517">
        <f t="shared" si="15"/>
        <v>0</v>
      </c>
      <c r="AJ21" s="517">
        <f t="shared" si="15"/>
        <v>0</v>
      </c>
      <c r="AK21" s="517">
        <f t="shared" si="15"/>
        <v>0</v>
      </c>
      <c r="AL21" s="517">
        <f t="shared" si="15"/>
        <v>0</v>
      </c>
      <c r="AM21" s="517">
        <f t="shared" si="15"/>
        <v>0</v>
      </c>
      <c r="AN21" s="517">
        <f t="shared" si="15"/>
        <v>0</v>
      </c>
      <c r="AO21" s="517">
        <f t="shared" si="15"/>
        <v>0</v>
      </c>
      <c r="AP21" s="517">
        <f t="shared" si="15"/>
        <v>0</v>
      </c>
      <c r="AQ21" s="517">
        <f t="shared" si="15"/>
        <v>0</v>
      </c>
      <c r="AR21" s="517">
        <f t="shared" si="15"/>
        <v>0</v>
      </c>
      <c r="AS21" s="518">
        <f t="shared" si="1"/>
        <v>0</v>
      </c>
    </row>
    <row r="22" spans="1:45" ht="15.95" customHeight="1" thickBot="1" x14ac:dyDescent="0.25">
      <c r="A22" s="775">
        <f>'Option B'!A12</f>
        <v>6</v>
      </c>
      <c r="B22" s="503" t="s">
        <v>80</v>
      </c>
      <c r="C22" s="504">
        <f>IF('Option B'!$B12="x",'Option B'!C12,0)</f>
        <v>0</v>
      </c>
      <c r="D22" s="504">
        <f>IF('Option B'!$B12="x",'Option B'!D12,0)</f>
        <v>0</v>
      </c>
      <c r="E22" s="544"/>
      <c r="F22" s="542">
        <f>IF('Option B'!$B12="x",'Option B'!J12,0)</f>
        <v>0</v>
      </c>
      <c r="G22" s="542">
        <f>IF('Option B'!$B12="x",'Option B'!K12,0)</f>
        <v>0</v>
      </c>
      <c r="H22" s="542">
        <f>IF('Option B'!$B12="x",'Option B'!L12,0)</f>
        <v>0</v>
      </c>
      <c r="I22" s="543">
        <f>IF('Option B'!$B12="x",'Option B'!M12,0)</f>
        <v>0</v>
      </c>
      <c r="J22" s="508"/>
      <c r="K22" s="509">
        <f>J22*(1+$K$5)</f>
        <v>0</v>
      </c>
      <c r="L22" s="510"/>
      <c r="M22" s="511">
        <f>'ECM Options Lifecycle'!N27</f>
        <v>0</v>
      </c>
      <c r="N22" s="512">
        <f>IF(D22=0,0,(VLOOKUP(D22,'Technology Inputs'!$D$44:$E$172,2,FALSE)))</f>
        <v>0</v>
      </c>
      <c r="O22" s="513"/>
      <c r="P22" s="512">
        <f>IF(D22=0,0,(ROUNDUP(VLOOKUP(D22,'Technology Inputs'!$D$44:$E$172,2,FALSE),0)))</f>
        <v>0</v>
      </c>
      <c r="Q22" s="514">
        <v>1</v>
      </c>
      <c r="R22" s="515"/>
      <c r="S22" s="516">
        <f>I22*Q22</f>
        <v>0</v>
      </c>
      <c r="T22" s="517">
        <f t="shared" ref="T22:AR22" si="16">IF(T$4&lt;$M22,0,IF($P22=0,0,IF(T$4=$M22,$S22,IF((T$4-$M22)/$P22=INT((T$4-$M22)/$P22),$S22,0))))-IF(T$4=$M22, $S22, 0)</f>
        <v>0</v>
      </c>
      <c r="U22" s="517">
        <f t="shared" si="16"/>
        <v>0</v>
      </c>
      <c r="V22" s="517">
        <f t="shared" si="16"/>
        <v>0</v>
      </c>
      <c r="W22" s="517">
        <f t="shared" si="16"/>
        <v>0</v>
      </c>
      <c r="X22" s="517">
        <f t="shared" si="16"/>
        <v>0</v>
      </c>
      <c r="Y22" s="517">
        <f t="shared" si="16"/>
        <v>0</v>
      </c>
      <c r="Z22" s="517">
        <f t="shared" si="16"/>
        <v>0</v>
      </c>
      <c r="AA22" s="517">
        <f t="shared" si="16"/>
        <v>0</v>
      </c>
      <c r="AB22" s="517">
        <f t="shared" si="16"/>
        <v>0</v>
      </c>
      <c r="AC22" s="517">
        <f t="shared" si="16"/>
        <v>0</v>
      </c>
      <c r="AD22" s="517">
        <f t="shared" si="16"/>
        <v>0</v>
      </c>
      <c r="AE22" s="517">
        <f t="shared" si="16"/>
        <v>0</v>
      </c>
      <c r="AF22" s="517">
        <f t="shared" si="16"/>
        <v>0</v>
      </c>
      <c r="AG22" s="517">
        <f t="shared" si="16"/>
        <v>0</v>
      </c>
      <c r="AH22" s="517">
        <f t="shared" si="16"/>
        <v>0</v>
      </c>
      <c r="AI22" s="517">
        <f t="shared" si="16"/>
        <v>0</v>
      </c>
      <c r="AJ22" s="517">
        <f t="shared" si="16"/>
        <v>0</v>
      </c>
      <c r="AK22" s="517">
        <f t="shared" si="16"/>
        <v>0</v>
      </c>
      <c r="AL22" s="517">
        <f t="shared" si="16"/>
        <v>0</v>
      </c>
      <c r="AM22" s="517">
        <f t="shared" si="16"/>
        <v>0</v>
      </c>
      <c r="AN22" s="517">
        <f t="shared" si="16"/>
        <v>0</v>
      </c>
      <c r="AO22" s="517">
        <f t="shared" si="16"/>
        <v>0</v>
      </c>
      <c r="AP22" s="517">
        <f t="shared" si="16"/>
        <v>0</v>
      </c>
      <c r="AQ22" s="517">
        <f t="shared" si="16"/>
        <v>0</v>
      </c>
      <c r="AR22" s="517">
        <f t="shared" si="16"/>
        <v>0</v>
      </c>
      <c r="AS22" s="518">
        <f t="shared" si="1"/>
        <v>0</v>
      </c>
    </row>
    <row r="23" spans="1:45" ht="14.45" customHeight="1" x14ac:dyDescent="0.2">
      <c r="A23" s="775"/>
      <c r="B23" s="503" t="s">
        <v>81</v>
      </c>
      <c r="C23" s="503" t="b">
        <f>IF('Option B'!$B12="x",IF('Option B'!$E12="Yes", 'Option B'!G12),0)</f>
        <v>0</v>
      </c>
      <c r="D23" s="503" t="b">
        <f>IF('Option B'!$B12="x",IF('Option B'!$E12="Yes", 'Option B'!H12),0)</f>
        <v>0</v>
      </c>
      <c r="E23" s="519">
        <f>IF('Option B'!$B12="x",'ECM Options Lifecycle'!F28,0)</f>
        <v>0</v>
      </c>
      <c r="F23" s="519">
        <f>IF('Option B'!$B12="x",'ECM Options Lifecycle'!G28,0)</f>
        <v>0</v>
      </c>
      <c r="G23" s="520">
        <f>IF('Option B'!$B12="x",'ECM Options Lifecycle'!H28,0)</f>
        <v>0</v>
      </c>
      <c r="H23" s="521">
        <f>IF('Option B'!$B12="x",'ECM Options Lifecycle'!I28,0)</f>
        <v>0</v>
      </c>
      <c r="I23" s="522">
        <f>F23*H23</f>
        <v>0</v>
      </c>
      <c r="J23" s="523"/>
      <c r="K23" s="524"/>
      <c r="L23" s="525"/>
      <c r="M23" s="511">
        <f>'ECM Options Lifecycle'!N28</f>
        <v>0</v>
      </c>
      <c r="N23" s="526">
        <f>'Option B'!I12</f>
        <v>0</v>
      </c>
      <c r="O23" s="523"/>
      <c r="P23" s="526">
        <f>ROUNDUP(N23, 0)</f>
        <v>0</v>
      </c>
      <c r="Q23" s="527">
        <v>1</v>
      </c>
      <c r="R23" s="528"/>
      <c r="S23" s="516">
        <f>I23*Q23</f>
        <v>0</v>
      </c>
      <c r="T23" s="517">
        <f t="shared" ref="T23:AR23" si="17">IF(T$4&lt;$M23,0,IF($P23=0,0,IF(T$4=$M23,$S23,IF((T$4-$M23)/$P23=INT((T$4-$M23)/$P23),$S23,0))))</f>
        <v>0</v>
      </c>
      <c r="U23" s="517">
        <f t="shared" si="17"/>
        <v>0</v>
      </c>
      <c r="V23" s="517">
        <f t="shared" si="17"/>
        <v>0</v>
      </c>
      <c r="W23" s="517">
        <f t="shared" si="17"/>
        <v>0</v>
      </c>
      <c r="X23" s="517">
        <f t="shared" si="17"/>
        <v>0</v>
      </c>
      <c r="Y23" s="517">
        <f t="shared" si="17"/>
        <v>0</v>
      </c>
      <c r="Z23" s="517">
        <f t="shared" si="17"/>
        <v>0</v>
      </c>
      <c r="AA23" s="517">
        <f t="shared" si="17"/>
        <v>0</v>
      </c>
      <c r="AB23" s="517">
        <f t="shared" si="17"/>
        <v>0</v>
      </c>
      <c r="AC23" s="517">
        <f t="shared" si="17"/>
        <v>0</v>
      </c>
      <c r="AD23" s="517">
        <f t="shared" si="17"/>
        <v>0</v>
      </c>
      <c r="AE23" s="517">
        <f t="shared" si="17"/>
        <v>0</v>
      </c>
      <c r="AF23" s="517">
        <f t="shared" si="17"/>
        <v>0</v>
      </c>
      <c r="AG23" s="517">
        <f t="shared" si="17"/>
        <v>0</v>
      </c>
      <c r="AH23" s="517">
        <f t="shared" si="17"/>
        <v>0</v>
      </c>
      <c r="AI23" s="517">
        <f t="shared" si="17"/>
        <v>0</v>
      </c>
      <c r="AJ23" s="517">
        <f t="shared" si="17"/>
        <v>0</v>
      </c>
      <c r="AK23" s="517">
        <f t="shared" si="17"/>
        <v>0</v>
      </c>
      <c r="AL23" s="517">
        <f t="shared" si="17"/>
        <v>0</v>
      </c>
      <c r="AM23" s="517">
        <f t="shared" si="17"/>
        <v>0</v>
      </c>
      <c r="AN23" s="517">
        <f t="shared" si="17"/>
        <v>0</v>
      </c>
      <c r="AO23" s="517">
        <f t="shared" si="17"/>
        <v>0</v>
      </c>
      <c r="AP23" s="517">
        <f t="shared" si="17"/>
        <v>0</v>
      </c>
      <c r="AQ23" s="517">
        <f t="shared" si="17"/>
        <v>0</v>
      </c>
      <c r="AR23" s="517">
        <f t="shared" si="17"/>
        <v>0</v>
      </c>
      <c r="AS23" s="518">
        <f t="shared" si="1"/>
        <v>0</v>
      </c>
    </row>
    <row r="24" spans="1:45" ht="11.1" customHeight="1" thickBot="1" x14ac:dyDescent="0.25">
      <c r="A24" s="775"/>
      <c r="B24" s="503" t="s">
        <v>82</v>
      </c>
      <c r="C24" s="529"/>
      <c r="D24" s="530"/>
      <c r="E24" s="531"/>
      <c r="F24" s="531"/>
      <c r="G24" s="532"/>
      <c r="H24" s="533"/>
      <c r="I24" s="534"/>
      <c r="J24" s="535"/>
      <c r="K24" s="536"/>
      <c r="L24" s="537"/>
      <c r="M24" s="538"/>
      <c r="N24" s="535"/>
      <c r="O24" s="535"/>
      <c r="P24" s="538"/>
      <c r="Q24" s="539"/>
      <c r="R24" s="540"/>
      <c r="S24" s="541"/>
      <c r="T24" s="517">
        <f>T22-T23</f>
        <v>0</v>
      </c>
      <c r="U24" s="517">
        <f t="shared" ref="U24:AR24" si="18">U22-U23</f>
        <v>0</v>
      </c>
      <c r="V24" s="517">
        <f t="shared" si="18"/>
        <v>0</v>
      </c>
      <c r="W24" s="517">
        <f t="shared" si="18"/>
        <v>0</v>
      </c>
      <c r="X24" s="517">
        <f t="shared" si="18"/>
        <v>0</v>
      </c>
      <c r="Y24" s="517">
        <f t="shared" si="18"/>
        <v>0</v>
      </c>
      <c r="Z24" s="517">
        <f t="shared" si="18"/>
        <v>0</v>
      </c>
      <c r="AA24" s="517">
        <f t="shared" si="18"/>
        <v>0</v>
      </c>
      <c r="AB24" s="517">
        <f t="shared" si="18"/>
        <v>0</v>
      </c>
      <c r="AC24" s="517">
        <f t="shared" si="18"/>
        <v>0</v>
      </c>
      <c r="AD24" s="517">
        <f t="shared" si="18"/>
        <v>0</v>
      </c>
      <c r="AE24" s="517">
        <f t="shared" si="18"/>
        <v>0</v>
      </c>
      <c r="AF24" s="517">
        <f t="shared" si="18"/>
        <v>0</v>
      </c>
      <c r="AG24" s="517">
        <f t="shared" si="18"/>
        <v>0</v>
      </c>
      <c r="AH24" s="517">
        <f t="shared" si="18"/>
        <v>0</v>
      </c>
      <c r="AI24" s="517">
        <f t="shared" si="18"/>
        <v>0</v>
      </c>
      <c r="AJ24" s="517">
        <f t="shared" si="18"/>
        <v>0</v>
      </c>
      <c r="AK24" s="517">
        <f t="shared" si="18"/>
        <v>0</v>
      </c>
      <c r="AL24" s="517">
        <f t="shared" si="18"/>
        <v>0</v>
      </c>
      <c r="AM24" s="517">
        <f t="shared" si="18"/>
        <v>0</v>
      </c>
      <c r="AN24" s="517">
        <f t="shared" si="18"/>
        <v>0</v>
      </c>
      <c r="AO24" s="517">
        <f t="shared" si="18"/>
        <v>0</v>
      </c>
      <c r="AP24" s="517">
        <f t="shared" si="18"/>
        <v>0</v>
      </c>
      <c r="AQ24" s="517">
        <f t="shared" si="18"/>
        <v>0</v>
      </c>
      <c r="AR24" s="517">
        <f t="shared" si="18"/>
        <v>0</v>
      </c>
      <c r="AS24" s="518">
        <f t="shared" si="1"/>
        <v>0</v>
      </c>
    </row>
    <row r="25" spans="1:45" ht="15.95" customHeight="1" thickBot="1" x14ac:dyDescent="0.25">
      <c r="A25" s="775">
        <f>'Option B'!A13</f>
        <v>7</v>
      </c>
      <c r="B25" s="503" t="s">
        <v>80</v>
      </c>
      <c r="C25" s="504">
        <f>IF('Option B'!$B13="x",'Option B'!C13,0)</f>
        <v>0</v>
      </c>
      <c r="D25" s="504">
        <f>IF('Option B'!$B13="x",'Option B'!D13,0)</f>
        <v>0</v>
      </c>
      <c r="E25" s="544"/>
      <c r="F25" s="542">
        <f>IF('Option B'!$B13="x",'Option B'!J13,0)</f>
        <v>0</v>
      </c>
      <c r="G25" s="542">
        <f>IF('Option B'!$B13="x",'Option B'!K13,0)</f>
        <v>0</v>
      </c>
      <c r="H25" s="542">
        <f>IF('Option B'!$B13="x",'Option B'!L13,0)</f>
        <v>0</v>
      </c>
      <c r="I25" s="543">
        <f>IF('Option B'!$B13="x",'Option B'!M13,0)</f>
        <v>0</v>
      </c>
      <c r="J25" s="508"/>
      <c r="K25" s="509">
        <f>J25*(1+$K$5)</f>
        <v>0</v>
      </c>
      <c r="L25" s="510"/>
      <c r="M25" s="511">
        <f>'ECM Options Lifecycle'!N30</f>
        <v>0</v>
      </c>
      <c r="N25" s="512">
        <f>IF(D25=0,0,(VLOOKUP(D25,'Technology Inputs'!$D$44:$E$172,2,FALSE)))</f>
        <v>0</v>
      </c>
      <c r="O25" s="513"/>
      <c r="P25" s="512">
        <f>IF(D25=0,0,(ROUNDUP(VLOOKUP(D25,'Technology Inputs'!$D$44:$E$172,2,FALSE),0)))</f>
        <v>0</v>
      </c>
      <c r="Q25" s="514">
        <v>1</v>
      </c>
      <c r="R25" s="515"/>
      <c r="S25" s="516">
        <f>I25*Q25</f>
        <v>0</v>
      </c>
      <c r="T25" s="517">
        <f t="shared" ref="T25:AR25" si="19">IF(T$4&lt;$M25,0,IF($P25=0,0,IF(T$4=$M25,$S25,IF((T$4-$M25)/$P25=INT((T$4-$M25)/$P25),$S25,0))))-IF(T$4=$M25, $S25, 0)</f>
        <v>0</v>
      </c>
      <c r="U25" s="517">
        <f t="shared" si="19"/>
        <v>0</v>
      </c>
      <c r="V25" s="517">
        <f t="shared" si="19"/>
        <v>0</v>
      </c>
      <c r="W25" s="517">
        <f t="shared" si="19"/>
        <v>0</v>
      </c>
      <c r="X25" s="517">
        <f t="shared" si="19"/>
        <v>0</v>
      </c>
      <c r="Y25" s="517">
        <f t="shared" si="19"/>
        <v>0</v>
      </c>
      <c r="Z25" s="517">
        <f t="shared" si="19"/>
        <v>0</v>
      </c>
      <c r="AA25" s="517">
        <f t="shared" si="19"/>
        <v>0</v>
      </c>
      <c r="AB25" s="517">
        <f t="shared" si="19"/>
        <v>0</v>
      </c>
      <c r="AC25" s="517">
        <f t="shared" si="19"/>
        <v>0</v>
      </c>
      <c r="AD25" s="517">
        <f t="shared" si="19"/>
        <v>0</v>
      </c>
      <c r="AE25" s="517">
        <f t="shared" si="19"/>
        <v>0</v>
      </c>
      <c r="AF25" s="517">
        <f t="shared" si="19"/>
        <v>0</v>
      </c>
      <c r="AG25" s="517">
        <f t="shared" si="19"/>
        <v>0</v>
      </c>
      <c r="AH25" s="517">
        <f t="shared" si="19"/>
        <v>0</v>
      </c>
      <c r="AI25" s="517">
        <f t="shared" si="19"/>
        <v>0</v>
      </c>
      <c r="AJ25" s="517">
        <f t="shared" si="19"/>
        <v>0</v>
      </c>
      <c r="AK25" s="517">
        <f t="shared" si="19"/>
        <v>0</v>
      </c>
      <c r="AL25" s="517">
        <f t="shared" si="19"/>
        <v>0</v>
      </c>
      <c r="AM25" s="517">
        <f t="shared" si="19"/>
        <v>0</v>
      </c>
      <c r="AN25" s="517">
        <f t="shared" si="19"/>
        <v>0</v>
      </c>
      <c r="AO25" s="517">
        <f t="shared" si="19"/>
        <v>0</v>
      </c>
      <c r="AP25" s="517">
        <f t="shared" si="19"/>
        <v>0</v>
      </c>
      <c r="AQ25" s="517">
        <f t="shared" si="19"/>
        <v>0</v>
      </c>
      <c r="AR25" s="517">
        <f t="shared" si="19"/>
        <v>0</v>
      </c>
      <c r="AS25" s="518">
        <f t="shared" si="1"/>
        <v>0</v>
      </c>
    </row>
    <row r="26" spans="1:45" ht="14.45" customHeight="1" x14ac:dyDescent="0.2">
      <c r="A26" s="775"/>
      <c r="B26" s="503" t="s">
        <v>81</v>
      </c>
      <c r="C26" s="503" t="b">
        <f>IF('Option B'!$B13="x",IF('Option B'!$E13="Yes", 'Option B'!G13),0)</f>
        <v>0</v>
      </c>
      <c r="D26" s="503" t="b">
        <f>IF('Option B'!$B13="x",IF('Option B'!$E13="Yes", 'Option B'!H13),0)</f>
        <v>0</v>
      </c>
      <c r="E26" s="519">
        <f>IF('Option B'!$B13="x",'ECM Options Lifecycle'!F31,0)</f>
        <v>0</v>
      </c>
      <c r="F26" s="519">
        <f>IF('Option B'!$B13="x",'ECM Options Lifecycle'!G31,0)</f>
        <v>0</v>
      </c>
      <c r="G26" s="520" t="str">
        <f>IF('Option B'!$B13="x",'ECM Options Lifecycle'!H31,0)</f>
        <v xml:space="preserve"> </v>
      </c>
      <c r="H26" s="521">
        <f>IF('Option B'!$B13="x",'ECM Options Lifecycle'!I31,0)</f>
        <v>0</v>
      </c>
      <c r="I26" s="522">
        <f>F26*H26</f>
        <v>0</v>
      </c>
      <c r="J26" s="523"/>
      <c r="K26" s="524"/>
      <c r="L26" s="525"/>
      <c r="M26" s="511">
        <f>'ECM Options Lifecycle'!N31</f>
        <v>0</v>
      </c>
      <c r="N26" s="526">
        <f>'Option B'!I12</f>
        <v>0</v>
      </c>
      <c r="O26" s="523"/>
      <c r="P26" s="526">
        <f>ROUNDUP(N26, 0)</f>
        <v>0</v>
      </c>
      <c r="Q26" s="527">
        <v>1</v>
      </c>
      <c r="R26" s="528"/>
      <c r="S26" s="516">
        <f>I26*Q26</f>
        <v>0</v>
      </c>
      <c r="T26" s="517">
        <f t="shared" ref="T26:AR26" si="20">IF(T$4&lt;$M26,0,IF($P26=0,0,IF(T$4=$M26,$S26,IF((T$4-$M26)/$P26=INT((T$4-$M26)/$P26),$S26,0))))</f>
        <v>0</v>
      </c>
      <c r="U26" s="517">
        <f t="shared" si="20"/>
        <v>0</v>
      </c>
      <c r="V26" s="517">
        <f t="shared" si="20"/>
        <v>0</v>
      </c>
      <c r="W26" s="517">
        <f t="shared" si="20"/>
        <v>0</v>
      </c>
      <c r="X26" s="517">
        <f t="shared" si="20"/>
        <v>0</v>
      </c>
      <c r="Y26" s="517">
        <f t="shared" si="20"/>
        <v>0</v>
      </c>
      <c r="Z26" s="517">
        <f t="shared" si="20"/>
        <v>0</v>
      </c>
      <c r="AA26" s="517">
        <f t="shared" si="20"/>
        <v>0</v>
      </c>
      <c r="AB26" s="517">
        <f t="shared" si="20"/>
        <v>0</v>
      </c>
      <c r="AC26" s="517">
        <f t="shared" si="20"/>
        <v>0</v>
      </c>
      <c r="AD26" s="517">
        <f t="shared" si="20"/>
        <v>0</v>
      </c>
      <c r="AE26" s="517">
        <f t="shared" si="20"/>
        <v>0</v>
      </c>
      <c r="AF26" s="517">
        <f t="shared" si="20"/>
        <v>0</v>
      </c>
      <c r="AG26" s="517">
        <f t="shared" si="20"/>
        <v>0</v>
      </c>
      <c r="AH26" s="517">
        <f t="shared" si="20"/>
        <v>0</v>
      </c>
      <c r="AI26" s="517">
        <f t="shared" si="20"/>
        <v>0</v>
      </c>
      <c r="AJ26" s="517">
        <f t="shared" si="20"/>
        <v>0</v>
      </c>
      <c r="AK26" s="517">
        <f t="shared" si="20"/>
        <v>0</v>
      </c>
      <c r="AL26" s="517">
        <f t="shared" si="20"/>
        <v>0</v>
      </c>
      <c r="AM26" s="517">
        <f t="shared" si="20"/>
        <v>0</v>
      </c>
      <c r="AN26" s="517">
        <f t="shared" si="20"/>
        <v>0</v>
      </c>
      <c r="AO26" s="517">
        <f t="shared" si="20"/>
        <v>0</v>
      </c>
      <c r="AP26" s="517">
        <f t="shared" si="20"/>
        <v>0</v>
      </c>
      <c r="AQ26" s="517">
        <f t="shared" si="20"/>
        <v>0</v>
      </c>
      <c r="AR26" s="517">
        <f t="shared" si="20"/>
        <v>0</v>
      </c>
      <c r="AS26" s="518">
        <f t="shared" si="1"/>
        <v>0</v>
      </c>
    </row>
    <row r="27" spans="1:45" ht="11.1" customHeight="1" thickBot="1" x14ac:dyDescent="0.25">
      <c r="A27" s="775"/>
      <c r="B27" s="503" t="s">
        <v>82</v>
      </c>
      <c r="C27" s="529"/>
      <c r="D27" s="530"/>
      <c r="E27" s="531"/>
      <c r="F27" s="531"/>
      <c r="G27" s="532"/>
      <c r="H27" s="533"/>
      <c r="I27" s="534"/>
      <c r="J27" s="535"/>
      <c r="K27" s="536"/>
      <c r="L27" s="537"/>
      <c r="M27" s="538"/>
      <c r="N27" s="535"/>
      <c r="O27" s="535"/>
      <c r="P27" s="538"/>
      <c r="Q27" s="539"/>
      <c r="R27" s="540"/>
      <c r="S27" s="541"/>
      <c r="T27" s="517">
        <f>T25-T26</f>
        <v>0</v>
      </c>
      <c r="U27" s="517">
        <f t="shared" ref="U27:AR27" si="21">U25-U26</f>
        <v>0</v>
      </c>
      <c r="V27" s="517">
        <f t="shared" si="21"/>
        <v>0</v>
      </c>
      <c r="W27" s="517">
        <f t="shared" si="21"/>
        <v>0</v>
      </c>
      <c r="X27" s="517">
        <f t="shared" si="21"/>
        <v>0</v>
      </c>
      <c r="Y27" s="517">
        <f t="shared" si="21"/>
        <v>0</v>
      </c>
      <c r="Z27" s="517">
        <f t="shared" si="21"/>
        <v>0</v>
      </c>
      <c r="AA27" s="517">
        <f t="shared" si="21"/>
        <v>0</v>
      </c>
      <c r="AB27" s="517">
        <f t="shared" si="21"/>
        <v>0</v>
      </c>
      <c r="AC27" s="517">
        <f t="shared" si="21"/>
        <v>0</v>
      </c>
      <c r="AD27" s="517">
        <f t="shared" si="21"/>
        <v>0</v>
      </c>
      <c r="AE27" s="517">
        <f t="shared" si="21"/>
        <v>0</v>
      </c>
      <c r="AF27" s="517">
        <f t="shared" si="21"/>
        <v>0</v>
      </c>
      <c r="AG27" s="517">
        <f t="shared" si="21"/>
        <v>0</v>
      </c>
      <c r="AH27" s="517">
        <f t="shared" si="21"/>
        <v>0</v>
      </c>
      <c r="AI27" s="517">
        <f t="shared" si="21"/>
        <v>0</v>
      </c>
      <c r="AJ27" s="517">
        <f t="shared" si="21"/>
        <v>0</v>
      </c>
      <c r="AK27" s="517">
        <f t="shared" si="21"/>
        <v>0</v>
      </c>
      <c r="AL27" s="517">
        <f t="shared" si="21"/>
        <v>0</v>
      </c>
      <c r="AM27" s="517">
        <f t="shared" si="21"/>
        <v>0</v>
      </c>
      <c r="AN27" s="517">
        <f t="shared" si="21"/>
        <v>0</v>
      </c>
      <c r="AO27" s="517">
        <f t="shared" si="21"/>
        <v>0</v>
      </c>
      <c r="AP27" s="517">
        <f t="shared" si="21"/>
        <v>0</v>
      </c>
      <c r="AQ27" s="517">
        <f t="shared" si="21"/>
        <v>0</v>
      </c>
      <c r="AR27" s="517">
        <f t="shared" si="21"/>
        <v>0</v>
      </c>
      <c r="AS27" s="518">
        <f t="shared" si="1"/>
        <v>0</v>
      </c>
    </row>
    <row r="28" spans="1:45" ht="15.95" customHeight="1" thickBot="1" x14ac:dyDescent="0.25">
      <c r="A28" s="775">
        <f>'Option B'!A14</f>
        <v>8</v>
      </c>
      <c r="B28" s="503" t="s">
        <v>80</v>
      </c>
      <c r="C28" s="504">
        <f>IF('Option B'!$B14="x",'Option B'!C14,0)</f>
        <v>0</v>
      </c>
      <c r="D28" s="504">
        <f>IF('Option B'!$B14="x",'Option B'!D14,0)</f>
        <v>0</v>
      </c>
      <c r="E28" s="544"/>
      <c r="F28" s="542">
        <f>IF('Option B'!$B14="x",'Option B'!J14,0)</f>
        <v>0</v>
      </c>
      <c r="G28" s="542">
        <f>IF('Option B'!$B14="x",'Option B'!K14,0)</f>
        <v>0</v>
      </c>
      <c r="H28" s="542">
        <f>IF('Option B'!$B14="x",'Option B'!L14,0)</f>
        <v>0</v>
      </c>
      <c r="I28" s="543">
        <f>IF('Option B'!$B14="x",'Option B'!M14,0)</f>
        <v>0</v>
      </c>
      <c r="J28" s="508"/>
      <c r="K28" s="509">
        <f>J28*(1+$K$5)</f>
        <v>0</v>
      </c>
      <c r="L28" s="510"/>
      <c r="M28" s="511">
        <f>'ECM Options Lifecycle'!N33</f>
        <v>0</v>
      </c>
      <c r="N28" s="512">
        <f>IF(D28=0,0,(VLOOKUP(D28,'Technology Inputs'!$D$44:$E$172,2,FALSE)))</f>
        <v>0</v>
      </c>
      <c r="O28" s="513"/>
      <c r="P28" s="512">
        <f>IF(D28=0,0,(ROUNDUP(VLOOKUP(D28,'Technology Inputs'!$D$44:$E$172,2,FALSE),0)))</f>
        <v>0</v>
      </c>
      <c r="Q28" s="514">
        <v>1</v>
      </c>
      <c r="R28" s="515"/>
      <c r="S28" s="516">
        <f>I28*Q28</f>
        <v>0</v>
      </c>
      <c r="T28" s="517">
        <f t="shared" ref="T28:AR28" si="22">IF(T$4&lt;$M28,0,IF($P28=0,0,IF(T$4=$M28,$S28,IF((T$4-$M28)/$P28=INT((T$4-$M28)/$P28),$S28,0))))-IF(T$4=$M28, $S28, 0)</f>
        <v>0</v>
      </c>
      <c r="U28" s="517">
        <f t="shared" si="22"/>
        <v>0</v>
      </c>
      <c r="V28" s="517">
        <f t="shared" si="22"/>
        <v>0</v>
      </c>
      <c r="W28" s="517">
        <f t="shared" si="22"/>
        <v>0</v>
      </c>
      <c r="X28" s="517">
        <f t="shared" si="22"/>
        <v>0</v>
      </c>
      <c r="Y28" s="517">
        <f t="shared" si="22"/>
        <v>0</v>
      </c>
      <c r="Z28" s="517">
        <f t="shared" si="22"/>
        <v>0</v>
      </c>
      <c r="AA28" s="517">
        <f t="shared" si="22"/>
        <v>0</v>
      </c>
      <c r="AB28" s="517">
        <f t="shared" si="22"/>
        <v>0</v>
      </c>
      <c r="AC28" s="517">
        <f t="shared" si="22"/>
        <v>0</v>
      </c>
      <c r="AD28" s="517">
        <f t="shared" si="22"/>
        <v>0</v>
      </c>
      <c r="AE28" s="517">
        <f t="shared" si="22"/>
        <v>0</v>
      </c>
      <c r="AF28" s="517">
        <f t="shared" si="22"/>
        <v>0</v>
      </c>
      <c r="AG28" s="517">
        <f t="shared" si="22"/>
        <v>0</v>
      </c>
      <c r="AH28" s="517">
        <f t="shared" si="22"/>
        <v>0</v>
      </c>
      <c r="AI28" s="517">
        <f t="shared" si="22"/>
        <v>0</v>
      </c>
      <c r="AJ28" s="517">
        <f t="shared" si="22"/>
        <v>0</v>
      </c>
      <c r="AK28" s="517">
        <f t="shared" si="22"/>
        <v>0</v>
      </c>
      <c r="AL28" s="517">
        <f t="shared" si="22"/>
        <v>0</v>
      </c>
      <c r="AM28" s="517">
        <f t="shared" si="22"/>
        <v>0</v>
      </c>
      <c r="AN28" s="517">
        <f t="shared" si="22"/>
        <v>0</v>
      </c>
      <c r="AO28" s="517">
        <f t="shared" si="22"/>
        <v>0</v>
      </c>
      <c r="AP28" s="517">
        <f t="shared" si="22"/>
        <v>0</v>
      </c>
      <c r="AQ28" s="517">
        <f t="shared" si="22"/>
        <v>0</v>
      </c>
      <c r="AR28" s="517">
        <f t="shared" si="22"/>
        <v>0</v>
      </c>
      <c r="AS28" s="518">
        <f t="shared" si="1"/>
        <v>0</v>
      </c>
    </row>
    <row r="29" spans="1:45" ht="14.45" customHeight="1" x14ac:dyDescent="0.2">
      <c r="A29" s="775"/>
      <c r="B29" s="503" t="s">
        <v>81</v>
      </c>
      <c r="C29" s="503" t="b">
        <f>IF('Option B'!$B14="x",IF('Option B'!$E14="Yes", 'Option B'!G14),0)</f>
        <v>0</v>
      </c>
      <c r="D29" s="503" t="b">
        <f>IF('Option B'!$B14="x",IF('Option B'!$E14="Yes", 'Option B'!H14),0)</f>
        <v>0</v>
      </c>
      <c r="E29" s="519">
        <f>IF('Option B'!$B14="x",'ECM Options Lifecycle'!F34,0)</f>
        <v>0</v>
      </c>
      <c r="F29" s="519">
        <f>IF('Option B'!$B14="x",'ECM Options Lifecycle'!G34,0)</f>
        <v>0</v>
      </c>
      <c r="G29" s="520">
        <f>IF('Option B'!$B14="x",'ECM Options Lifecycle'!H34,0)</f>
        <v>0</v>
      </c>
      <c r="H29" s="521">
        <f>IF('Option B'!$B14="x",'ECM Options Lifecycle'!I34,0)</f>
        <v>0</v>
      </c>
      <c r="I29" s="522">
        <f>F29*H29</f>
        <v>0</v>
      </c>
      <c r="J29" s="523"/>
      <c r="K29" s="524"/>
      <c r="L29" s="525"/>
      <c r="M29" s="511">
        <f>'ECM Options Lifecycle'!N34</f>
        <v>0</v>
      </c>
      <c r="N29" s="526">
        <f>'Option B'!I13</f>
        <v>0</v>
      </c>
      <c r="O29" s="523"/>
      <c r="P29" s="526">
        <f>ROUNDUP(N29, 0)</f>
        <v>0</v>
      </c>
      <c r="Q29" s="527">
        <v>1</v>
      </c>
      <c r="R29" s="528"/>
      <c r="S29" s="516">
        <f>I29*Q29</f>
        <v>0</v>
      </c>
      <c r="T29" s="517">
        <f t="shared" ref="T29:AR29" si="23">IF(T$4&lt;$M29,0,IF($P29=0,0,IF(T$4=$M29,$S29,IF((T$4-$M29)/$P29=INT((T$4-$M29)/$P29),$S29,0))))</f>
        <v>0</v>
      </c>
      <c r="U29" s="517">
        <f t="shared" si="23"/>
        <v>0</v>
      </c>
      <c r="V29" s="517">
        <f t="shared" si="23"/>
        <v>0</v>
      </c>
      <c r="W29" s="517">
        <f t="shared" si="23"/>
        <v>0</v>
      </c>
      <c r="X29" s="517">
        <f t="shared" si="23"/>
        <v>0</v>
      </c>
      <c r="Y29" s="517">
        <f t="shared" si="23"/>
        <v>0</v>
      </c>
      <c r="Z29" s="517">
        <f t="shared" si="23"/>
        <v>0</v>
      </c>
      <c r="AA29" s="517">
        <f t="shared" si="23"/>
        <v>0</v>
      </c>
      <c r="AB29" s="517">
        <f t="shared" si="23"/>
        <v>0</v>
      </c>
      <c r="AC29" s="517">
        <f t="shared" si="23"/>
        <v>0</v>
      </c>
      <c r="AD29" s="517">
        <f t="shared" si="23"/>
        <v>0</v>
      </c>
      <c r="AE29" s="517">
        <f t="shared" si="23"/>
        <v>0</v>
      </c>
      <c r="AF29" s="517">
        <f t="shared" si="23"/>
        <v>0</v>
      </c>
      <c r="AG29" s="517">
        <f t="shared" si="23"/>
        <v>0</v>
      </c>
      <c r="AH29" s="517">
        <f t="shared" si="23"/>
        <v>0</v>
      </c>
      <c r="AI29" s="517">
        <f t="shared" si="23"/>
        <v>0</v>
      </c>
      <c r="AJ29" s="517">
        <f t="shared" si="23"/>
        <v>0</v>
      </c>
      <c r="AK29" s="517">
        <f t="shared" si="23"/>
        <v>0</v>
      </c>
      <c r="AL29" s="517">
        <f t="shared" si="23"/>
        <v>0</v>
      </c>
      <c r="AM29" s="517">
        <f t="shared" si="23"/>
        <v>0</v>
      </c>
      <c r="AN29" s="517">
        <f t="shared" si="23"/>
        <v>0</v>
      </c>
      <c r="AO29" s="517">
        <f t="shared" si="23"/>
        <v>0</v>
      </c>
      <c r="AP29" s="517">
        <f t="shared" si="23"/>
        <v>0</v>
      </c>
      <c r="AQ29" s="517">
        <f t="shared" si="23"/>
        <v>0</v>
      </c>
      <c r="AR29" s="517">
        <f t="shared" si="23"/>
        <v>0</v>
      </c>
      <c r="AS29" s="518">
        <f t="shared" si="1"/>
        <v>0</v>
      </c>
    </row>
    <row r="30" spans="1:45" ht="11.1" customHeight="1" thickBot="1" x14ac:dyDescent="0.25">
      <c r="A30" s="775"/>
      <c r="B30" s="503" t="s">
        <v>82</v>
      </c>
      <c r="C30" s="529"/>
      <c r="D30" s="530"/>
      <c r="E30" s="531"/>
      <c r="F30" s="531"/>
      <c r="G30" s="532"/>
      <c r="H30" s="533"/>
      <c r="I30" s="534"/>
      <c r="J30" s="535"/>
      <c r="K30" s="536"/>
      <c r="L30" s="537"/>
      <c r="M30" s="538"/>
      <c r="N30" s="535"/>
      <c r="O30" s="535"/>
      <c r="P30" s="538"/>
      <c r="Q30" s="539"/>
      <c r="R30" s="540"/>
      <c r="S30" s="541"/>
      <c r="T30" s="517">
        <f>T28-T29</f>
        <v>0</v>
      </c>
      <c r="U30" s="517">
        <f t="shared" ref="U30:AR30" si="24">U28-U29</f>
        <v>0</v>
      </c>
      <c r="V30" s="517">
        <f t="shared" si="24"/>
        <v>0</v>
      </c>
      <c r="W30" s="517">
        <f t="shared" si="24"/>
        <v>0</v>
      </c>
      <c r="X30" s="517">
        <f t="shared" si="24"/>
        <v>0</v>
      </c>
      <c r="Y30" s="517">
        <f t="shared" si="24"/>
        <v>0</v>
      </c>
      <c r="Z30" s="517">
        <f t="shared" si="24"/>
        <v>0</v>
      </c>
      <c r="AA30" s="517">
        <f t="shared" si="24"/>
        <v>0</v>
      </c>
      <c r="AB30" s="517">
        <f t="shared" si="24"/>
        <v>0</v>
      </c>
      <c r="AC30" s="517">
        <f t="shared" si="24"/>
        <v>0</v>
      </c>
      <c r="AD30" s="517">
        <f t="shared" si="24"/>
        <v>0</v>
      </c>
      <c r="AE30" s="517">
        <f t="shared" si="24"/>
        <v>0</v>
      </c>
      <c r="AF30" s="517">
        <f t="shared" si="24"/>
        <v>0</v>
      </c>
      <c r="AG30" s="517">
        <f t="shared" si="24"/>
        <v>0</v>
      </c>
      <c r="AH30" s="517">
        <f t="shared" si="24"/>
        <v>0</v>
      </c>
      <c r="AI30" s="517">
        <f t="shared" si="24"/>
        <v>0</v>
      </c>
      <c r="AJ30" s="517">
        <f t="shared" si="24"/>
        <v>0</v>
      </c>
      <c r="AK30" s="517">
        <f t="shared" si="24"/>
        <v>0</v>
      </c>
      <c r="AL30" s="517">
        <f t="shared" si="24"/>
        <v>0</v>
      </c>
      <c r="AM30" s="517">
        <f t="shared" si="24"/>
        <v>0</v>
      </c>
      <c r="AN30" s="517">
        <f t="shared" si="24"/>
        <v>0</v>
      </c>
      <c r="AO30" s="517">
        <f t="shared" si="24"/>
        <v>0</v>
      </c>
      <c r="AP30" s="517">
        <f t="shared" si="24"/>
        <v>0</v>
      </c>
      <c r="AQ30" s="517">
        <f t="shared" si="24"/>
        <v>0</v>
      </c>
      <c r="AR30" s="517">
        <f t="shared" si="24"/>
        <v>0</v>
      </c>
      <c r="AS30" s="518">
        <f t="shared" si="1"/>
        <v>0</v>
      </c>
    </row>
    <row r="31" spans="1:45" ht="15.95" customHeight="1" thickBot="1" x14ac:dyDescent="0.25">
      <c r="A31" s="775">
        <f>'Option B'!A15</f>
        <v>9</v>
      </c>
      <c r="B31" s="503" t="s">
        <v>80</v>
      </c>
      <c r="C31" s="504">
        <f>IF('Option B'!$B15="x",'Option B'!C15,0)</f>
        <v>0</v>
      </c>
      <c r="D31" s="504">
        <f>IF('Option B'!$B15="x",'Option B'!D15,0)</f>
        <v>0</v>
      </c>
      <c r="E31" s="544"/>
      <c r="F31" s="542">
        <f>IF('Option B'!$B15="x",'Option B'!J15,0)</f>
        <v>0</v>
      </c>
      <c r="G31" s="542">
        <f>IF('Option B'!$B15="x",'Option B'!K15,0)</f>
        <v>0</v>
      </c>
      <c r="H31" s="542">
        <f>IF('Option B'!$B15="x",'Option B'!L15,0)</f>
        <v>0</v>
      </c>
      <c r="I31" s="543">
        <f>IF('Option B'!$B15="x",'Option B'!M15,0)</f>
        <v>0</v>
      </c>
      <c r="J31" s="508"/>
      <c r="K31" s="509">
        <f>J31*(1+$K$5)</f>
        <v>0</v>
      </c>
      <c r="L31" s="510"/>
      <c r="M31" s="511">
        <f>'ECM Options Lifecycle'!N36</f>
        <v>0</v>
      </c>
      <c r="N31" s="512">
        <f>IF(D31=0,0,(VLOOKUP(D31,'Technology Inputs'!$D$44:$E$172,2,FALSE)))</f>
        <v>0</v>
      </c>
      <c r="O31" s="513"/>
      <c r="P31" s="512">
        <f>IF(D31=0,0,(ROUNDUP(VLOOKUP(D31,'Technology Inputs'!$D$44:$E$172,2,FALSE),0)))</f>
        <v>0</v>
      </c>
      <c r="Q31" s="514">
        <v>1</v>
      </c>
      <c r="R31" s="515"/>
      <c r="S31" s="516">
        <f>I31*Q31</f>
        <v>0</v>
      </c>
      <c r="T31" s="517">
        <f t="shared" ref="T31:AR31" si="25">IF(T$4&lt;$M31,0,IF($P31=0,0,IF(T$4=$M31,$S31,IF((T$4-$M31)/$P31=INT((T$4-$M31)/$P31),$S31,0))))-IF(T$4=$M31, $S31, 0)</f>
        <v>0</v>
      </c>
      <c r="U31" s="517">
        <f t="shared" si="25"/>
        <v>0</v>
      </c>
      <c r="V31" s="517">
        <f t="shared" si="25"/>
        <v>0</v>
      </c>
      <c r="W31" s="517">
        <f t="shared" si="25"/>
        <v>0</v>
      </c>
      <c r="X31" s="517">
        <f t="shared" si="25"/>
        <v>0</v>
      </c>
      <c r="Y31" s="517">
        <f t="shared" si="25"/>
        <v>0</v>
      </c>
      <c r="Z31" s="517">
        <f t="shared" si="25"/>
        <v>0</v>
      </c>
      <c r="AA31" s="517">
        <f t="shared" si="25"/>
        <v>0</v>
      </c>
      <c r="AB31" s="517">
        <f t="shared" si="25"/>
        <v>0</v>
      </c>
      <c r="AC31" s="517">
        <f t="shared" si="25"/>
        <v>0</v>
      </c>
      <c r="AD31" s="517">
        <f t="shared" si="25"/>
        <v>0</v>
      </c>
      <c r="AE31" s="517">
        <f t="shared" si="25"/>
        <v>0</v>
      </c>
      <c r="AF31" s="517">
        <f t="shared" si="25"/>
        <v>0</v>
      </c>
      <c r="AG31" s="517">
        <f t="shared" si="25"/>
        <v>0</v>
      </c>
      <c r="AH31" s="517">
        <f t="shared" si="25"/>
        <v>0</v>
      </c>
      <c r="AI31" s="517">
        <f t="shared" si="25"/>
        <v>0</v>
      </c>
      <c r="AJ31" s="517">
        <f t="shared" si="25"/>
        <v>0</v>
      </c>
      <c r="AK31" s="517">
        <f t="shared" si="25"/>
        <v>0</v>
      </c>
      <c r="AL31" s="517">
        <f t="shared" si="25"/>
        <v>0</v>
      </c>
      <c r="AM31" s="517">
        <f t="shared" si="25"/>
        <v>0</v>
      </c>
      <c r="AN31" s="517">
        <f t="shared" si="25"/>
        <v>0</v>
      </c>
      <c r="AO31" s="517">
        <f t="shared" si="25"/>
        <v>0</v>
      </c>
      <c r="AP31" s="517">
        <f t="shared" si="25"/>
        <v>0</v>
      </c>
      <c r="AQ31" s="517">
        <f t="shared" si="25"/>
        <v>0</v>
      </c>
      <c r="AR31" s="517">
        <f t="shared" si="25"/>
        <v>0</v>
      </c>
      <c r="AS31" s="518">
        <f t="shared" si="1"/>
        <v>0</v>
      </c>
    </row>
    <row r="32" spans="1:45" ht="14.45" customHeight="1" x14ac:dyDescent="0.2">
      <c r="A32" s="775"/>
      <c r="B32" s="503" t="s">
        <v>81</v>
      </c>
      <c r="C32" s="503" t="b">
        <f>IF('Option B'!$B15="x",IF('Option B'!$E15="Yes", 'Option B'!G15),0)</f>
        <v>0</v>
      </c>
      <c r="D32" s="503" t="b">
        <f>IF('Option B'!$B15="x",IF('Option B'!$E15="Yes", 'Option B'!H15),0)</f>
        <v>0</v>
      </c>
      <c r="E32" s="519">
        <f>IF('Option B'!$B15="x",'ECM Options Lifecycle'!F37,0)</f>
        <v>0</v>
      </c>
      <c r="F32" s="519">
        <f>IF('Option B'!$B15="x",'ECM Options Lifecycle'!G37,0)</f>
        <v>0</v>
      </c>
      <c r="G32" s="520">
        <f>IF('Option B'!$B15="x",'ECM Options Lifecycle'!H37,0)</f>
        <v>0</v>
      </c>
      <c r="H32" s="521">
        <f>IF('Option B'!$B15="x",'ECM Options Lifecycle'!I37,0)</f>
        <v>0</v>
      </c>
      <c r="I32" s="522">
        <f>F32*H32</f>
        <v>0</v>
      </c>
      <c r="J32" s="523"/>
      <c r="K32" s="524"/>
      <c r="L32" s="525"/>
      <c r="M32" s="511">
        <f>'ECM Options Lifecycle'!N37</f>
        <v>0</v>
      </c>
      <c r="N32" s="526">
        <f>'Option B'!I14</f>
        <v>0</v>
      </c>
      <c r="O32" s="523"/>
      <c r="P32" s="526">
        <f>ROUNDUP(N32, 0)</f>
        <v>0</v>
      </c>
      <c r="Q32" s="527">
        <v>1</v>
      </c>
      <c r="R32" s="528"/>
      <c r="S32" s="516">
        <f>I32*Q32</f>
        <v>0</v>
      </c>
      <c r="T32" s="517">
        <f t="shared" ref="T32:AR32" si="26">IF(T$4&lt;$M32,0,IF($P32=0,0,IF(T$4=$M32,$S32,IF((T$4-$M32)/$P32=INT((T$4-$M32)/$P32),$S32,0))))</f>
        <v>0</v>
      </c>
      <c r="U32" s="517">
        <f t="shared" si="26"/>
        <v>0</v>
      </c>
      <c r="V32" s="517">
        <f t="shared" si="26"/>
        <v>0</v>
      </c>
      <c r="W32" s="517">
        <f t="shared" si="26"/>
        <v>0</v>
      </c>
      <c r="X32" s="517">
        <f t="shared" si="26"/>
        <v>0</v>
      </c>
      <c r="Y32" s="517">
        <f t="shared" si="26"/>
        <v>0</v>
      </c>
      <c r="Z32" s="517">
        <f t="shared" si="26"/>
        <v>0</v>
      </c>
      <c r="AA32" s="517">
        <f t="shared" si="26"/>
        <v>0</v>
      </c>
      <c r="AB32" s="517">
        <f t="shared" si="26"/>
        <v>0</v>
      </c>
      <c r="AC32" s="517">
        <f t="shared" si="26"/>
        <v>0</v>
      </c>
      <c r="AD32" s="517">
        <f t="shared" si="26"/>
        <v>0</v>
      </c>
      <c r="AE32" s="517">
        <f t="shared" si="26"/>
        <v>0</v>
      </c>
      <c r="AF32" s="517">
        <f t="shared" si="26"/>
        <v>0</v>
      </c>
      <c r="AG32" s="517">
        <f t="shared" si="26"/>
        <v>0</v>
      </c>
      <c r="AH32" s="517">
        <f t="shared" si="26"/>
        <v>0</v>
      </c>
      <c r="AI32" s="517">
        <f t="shared" si="26"/>
        <v>0</v>
      </c>
      <c r="AJ32" s="517">
        <f t="shared" si="26"/>
        <v>0</v>
      </c>
      <c r="AK32" s="517">
        <f t="shared" si="26"/>
        <v>0</v>
      </c>
      <c r="AL32" s="517">
        <f t="shared" si="26"/>
        <v>0</v>
      </c>
      <c r="AM32" s="517">
        <f t="shared" si="26"/>
        <v>0</v>
      </c>
      <c r="AN32" s="517">
        <f t="shared" si="26"/>
        <v>0</v>
      </c>
      <c r="AO32" s="517">
        <f t="shared" si="26"/>
        <v>0</v>
      </c>
      <c r="AP32" s="517">
        <f t="shared" si="26"/>
        <v>0</v>
      </c>
      <c r="AQ32" s="517">
        <f t="shared" si="26"/>
        <v>0</v>
      </c>
      <c r="AR32" s="517">
        <f t="shared" si="26"/>
        <v>0</v>
      </c>
      <c r="AS32" s="518">
        <f t="shared" si="1"/>
        <v>0</v>
      </c>
    </row>
    <row r="33" spans="1:45" ht="11.1" customHeight="1" thickBot="1" x14ac:dyDescent="0.25">
      <c r="A33" s="775"/>
      <c r="B33" s="503" t="s">
        <v>82</v>
      </c>
      <c r="C33" s="529"/>
      <c r="D33" s="530"/>
      <c r="E33" s="545"/>
      <c r="F33" s="545"/>
      <c r="G33" s="535"/>
      <c r="H33" s="546"/>
      <c r="I33" s="547"/>
      <c r="J33" s="535"/>
      <c r="K33" s="536"/>
      <c r="L33" s="537"/>
      <c r="M33" s="538"/>
      <c r="N33" s="535"/>
      <c r="O33" s="535"/>
      <c r="P33" s="538"/>
      <c r="Q33" s="539"/>
      <c r="R33" s="540"/>
      <c r="S33" s="541"/>
      <c r="T33" s="517">
        <f>T31-T32</f>
        <v>0</v>
      </c>
      <c r="U33" s="517">
        <f t="shared" ref="U33:AR33" si="27">U31-U32</f>
        <v>0</v>
      </c>
      <c r="V33" s="517">
        <f t="shared" si="27"/>
        <v>0</v>
      </c>
      <c r="W33" s="517">
        <f t="shared" si="27"/>
        <v>0</v>
      </c>
      <c r="X33" s="517">
        <f t="shared" si="27"/>
        <v>0</v>
      </c>
      <c r="Y33" s="517">
        <f t="shared" si="27"/>
        <v>0</v>
      </c>
      <c r="Z33" s="517">
        <f t="shared" si="27"/>
        <v>0</v>
      </c>
      <c r="AA33" s="517">
        <f t="shared" si="27"/>
        <v>0</v>
      </c>
      <c r="AB33" s="517">
        <f t="shared" si="27"/>
        <v>0</v>
      </c>
      <c r="AC33" s="517">
        <f t="shared" si="27"/>
        <v>0</v>
      </c>
      <c r="AD33" s="517">
        <f t="shared" si="27"/>
        <v>0</v>
      </c>
      <c r="AE33" s="517">
        <f t="shared" si="27"/>
        <v>0</v>
      </c>
      <c r="AF33" s="517">
        <f t="shared" si="27"/>
        <v>0</v>
      </c>
      <c r="AG33" s="517">
        <f t="shared" si="27"/>
        <v>0</v>
      </c>
      <c r="AH33" s="517">
        <f t="shared" si="27"/>
        <v>0</v>
      </c>
      <c r="AI33" s="517">
        <f t="shared" si="27"/>
        <v>0</v>
      </c>
      <c r="AJ33" s="517">
        <f t="shared" si="27"/>
        <v>0</v>
      </c>
      <c r="AK33" s="517">
        <f t="shared" si="27"/>
        <v>0</v>
      </c>
      <c r="AL33" s="517">
        <f t="shared" si="27"/>
        <v>0</v>
      </c>
      <c r="AM33" s="517">
        <f t="shared" si="27"/>
        <v>0</v>
      </c>
      <c r="AN33" s="517">
        <f t="shared" si="27"/>
        <v>0</v>
      </c>
      <c r="AO33" s="517">
        <f t="shared" si="27"/>
        <v>0</v>
      </c>
      <c r="AP33" s="517">
        <f t="shared" si="27"/>
        <v>0</v>
      </c>
      <c r="AQ33" s="517">
        <f t="shared" si="27"/>
        <v>0</v>
      </c>
      <c r="AR33" s="517">
        <f t="shared" si="27"/>
        <v>0</v>
      </c>
      <c r="AS33" s="518">
        <f t="shared" si="1"/>
        <v>0</v>
      </c>
    </row>
    <row r="34" spans="1:45" ht="11.1" customHeight="1" x14ac:dyDescent="0.2">
      <c r="C34" s="529"/>
      <c r="D34" s="529" t="s">
        <v>28</v>
      </c>
      <c r="E34" s="548"/>
      <c r="F34" s="548"/>
      <c r="G34" s="549"/>
      <c r="H34" s="550"/>
      <c r="I34" s="551"/>
      <c r="J34" s="552"/>
      <c r="K34" s="553"/>
      <c r="L34" s="554"/>
      <c r="M34" s="555"/>
      <c r="N34" s="555"/>
      <c r="O34" s="555"/>
      <c r="P34" s="556"/>
      <c r="Q34" s="528"/>
      <c r="R34" s="557"/>
      <c r="S34" s="558">
        <f>Q34*F34*K34</f>
        <v>0</v>
      </c>
      <c r="T34" s="517">
        <f t="shared" ref="T34:AR34" si="28">IF(T$4&lt;$M34,0,IF($P34=0,0,IF(T$4=$M34,$S34,IF((T$4-$M34)/$P34=INT((T$4-$M34)/$P34),$S34,0))))</f>
        <v>0</v>
      </c>
      <c r="U34" s="517">
        <f t="shared" si="28"/>
        <v>0</v>
      </c>
      <c r="V34" s="517">
        <f t="shared" si="28"/>
        <v>0</v>
      </c>
      <c r="W34" s="517">
        <f t="shared" si="28"/>
        <v>0</v>
      </c>
      <c r="X34" s="517">
        <f t="shared" si="28"/>
        <v>0</v>
      </c>
      <c r="Y34" s="517">
        <f t="shared" si="28"/>
        <v>0</v>
      </c>
      <c r="Z34" s="517">
        <f t="shared" si="28"/>
        <v>0</v>
      </c>
      <c r="AA34" s="517">
        <f t="shared" si="28"/>
        <v>0</v>
      </c>
      <c r="AB34" s="517">
        <f t="shared" si="28"/>
        <v>0</v>
      </c>
      <c r="AC34" s="517">
        <f t="shared" si="28"/>
        <v>0</v>
      </c>
      <c r="AD34" s="517">
        <f t="shared" si="28"/>
        <v>0</v>
      </c>
      <c r="AE34" s="517">
        <f t="shared" si="28"/>
        <v>0</v>
      </c>
      <c r="AF34" s="517">
        <f t="shared" si="28"/>
        <v>0</v>
      </c>
      <c r="AG34" s="517">
        <f t="shared" si="28"/>
        <v>0</v>
      </c>
      <c r="AH34" s="517">
        <f t="shared" si="28"/>
        <v>0</v>
      </c>
      <c r="AI34" s="517">
        <f t="shared" si="28"/>
        <v>0</v>
      </c>
      <c r="AJ34" s="517">
        <f t="shared" si="28"/>
        <v>0</v>
      </c>
      <c r="AK34" s="517">
        <f t="shared" si="28"/>
        <v>0</v>
      </c>
      <c r="AL34" s="517">
        <f t="shared" si="28"/>
        <v>0</v>
      </c>
      <c r="AM34" s="517">
        <f t="shared" si="28"/>
        <v>0</v>
      </c>
      <c r="AN34" s="517">
        <f t="shared" si="28"/>
        <v>0</v>
      </c>
      <c r="AO34" s="517">
        <f t="shared" si="28"/>
        <v>0</v>
      </c>
      <c r="AP34" s="517">
        <f t="shared" si="28"/>
        <v>0</v>
      </c>
      <c r="AQ34" s="517">
        <f t="shared" si="28"/>
        <v>0</v>
      </c>
      <c r="AR34" s="517">
        <f t="shared" si="28"/>
        <v>0</v>
      </c>
      <c r="AS34" s="518">
        <f t="shared" ref="AS34" si="29">SUM(T34:AR34)</f>
        <v>0</v>
      </c>
    </row>
    <row r="35" spans="1:45" ht="12.95" customHeight="1" thickBot="1" x14ac:dyDescent="0.25"/>
    <row r="36" spans="1:45" ht="12.95" customHeight="1" thickBot="1" x14ac:dyDescent="0.25">
      <c r="S36" s="561" t="s">
        <v>63</v>
      </c>
      <c r="T36" s="562">
        <f>T9+T12+T15+T18+T21+T24+T27+T30+T33</f>
        <v>0</v>
      </c>
      <c r="U36" s="562">
        <f t="shared" ref="U36:AS36" si="30">U9+U12+U15+U18+U21+U24+U27+U30+U33</f>
        <v>0</v>
      </c>
      <c r="V36" s="562">
        <f t="shared" si="30"/>
        <v>0</v>
      </c>
      <c r="W36" s="562">
        <f t="shared" si="30"/>
        <v>0</v>
      </c>
      <c r="X36" s="562">
        <f t="shared" si="30"/>
        <v>0</v>
      </c>
      <c r="Y36" s="562">
        <f t="shared" si="30"/>
        <v>0</v>
      </c>
      <c r="Z36" s="562">
        <f t="shared" si="30"/>
        <v>0</v>
      </c>
      <c r="AA36" s="562">
        <f t="shared" si="30"/>
        <v>0</v>
      </c>
      <c r="AB36" s="562">
        <f t="shared" si="30"/>
        <v>0</v>
      </c>
      <c r="AC36" s="562">
        <f t="shared" si="30"/>
        <v>0</v>
      </c>
      <c r="AD36" s="562">
        <f t="shared" si="30"/>
        <v>0</v>
      </c>
      <c r="AE36" s="562">
        <f t="shared" si="30"/>
        <v>0</v>
      </c>
      <c r="AF36" s="562">
        <f t="shared" si="30"/>
        <v>0</v>
      </c>
      <c r="AG36" s="562">
        <f t="shared" si="30"/>
        <v>0</v>
      </c>
      <c r="AH36" s="562">
        <f t="shared" si="30"/>
        <v>0</v>
      </c>
      <c r="AI36" s="562">
        <f t="shared" si="30"/>
        <v>0</v>
      </c>
      <c r="AJ36" s="562">
        <f t="shared" si="30"/>
        <v>0</v>
      </c>
      <c r="AK36" s="562">
        <f t="shared" si="30"/>
        <v>0</v>
      </c>
      <c r="AL36" s="562">
        <f t="shared" si="30"/>
        <v>0</v>
      </c>
      <c r="AM36" s="562">
        <f t="shared" si="30"/>
        <v>0</v>
      </c>
      <c r="AN36" s="562">
        <f t="shared" si="30"/>
        <v>0</v>
      </c>
      <c r="AO36" s="562">
        <f t="shared" si="30"/>
        <v>0</v>
      </c>
      <c r="AP36" s="562">
        <f t="shared" si="30"/>
        <v>0</v>
      </c>
      <c r="AQ36" s="562">
        <f t="shared" si="30"/>
        <v>0</v>
      </c>
      <c r="AR36" s="562">
        <f t="shared" si="30"/>
        <v>0</v>
      </c>
      <c r="AS36" s="562">
        <f t="shared" si="30"/>
        <v>0</v>
      </c>
    </row>
  </sheetData>
  <sheetProtection algorithmName="SHA-512" hashValue="/qZL9MToHfGZBic6NHfmBqQFwryfwKVhLQH73r+AICLSmMVAM0E91awfbd6NnKx4OgkVMrAV0+vNaK179yWfjw==" saltValue="v0xmESTJCNrbm/qx/0G/Fw==" spinCount="100000" sheet="1" objects="1" scenarios="1"/>
  <autoFilter ref="C6:AS34" xr:uid="{84E8E926-F5A3-4965-BBDE-68BE248D23AE}"/>
  <mergeCells count="14">
    <mergeCell ref="A7:A9"/>
    <mergeCell ref="A28:A30"/>
    <mergeCell ref="A31:A33"/>
    <mergeCell ref="A10:A12"/>
    <mergeCell ref="A13:A15"/>
    <mergeCell ref="A16:A18"/>
    <mergeCell ref="A19:A21"/>
    <mergeCell ref="A22:A24"/>
    <mergeCell ref="A25:A27"/>
    <mergeCell ref="S4:S5"/>
    <mergeCell ref="Q4:Q5"/>
    <mergeCell ref="P4:P5"/>
    <mergeCell ref="M4:M5"/>
    <mergeCell ref="M3:S3"/>
  </mergeCells>
  <pageMargins left="0.59055119752883911" right="0" top="0.59055119752883911" bottom="0.59055119752883911" header="0.5" footer="0.5"/>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3C68-DEFC-4551-A389-3130740A8CAE}">
  <sheetPr>
    <tabColor rgb="FFFF0000"/>
  </sheetPr>
  <dimension ref="A1:AP17"/>
  <sheetViews>
    <sheetView zoomScale="85" zoomScaleNormal="85" workbookViewId="0">
      <selection activeCell="R42" sqref="R42"/>
    </sheetView>
  </sheetViews>
  <sheetFormatPr defaultColWidth="8.7109375" defaultRowHeight="15" x14ac:dyDescent="0.25"/>
  <cols>
    <col min="1" max="2" width="10.5703125" style="428" customWidth="1"/>
    <col min="3" max="3" width="39.140625" style="428" hidden="1" customWidth="1"/>
    <col min="4" max="4" width="31.7109375" style="429" hidden="1" customWidth="1"/>
    <col min="5" max="5" width="16.28515625" style="429" hidden="1" customWidth="1"/>
    <col min="6" max="6" width="17.7109375" style="429" hidden="1" customWidth="1"/>
    <col min="7" max="8" width="16.42578125" style="429" hidden="1" customWidth="1"/>
    <col min="9" max="9" width="16.5703125" style="429" hidden="1" customWidth="1"/>
    <col min="10" max="12" width="11" style="428" hidden="1" customWidth="1"/>
    <col min="13" max="13" width="11" style="428" customWidth="1"/>
    <col min="14" max="14" width="9.7109375" style="428" customWidth="1"/>
    <col min="15" max="15" width="11.140625" style="428" customWidth="1"/>
    <col min="16" max="16" width="7" style="428" customWidth="1"/>
    <col min="17" max="17" width="9.85546875" style="428" customWidth="1"/>
    <col min="18" max="19" width="7" style="428" customWidth="1"/>
    <col min="20" max="20" width="8.5703125" style="428" customWidth="1"/>
    <col min="21" max="21" width="10.28515625" style="428" customWidth="1"/>
    <col min="22" max="22" width="8.5703125" style="428" customWidth="1"/>
    <col min="23" max="27" width="7" style="428" customWidth="1"/>
    <col min="28" max="29" width="8.5703125" style="428" customWidth="1"/>
    <col min="30" max="30" width="8.85546875" style="428" customWidth="1"/>
    <col min="31" max="33" width="8.5703125" style="428" customWidth="1"/>
    <col min="34" max="16384" width="8.7109375" style="428"/>
  </cols>
  <sheetData>
    <row r="1" spans="1:33" x14ac:dyDescent="0.25">
      <c r="A1" s="117" t="s">
        <v>86</v>
      </c>
      <c r="D1" s="563"/>
    </row>
    <row r="3" spans="1:33" ht="15" customHeight="1" x14ac:dyDescent="0.25">
      <c r="A3" s="759" t="s">
        <v>218</v>
      </c>
      <c r="B3" s="760"/>
      <c r="C3" s="760"/>
      <c r="D3" s="761"/>
      <c r="E3" s="396"/>
      <c r="F3" s="396"/>
      <c r="G3" s="396"/>
      <c r="H3" s="396"/>
      <c r="I3" s="396"/>
      <c r="J3" s="755" t="s">
        <v>219</v>
      </c>
      <c r="K3" s="767" t="s">
        <v>49</v>
      </c>
      <c r="L3" s="755" t="s">
        <v>50</v>
      </c>
      <c r="M3" s="755" t="s">
        <v>51</v>
      </c>
      <c r="N3" s="770" t="s">
        <v>220</v>
      </c>
      <c r="O3" s="771"/>
      <c r="P3" s="771"/>
      <c r="Q3" s="771"/>
      <c r="R3" s="771"/>
      <c r="S3" s="771"/>
      <c r="T3" s="771"/>
      <c r="U3" s="771"/>
      <c r="V3" s="771"/>
      <c r="W3" s="771"/>
      <c r="X3" s="771"/>
      <c r="Y3" s="771"/>
      <c r="Z3" s="771"/>
      <c r="AA3" s="771"/>
      <c r="AB3" s="771"/>
      <c r="AC3" s="771"/>
      <c r="AD3" s="771"/>
      <c r="AE3" s="771"/>
      <c r="AF3" s="771"/>
      <c r="AG3" s="772"/>
    </row>
    <row r="4" spans="1:33" ht="31.5" customHeight="1" x14ac:dyDescent="0.25">
      <c r="A4" s="762"/>
      <c r="B4" s="763"/>
      <c r="C4" s="763"/>
      <c r="D4" s="764"/>
      <c r="E4" s="397"/>
      <c r="F4" s="397"/>
      <c r="G4" s="397"/>
      <c r="H4" s="397"/>
      <c r="I4" s="397"/>
      <c r="J4" s="755" t="s">
        <v>48</v>
      </c>
      <c r="K4" s="768"/>
      <c r="L4" s="755" t="s">
        <v>50</v>
      </c>
      <c r="M4" s="755"/>
      <c r="N4" s="756" t="s">
        <v>23</v>
      </c>
      <c r="O4" s="758"/>
      <c r="P4" s="756" t="s">
        <v>24</v>
      </c>
      <c r="Q4" s="758"/>
      <c r="R4" s="754" t="str">
        <f>'Project Data Input'!C16</f>
        <v>Fuel oil</v>
      </c>
      <c r="S4" s="754"/>
      <c r="T4" s="757" t="str">
        <f>'Project Data Input'!C17</f>
        <v>Burning oil</v>
      </c>
      <c r="U4" s="758"/>
      <c r="V4" s="756" t="s">
        <v>38</v>
      </c>
      <c r="W4" s="758"/>
      <c r="X4" s="756" t="s">
        <v>39</v>
      </c>
      <c r="Y4" s="757"/>
      <c r="Z4" s="757"/>
      <c r="AA4" s="758"/>
      <c r="AB4" s="757"/>
      <c r="AC4" s="757"/>
      <c r="AD4" s="757"/>
      <c r="AE4" s="757"/>
      <c r="AF4" s="757"/>
      <c r="AG4" s="758"/>
    </row>
    <row r="5" spans="1:33" ht="31.5" customHeight="1" x14ac:dyDescent="0.25">
      <c r="A5" s="754" t="s">
        <v>221</v>
      </c>
      <c r="B5" s="394" t="s">
        <v>222</v>
      </c>
      <c r="C5" s="754" t="s">
        <v>41</v>
      </c>
      <c r="D5" s="765" t="s">
        <v>80</v>
      </c>
      <c r="E5" s="398" t="s">
        <v>43</v>
      </c>
      <c r="F5" s="398" t="s">
        <v>44</v>
      </c>
      <c r="G5" s="398" t="s">
        <v>45</v>
      </c>
      <c r="H5" s="398" t="s">
        <v>46</v>
      </c>
      <c r="I5" s="398" t="s">
        <v>223</v>
      </c>
      <c r="J5" s="755"/>
      <c r="K5" s="769"/>
      <c r="L5" s="755"/>
      <c r="M5" s="755"/>
      <c r="N5" s="756" t="s">
        <v>52</v>
      </c>
      <c r="O5" s="758"/>
      <c r="P5" s="756" t="s">
        <v>52</v>
      </c>
      <c r="Q5" s="758"/>
      <c r="R5" s="756" t="s">
        <v>52</v>
      </c>
      <c r="S5" s="758"/>
      <c r="T5" s="756" t="s">
        <v>52</v>
      </c>
      <c r="U5" s="758"/>
      <c r="V5" s="756" t="s">
        <v>52</v>
      </c>
      <c r="W5" s="758"/>
      <c r="X5" s="756" t="s">
        <v>53</v>
      </c>
      <c r="Y5" s="757"/>
      <c r="Z5" s="118"/>
      <c r="AA5" s="119"/>
      <c r="AB5" s="756" t="str">
        <f>"Annual "&amp;N1&amp;" Saving"</f>
        <v>Annual  Saving</v>
      </c>
      <c r="AC5" s="758"/>
      <c r="AD5" s="120" t="s">
        <v>55</v>
      </c>
      <c r="AE5" s="120" t="s">
        <v>56</v>
      </c>
      <c r="AF5" s="400" t="s">
        <v>224</v>
      </c>
      <c r="AG5" s="773" t="s">
        <v>225</v>
      </c>
    </row>
    <row r="6" spans="1:33" x14ac:dyDescent="0.25">
      <c r="A6" s="754"/>
      <c r="B6" s="394"/>
      <c r="C6" s="754"/>
      <c r="D6" s="766"/>
      <c r="E6" s="399"/>
      <c r="F6" s="399"/>
      <c r="G6" s="399"/>
      <c r="H6" s="399"/>
      <c r="I6" s="399"/>
      <c r="J6" s="395"/>
      <c r="K6" s="395"/>
      <c r="L6" s="395"/>
      <c r="M6" s="395" t="s">
        <v>21</v>
      </c>
      <c r="N6" s="394" t="s">
        <v>59</v>
      </c>
      <c r="O6" s="394" t="s">
        <v>20</v>
      </c>
      <c r="P6" s="394" t="s">
        <v>59</v>
      </c>
      <c r="Q6" s="394" t="s">
        <v>20</v>
      </c>
      <c r="R6" s="394" t="s">
        <v>59</v>
      </c>
      <c r="S6" s="394" t="s">
        <v>20</v>
      </c>
      <c r="T6" s="394" t="s">
        <v>59</v>
      </c>
      <c r="U6" s="394" t="s">
        <v>20</v>
      </c>
      <c r="V6" s="394" t="s">
        <v>60</v>
      </c>
      <c r="W6" s="394" t="s">
        <v>59</v>
      </c>
      <c r="X6" s="394" t="s">
        <v>59</v>
      </c>
      <c r="Y6" s="394"/>
      <c r="Z6" s="394"/>
      <c r="AA6" s="394"/>
      <c r="AB6" s="394" t="s">
        <v>21</v>
      </c>
      <c r="AC6" s="394" t="s">
        <v>61</v>
      </c>
      <c r="AD6" s="120" t="s">
        <v>15</v>
      </c>
      <c r="AE6" s="120" t="s">
        <v>15</v>
      </c>
      <c r="AF6" s="401" t="s">
        <v>61</v>
      </c>
      <c r="AG6" s="774"/>
    </row>
    <row r="7" spans="1:33" ht="12" customHeight="1" x14ac:dyDescent="0.25">
      <c r="A7" s="430">
        <v>1</v>
      </c>
      <c r="B7" s="430" t="str">
        <f>'DASHBOARD '!H9</f>
        <v>x</v>
      </c>
      <c r="C7" s="564">
        <f>'ECM Options Data'!D14</f>
        <v>0</v>
      </c>
      <c r="D7" s="564">
        <f>'ECM Options Data'!E14</f>
        <v>0</v>
      </c>
      <c r="E7" s="564">
        <f>'ECM Options Data'!F14</f>
        <v>0</v>
      </c>
      <c r="F7" s="564">
        <f>'ECM Options Data'!G14</f>
        <v>0</v>
      </c>
      <c r="G7" s="564">
        <f>'ECM Options Data'!H14</f>
        <v>0</v>
      </c>
      <c r="H7" s="564">
        <f>'ECM Options Data'!I14</f>
        <v>0</v>
      </c>
      <c r="I7" s="564">
        <f>'ECM Options Data'!J14</f>
        <v>0</v>
      </c>
      <c r="J7" s="564">
        <f>'ECM Options Data'!K14</f>
        <v>0</v>
      </c>
      <c r="K7" s="564">
        <f>'ECM Options Data'!L14</f>
        <v>0</v>
      </c>
      <c r="L7" s="564">
        <f>'ECM Options Data'!M14</f>
        <v>0</v>
      </c>
      <c r="M7" s="564">
        <f>'ECM Options Data'!N14</f>
        <v>0</v>
      </c>
      <c r="N7" s="564"/>
      <c r="O7" s="435">
        <f>IF($B7="x", 'ECM Options Data'!P14, 0)</f>
        <v>0</v>
      </c>
      <c r="P7" s="565"/>
      <c r="Q7" s="435">
        <f>IF($B7="x", 'ECM Options Data'!R14, 0)</f>
        <v>0</v>
      </c>
      <c r="R7" s="435"/>
      <c r="S7" s="435">
        <f>IF($B7="x",'ECM Options Data'!T14, 0)</f>
        <v>0</v>
      </c>
      <c r="T7" s="433"/>
      <c r="U7" s="435">
        <f>IF($B7="x", 'ECM Options Data'!V14,0)</f>
        <v>0</v>
      </c>
      <c r="V7" s="566">
        <f>'ECM Options Data'!W14</f>
        <v>0</v>
      </c>
      <c r="W7" s="437"/>
      <c r="X7" s="437"/>
      <c r="Y7" s="437"/>
      <c r="Z7" s="437"/>
      <c r="AA7" s="437"/>
      <c r="AB7" s="438">
        <f>(O7*'Project Data Input'!$F$14)+('Option C'!Q7*'Project Data Input'!$F$15)+('Project Data Input'!$F$16*'Option C'!S7)+('Project Data Input'!$F$17*'Option C'!U7)</f>
        <v>0</v>
      </c>
      <c r="AC7" s="439">
        <f>((O7*'Technology Inputs'!$E$6)+('Technology Inputs'!$E$7*'Option C'!Q7)+('Option C'!S7*(VLOOKUP('Option C'!$R$4,'Technology Inputs'!$C$8:$E$15,3,FALSE)))+(U7*(VLOOKUP($T$4,'Technology Inputs'!$C$8:$E$15,3,FALSE))))/1000</f>
        <v>0</v>
      </c>
      <c r="AD7" s="440" t="e">
        <f t="shared" ref="AD7:AD15" si="0">M7/AB7</f>
        <v>#DIV/0!</v>
      </c>
      <c r="AE7" s="441" t="e">
        <f>VLOOKUP(D7, 'Technology Inputs'!$D$44:$E$172, 2, FALSE)</f>
        <v>#N/A</v>
      </c>
      <c r="AF7" s="441" t="e">
        <f>AC7*AE7</f>
        <v>#N/A</v>
      </c>
      <c r="AG7" s="442" t="e">
        <f>M7/(AC7*AE7)</f>
        <v>#N/A</v>
      </c>
    </row>
    <row r="8" spans="1:33" ht="12" customHeight="1" x14ac:dyDescent="0.25">
      <c r="A8" s="430">
        <v>2</v>
      </c>
      <c r="B8" s="430" t="str">
        <f>'DASHBOARD '!H10</f>
        <v xml:space="preserve"> </v>
      </c>
      <c r="C8" s="564">
        <f>'ECM Options Data'!D15</f>
        <v>0</v>
      </c>
      <c r="D8" s="564">
        <f>'ECM Options Data'!E15</f>
        <v>0</v>
      </c>
      <c r="E8" s="564">
        <f>'ECM Options Data'!F15</f>
        <v>0</v>
      </c>
      <c r="F8" s="564">
        <f>'ECM Options Data'!G15</f>
        <v>0</v>
      </c>
      <c r="G8" s="564">
        <f>'ECM Options Data'!H15</f>
        <v>0</v>
      </c>
      <c r="H8" s="564">
        <f>'ECM Options Data'!I15</f>
        <v>0</v>
      </c>
      <c r="I8" s="564">
        <f>'ECM Options Data'!J15</f>
        <v>0</v>
      </c>
      <c r="J8" s="564">
        <f>'ECM Options Data'!K15</f>
        <v>0</v>
      </c>
      <c r="K8" s="564">
        <f>'ECM Options Data'!L15</f>
        <v>0</v>
      </c>
      <c r="L8" s="564">
        <f>'ECM Options Data'!M15</f>
        <v>0</v>
      </c>
      <c r="M8" s="564">
        <f>'ECM Options Data'!N15</f>
        <v>0</v>
      </c>
      <c r="N8" s="564"/>
      <c r="O8" s="435">
        <f>IF($B8="x", 'ECM Options Data'!P15, 0)</f>
        <v>0</v>
      </c>
      <c r="P8" s="565"/>
      <c r="Q8" s="435">
        <f>IF($B8="x", 'ECM Options Data'!R15, 0)</f>
        <v>0</v>
      </c>
      <c r="R8" s="435"/>
      <c r="S8" s="435">
        <f>IF($B8="x",'ECM Options Data'!T15, 0)</f>
        <v>0</v>
      </c>
      <c r="T8" s="433"/>
      <c r="U8" s="435">
        <f>IF($B8="x", 'ECM Options Data'!V15,0)</f>
        <v>0</v>
      </c>
      <c r="V8" s="566">
        <f>'ECM Options Data'!W15</f>
        <v>0</v>
      </c>
      <c r="W8" s="437"/>
      <c r="X8" s="437"/>
      <c r="Y8" s="437"/>
      <c r="Z8" s="437"/>
      <c r="AA8" s="437"/>
      <c r="AB8" s="438">
        <f>(O8*'Project Data Input'!$F$14)+('Option C'!Q8*'Project Data Input'!$F$15)+('Project Data Input'!$F$16*'Option C'!S8)+('Project Data Input'!$F$17*'Option C'!U8)</f>
        <v>0</v>
      </c>
      <c r="AC8" s="439">
        <f>((O8*'Technology Inputs'!$E$6)+('Technology Inputs'!$E$7*'Option C'!Q8)+('Option C'!S8*(VLOOKUP('Option C'!$R$4,'Technology Inputs'!$C$8:$E$15,3,FALSE)))+(U8*(VLOOKUP($T$4,'Technology Inputs'!$C$8:$E$15,3,FALSE))))/1000</f>
        <v>0</v>
      </c>
      <c r="AD8" s="440" t="e">
        <f t="shared" si="0"/>
        <v>#DIV/0!</v>
      </c>
      <c r="AE8" s="441" t="e">
        <f>VLOOKUP(D8, 'Technology Inputs'!$D$44:$E$172, 2, FALSE)</f>
        <v>#N/A</v>
      </c>
      <c r="AF8" s="441" t="e">
        <f t="shared" ref="AF8:AF11" si="1">AC8*AE8</f>
        <v>#N/A</v>
      </c>
      <c r="AG8" s="442" t="e">
        <f>M8/(AC8*AE8)</f>
        <v>#N/A</v>
      </c>
    </row>
    <row r="9" spans="1:33" ht="12" customHeight="1" x14ac:dyDescent="0.25">
      <c r="A9" s="430">
        <v>3</v>
      </c>
      <c r="B9" s="430" t="str">
        <f>'DASHBOARD '!H11</f>
        <v xml:space="preserve"> </v>
      </c>
      <c r="C9" s="564">
        <f>'ECM Options Data'!D16</f>
        <v>0</v>
      </c>
      <c r="D9" s="564">
        <f>'ECM Options Data'!E16</f>
        <v>0</v>
      </c>
      <c r="E9" s="564">
        <f>'ECM Options Data'!F16</f>
        <v>0</v>
      </c>
      <c r="F9" s="564">
        <f>'ECM Options Data'!G16</f>
        <v>0</v>
      </c>
      <c r="G9" s="564">
        <f>'ECM Options Data'!H16</f>
        <v>0</v>
      </c>
      <c r="H9" s="564">
        <f>'ECM Options Data'!I16</f>
        <v>0</v>
      </c>
      <c r="I9" s="564">
        <f>'ECM Options Data'!J16</f>
        <v>0</v>
      </c>
      <c r="J9" s="564">
        <f>'ECM Options Data'!K16</f>
        <v>0</v>
      </c>
      <c r="K9" s="564">
        <f>'ECM Options Data'!L16</f>
        <v>0</v>
      </c>
      <c r="L9" s="564">
        <f>'ECM Options Data'!M16</f>
        <v>0</v>
      </c>
      <c r="M9" s="564">
        <f>'ECM Options Data'!N16</f>
        <v>0</v>
      </c>
      <c r="N9" s="564"/>
      <c r="O9" s="435">
        <f>IF($B9="x", 'ECM Options Data'!P16, 0)</f>
        <v>0</v>
      </c>
      <c r="P9" s="565"/>
      <c r="Q9" s="435">
        <f>IF($B9="x", 'ECM Options Data'!R16, 0)</f>
        <v>0</v>
      </c>
      <c r="R9" s="435"/>
      <c r="S9" s="435">
        <f>IF($B9="x",'ECM Options Data'!T16, 0)</f>
        <v>0</v>
      </c>
      <c r="T9" s="433"/>
      <c r="U9" s="435">
        <f>IF($B9="x", 'ECM Options Data'!V16,0)</f>
        <v>0</v>
      </c>
      <c r="V9" s="566">
        <f>'ECM Options Data'!W16</f>
        <v>0</v>
      </c>
      <c r="W9" s="437"/>
      <c r="X9" s="437"/>
      <c r="Y9" s="437"/>
      <c r="Z9" s="437"/>
      <c r="AA9" s="437"/>
      <c r="AB9" s="438">
        <f>(O9*'Project Data Input'!$F$14)+('Option C'!Q9*'Project Data Input'!$F$15)+('Project Data Input'!$F$16*'Option C'!S9)+('Project Data Input'!$F$17*'Option C'!U9)</f>
        <v>0</v>
      </c>
      <c r="AC9" s="439">
        <f>((O9*'Technology Inputs'!$E$6)+('Technology Inputs'!$E$7*'Option C'!Q9)+('Option C'!S9*(VLOOKUP('Option C'!$R$4,'Technology Inputs'!$C$8:$E$15,3,FALSE)))+(U9*(VLOOKUP($T$4,'Technology Inputs'!$C$8:$E$15,3,FALSE))))/1000</f>
        <v>0</v>
      </c>
      <c r="AD9" s="440" t="e">
        <f t="shared" si="0"/>
        <v>#DIV/0!</v>
      </c>
      <c r="AE9" s="441" t="e">
        <f>VLOOKUP(D9, 'Technology Inputs'!$D$44:$E$172, 2, FALSE)</f>
        <v>#N/A</v>
      </c>
      <c r="AF9" s="441" t="e">
        <f t="shared" si="1"/>
        <v>#N/A</v>
      </c>
      <c r="AG9" s="442" t="e">
        <f>M9/(AC9*AE9)</f>
        <v>#N/A</v>
      </c>
    </row>
    <row r="10" spans="1:33" ht="12" customHeight="1" x14ac:dyDescent="0.25">
      <c r="A10" s="430">
        <v>4</v>
      </c>
      <c r="B10" s="430" t="str">
        <f>'DASHBOARD '!H12</f>
        <v xml:space="preserve"> </v>
      </c>
      <c r="C10" s="564">
        <f>'ECM Options Data'!D17</f>
        <v>0</v>
      </c>
      <c r="D10" s="564">
        <f>'ECM Options Data'!E17</f>
        <v>0</v>
      </c>
      <c r="E10" s="564">
        <f>'ECM Options Data'!F17</f>
        <v>0</v>
      </c>
      <c r="F10" s="564">
        <f>'ECM Options Data'!G17</f>
        <v>0</v>
      </c>
      <c r="G10" s="564">
        <f>'ECM Options Data'!H17</f>
        <v>0</v>
      </c>
      <c r="H10" s="564">
        <f>'ECM Options Data'!I17</f>
        <v>0</v>
      </c>
      <c r="I10" s="564">
        <f>'ECM Options Data'!J17</f>
        <v>0</v>
      </c>
      <c r="J10" s="564">
        <f>'ECM Options Data'!K17</f>
        <v>0</v>
      </c>
      <c r="K10" s="564">
        <f>'ECM Options Data'!L17</f>
        <v>0</v>
      </c>
      <c r="L10" s="564">
        <f>'ECM Options Data'!M17</f>
        <v>0</v>
      </c>
      <c r="M10" s="564">
        <f>'ECM Options Data'!N17</f>
        <v>0</v>
      </c>
      <c r="N10" s="564"/>
      <c r="O10" s="435">
        <f>IF($B10="x", 'ECM Options Data'!P17, 0)</f>
        <v>0</v>
      </c>
      <c r="P10" s="565"/>
      <c r="Q10" s="435">
        <f>IF($B10="x", 'ECM Options Data'!R17, 0)</f>
        <v>0</v>
      </c>
      <c r="R10" s="435"/>
      <c r="S10" s="435">
        <f>IF($B10="x",'ECM Options Data'!T17, 0)</f>
        <v>0</v>
      </c>
      <c r="T10" s="433"/>
      <c r="U10" s="435">
        <f>IF($B10="x", 'ECM Options Data'!V17,0)</f>
        <v>0</v>
      </c>
      <c r="V10" s="566">
        <f>'ECM Options Data'!W17</f>
        <v>0</v>
      </c>
      <c r="W10" s="437"/>
      <c r="X10" s="437"/>
      <c r="Y10" s="437"/>
      <c r="Z10" s="437"/>
      <c r="AA10" s="437"/>
      <c r="AB10" s="438">
        <f>(O10*'Project Data Input'!$F$14)+('Option C'!Q10*'Project Data Input'!$F$15)+('Project Data Input'!$F$16*'Option C'!S10)+('Project Data Input'!$F$17*'Option C'!U10)</f>
        <v>0</v>
      </c>
      <c r="AC10" s="439">
        <f>((O10*'Technology Inputs'!$E$6)+('Technology Inputs'!$E$7*'Option C'!Q10)+('Option C'!S10*(VLOOKUP('Option C'!$R$4,'Technology Inputs'!$C$8:$E$15,3,FALSE)))+(U10*(VLOOKUP($T$4,'Technology Inputs'!$C$8:$E$15,3,FALSE))))/1000</f>
        <v>0</v>
      </c>
      <c r="AD10" s="440" t="e">
        <f t="shared" si="0"/>
        <v>#DIV/0!</v>
      </c>
      <c r="AE10" s="441" t="e">
        <f>VLOOKUP(D10, 'Technology Inputs'!$D$44:$E$172, 2, FALSE)</f>
        <v>#N/A</v>
      </c>
      <c r="AF10" s="441" t="e">
        <f t="shared" si="1"/>
        <v>#N/A</v>
      </c>
      <c r="AG10" s="442" t="e">
        <f>M10/(AC10*AE10)</f>
        <v>#N/A</v>
      </c>
    </row>
    <row r="11" spans="1:33" ht="12" customHeight="1" x14ac:dyDescent="0.25">
      <c r="A11" s="430">
        <v>5</v>
      </c>
      <c r="B11" s="430" t="str">
        <f>'DASHBOARD '!H13</f>
        <v xml:space="preserve"> </v>
      </c>
      <c r="C11" s="564">
        <f>'ECM Options Data'!D18</f>
        <v>0</v>
      </c>
      <c r="D11" s="564">
        <f>'ECM Options Data'!E18</f>
        <v>0</v>
      </c>
      <c r="E11" s="564">
        <f>'ECM Options Data'!F18</f>
        <v>0</v>
      </c>
      <c r="F11" s="564">
        <f>'ECM Options Data'!G18</f>
        <v>0</v>
      </c>
      <c r="G11" s="564">
        <f>'ECM Options Data'!H18</f>
        <v>0</v>
      </c>
      <c r="H11" s="564">
        <f>'ECM Options Data'!I18</f>
        <v>0</v>
      </c>
      <c r="I11" s="564">
        <f>'ECM Options Data'!J18</f>
        <v>0</v>
      </c>
      <c r="J11" s="564">
        <f>'ECM Options Data'!K18</f>
        <v>0</v>
      </c>
      <c r="K11" s="564">
        <f>'ECM Options Data'!L18</f>
        <v>0</v>
      </c>
      <c r="L11" s="564">
        <f>'ECM Options Data'!M18</f>
        <v>0</v>
      </c>
      <c r="M11" s="564">
        <f>'ECM Options Data'!N18</f>
        <v>0</v>
      </c>
      <c r="N11" s="564"/>
      <c r="O11" s="435">
        <f>IF($B11="x", 'ECM Options Data'!P18, 0)</f>
        <v>0</v>
      </c>
      <c r="P11" s="565"/>
      <c r="Q11" s="435">
        <f>IF($B11="x", 'ECM Options Data'!R18, 0)</f>
        <v>0</v>
      </c>
      <c r="R11" s="435"/>
      <c r="S11" s="435">
        <f>IF($B11="x",'ECM Options Data'!T18, 0)</f>
        <v>0</v>
      </c>
      <c r="T11" s="433"/>
      <c r="U11" s="435">
        <f>IF($B11="x", 'ECM Options Data'!V18,0)</f>
        <v>0</v>
      </c>
      <c r="V11" s="566">
        <f>'ECM Options Data'!W18</f>
        <v>0</v>
      </c>
      <c r="W11" s="437"/>
      <c r="X11" s="437"/>
      <c r="Y11" s="437"/>
      <c r="Z11" s="437"/>
      <c r="AA11" s="437"/>
      <c r="AB11" s="438">
        <f>(O11*'Project Data Input'!$F$14)+('Option C'!Q11*'Project Data Input'!$F$15)+('Project Data Input'!$F$16*'Option C'!S11)+('Project Data Input'!$F$17*'Option C'!U11)</f>
        <v>0</v>
      </c>
      <c r="AC11" s="439">
        <f>((O11*'Technology Inputs'!$E$6)+('Technology Inputs'!$E$7*'Option C'!Q11)+('Option C'!S11*(VLOOKUP('Option C'!$R$4,'Technology Inputs'!$C$8:$E$15,3,FALSE)))+(U11*(VLOOKUP($T$4,'Technology Inputs'!$C$8:$E$15,3,FALSE))))/1000</f>
        <v>0</v>
      </c>
      <c r="AD11" s="440" t="e">
        <f t="shared" si="0"/>
        <v>#DIV/0!</v>
      </c>
      <c r="AE11" s="441" t="e">
        <f>VLOOKUP(D11, 'Technology Inputs'!$D$44:$E$172, 2, FALSE)</f>
        <v>#N/A</v>
      </c>
      <c r="AF11" s="441" t="e">
        <f t="shared" si="1"/>
        <v>#N/A</v>
      </c>
      <c r="AG11" s="442" t="e">
        <f>M11/(AC11*AE11)</f>
        <v>#N/A</v>
      </c>
    </row>
    <row r="12" spans="1:33" ht="12" customHeight="1" x14ac:dyDescent="0.25">
      <c r="A12" s="430">
        <v>6</v>
      </c>
      <c r="B12" s="430" t="str">
        <f>'DASHBOARD '!H14</f>
        <v xml:space="preserve"> </v>
      </c>
      <c r="C12" s="564">
        <f>'ECM Options Data'!D19</f>
        <v>0</v>
      </c>
      <c r="D12" s="564">
        <f>'ECM Options Data'!E19</f>
        <v>0</v>
      </c>
      <c r="E12" s="564">
        <f>'ECM Options Data'!F19</f>
        <v>0</v>
      </c>
      <c r="F12" s="564">
        <f>'ECM Options Data'!G19</f>
        <v>0</v>
      </c>
      <c r="G12" s="564">
        <f>'ECM Options Data'!H19</f>
        <v>0</v>
      </c>
      <c r="H12" s="564">
        <f>'ECM Options Data'!I19</f>
        <v>0</v>
      </c>
      <c r="I12" s="564">
        <f>'ECM Options Data'!J19</f>
        <v>0</v>
      </c>
      <c r="J12" s="564">
        <f>'ECM Options Data'!K19</f>
        <v>0</v>
      </c>
      <c r="K12" s="564">
        <f>'ECM Options Data'!L19</f>
        <v>0</v>
      </c>
      <c r="L12" s="564">
        <f>'ECM Options Data'!M19</f>
        <v>0</v>
      </c>
      <c r="M12" s="564">
        <f>'ECM Options Data'!N19</f>
        <v>0</v>
      </c>
      <c r="N12" s="564"/>
      <c r="O12" s="435">
        <f>IF($B12="x", 'ECM Options Data'!P19, 0)</f>
        <v>0</v>
      </c>
      <c r="P12" s="565"/>
      <c r="Q12" s="435">
        <f>IF($B12="x", 'ECM Options Data'!R19, 0)</f>
        <v>0</v>
      </c>
      <c r="R12" s="435"/>
      <c r="S12" s="435">
        <f>IF($B12="x",'ECM Options Data'!T19, 0)</f>
        <v>0</v>
      </c>
      <c r="T12" s="433"/>
      <c r="U12" s="435">
        <f>IF($B12="x", 'ECM Options Data'!V19,0)</f>
        <v>0</v>
      </c>
      <c r="V12" s="566">
        <f>'ECM Options Data'!W19</f>
        <v>0</v>
      </c>
      <c r="W12" s="437"/>
      <c r="X12" s="437"/>
      <c r="Y12" s="437"/>
      <c r="Z12" s="437"/>
      <c r="AA12" s="437"/>
      <c r="AB12" s="438">
        <f>(O12*'Project Data Input'!$F$14)+('Option C'!Q12*'Project Data Input'!$F$15)+('Project Data Input'!$F$16*'Option C'!S12)+('Project Data Input'!$F$17*'Option C'!U12)</f>
        <v>0</v>
      </c>
      <c r="AC12" s="439">
        <f>((O12*'Technology Inputs'!$E$6)+('Technology Inputs'!$E$7*'Option C'!Q12)+('Option C'!S12*(VLOOKUP('Option C'!$R$4,'Technology Inputs'!$C$8:$E$15,3,FALSE)))+(U12*(VLOOKUP($T$4,'Technology Inputs'!$C$8:$E$15,3,FALSE))))/1000</f>
        <v>0</v>
      </c>
      <c r="AD12" s="440" t="e">
        <f t="shared" si="0"/>
        <v>#DIV/0!</v>
      </c>
      <c r="AE12" s="441" t="e">
        <f>VLOOKUP(D12, 'Technology Inputs'!$D$44:$E$172, 2, FALSE)</f>
        <v>#N/A</v>
      </c>
      <c r="AF12" s="441">
        <f>IF(AC12&lt;0, AC12*AE12, 0)</f>
        <v>0</v>
      </c>
      <c r="AG12" s="442" t="e">
        <f t="shared" ref="AG12:AG15" si="2">M12/(AC12*AE12)</f>
        <v>#N/A</v>
      </c>
    </row>
    <row r="13" spans="1:33" ht="12" customHeight="1" x14ac:dyDescent="0.25">
      <c r="A13" s="430">
        <v>7</v>
      </c>
      <c r="B13" s="430" t="str">
        <f>'DASHBOARD '!H15</f>
        <v xml:space="preserve"> </v>
      </c>
      <c r="C13" s="564">
        <f>'ECM Options Data'!D20</f>
        <v>0</v>
      </c>
      <c r="D13" s="564">
        <f>'ECM Options Data'!E20</f>
        <v>0</v>
      </c>
      <c r="E13" s="564">
        <f>'ECM Options Data'!F20</f>
        <v>0</v>
      </c>
      <c r="F13" s="564">
        <f>'ECM Options Data'!G20</f>
        <v>0</v>
      </c>
      <c r="G13" s="564">
        <f>'ECM Options Data'!H20</f>
        <v>0</v>
      </c>
      <c r="H13" s="564">
        <f>'ECM Options Data'!I20</f>
        <v>0</v>
      </c>
      <c r="I13" s="564">
        <f>'ECM Options Data'!J20</f>
        <v>0</v>
      </c>
      <c r="J13" s="564">
        <f>'ECM Options Data'!K20</f>
        <v>0</v>
      </c>
      <c r="K13" s="564">
        <f>'ECM Options Data'!L20</f>
        <v>0</v>
      </c>
      <c r="L13" s="564">
        <f>'ECM Options Data'!M20</f>
        <v>0</v>
      </c>
      <c r="M13" s="564">
        <f>'ECM Options Data'!N20</f>
        <v>0</v>
      </c>
      <c r="N13" s="564"/>
      <c r="O13" s="435">
        <f>IF($B13="x", 'ECM Options Data'!P20, 0)</f>
        <v>0</v>
      </c>
      <c r="P13" s="565"/>
      <c r="Q13" s="435">
        <f>IF($B13="x", 'ECM Options Data'!R20, 0)</f>
        <v>0</v>
      </c>
      <c r="R13" s="435"/>
      <c r="S13" s="435">
        <f>IF($B13="x",'ECM Options Data'!T20, 0)</f>
        <v>0</v>
      </c>
      <c r="T13" s="433"/>
      <c r="U13" s="435">
        <f>IF($B13="x", 'ECM Options Data'!V20,0)</f>
        <v>0</v>
      </c>
      <c r="V13" s="566">
        <f>'ECM Options Data'!W20</f>
        <v>0</v>
      </c>
      <c r="W13" s="437"/>
      <c r="X13" s="437"/>
      <c r="Y13" s="437"/>
      <c r="Z13" s="437"/>
      <c r="AA13" s="437"/>
      <c r="AB13" s="438">
        <f>(O13*'Project Data Input'!$F$14)+('Option C'!Q13*'Project Data Input'!$F$15)+('Project Data Input'!$F$16*'Option C'!S13)+('Project Data Input'!$F$17*'Option C'!U13)</f>
        <v>0</v>
      </c>
      <c r="AC13" s="439">
        <f>((O13*'Technology Inputs'!$E$6)+('Technology Inputs'!$E$7*'Option C'!Q13)+('Option C'!S13*(VLOOKUP('Option C'!$R$4,'Technology Inputs'!$C$8:$E$15,3,FALSE)))+(U13*(VLOOKUP($T$4,'Technology Inputs'!$C$8:$E$15,3,FALSE))))/1000</f>
        <v>0</v>
      </c>
      <c r="AD13" s="440" t="e">
        <f t="shared" si="0"/>
        <v>#DIV/0!</v>
      </c>
      <c r="AE13" s="441" t="e">
        <f>VLOOKUP(D13, 'Technology Inputs'!$D$44:$E$172, 2, FALSE)</f>
        <v>#N/A</v>
      </c>
      <c r="AF13" s="441">
        <f t="shared" ref="AF13:AF15" si="3">IF(AC13&lt;0, AC13*AE13, 0)</f>
        <v>0</v>
      </c>
      <c r="AG13" s="442" t="e">
        <f t="shared" si="2"/>
        <v>#N/A</v>
      </c>
    </row>
    <row r="14" spans="1:33" ht="12" customHeight="1" x14ac:dyDescent="0.25">
      <c r="A14" s="430">
        <v>8</v>
      </c>
      <c r="B14" s="430" t="str">
        <f>'DASHBOARD '!H16</f>
        <v xml:space="preserve"> </v>
      </c>
      <c r="C14" s="564">
        <f>'ECM Options Data'!D21</f>
        <v>0</v>
      </c>
      <c r="D14" s="564">
        <f>'ECM Options Data'!E21</f>
        <v>0</v>
      </c>
      <c r="E14" s="564">
        <f>'ECM Options Data'!F21</f>
        <v>0</v>
      </c>
      <c r="F14" s="564">
        <f>'ECM Options Data'!G21</f>
        <v>0</v>
      </c>
      <c r="G14" s="564">
        <f>'ECM Options Data'!H21</f>
        <v>0</v>
      </c>
      <c r="H14" s="564">
        <f>'ECM Options Data'!I21</f>
        <v>0</v>
      </c>
      <c r="I14" s="564">
        <f>'ECM Options Data'!J21</f>
        <v>0</v>
      </c>
      <c r="J14" s="564">
        <f>'ECM Options Data'!K21</f>
        <v>0</v>
      </c>
      <c r="K14" s="564">
        <f>'ECM Options Data'!L21</f>
        <v>0</v>
      </c>
      <c r="L14" s="564">
        <f>'ECM Options Data'!M21</f>
        <v>0</v>
      </c>
      <c r="M14" s="564">
        <f>'ECM Options Data'!N21</f>
        <v>0</v>
      </c>
      <c r="N14" s="564"/>
      <c r="O14" s="435">
        <f>IF($B14="x", 'ECM Options Data'!P21, 0)</f>
        <v>0</v>
      </c>
      <c r="P14" s="565"/>
      <c r="Q14" s="435">
        <f>IF($B14="x", 'ECM Options Data'!R21, 0)</f>
        <v>0</v>
      </c>
      <c r="R14" s="435"/>
      <c r="S14" s="435">
        <f>IF($B14="x",'ECM Options Data'!T21, 0)</f>
        <v>0</v>
      </c>
      <c r="T14" s="433"/>
      <c r="U14" s="435">
        <f>IF($B14="x", 'ECM Options Data'!V21,0)</f>
        <v>0</v>
      </c>
      <c r="V14" s="566">
        <f>'ECM Options Data'!W21</f>
        <v>0</v>
      </c>
      <c r="W14" s="437"/>
      <c r="X14" s="437"/>
      <c r="Y14" s="437"/>
      <c r="Z14" s="437"/>
      <c r="AA14" s="437"/>
      <c r="AB14" s="438">
        <f>(O14*'Project Data Input'!$F$14)+('Option C'!Q14*'Project Data Input'!$F$15)+('Project Data Input'!$F$16*'Option C'!S14)+('Project Data Input'!$F$17*'Option C'!U14)</f>
        <v>0</v>
      </c>
      <c r="AC14" s="439">
        <f>((O14*'Technology Inputs'!$E$6)+('Technology Inputs'!$E$7*'Option C'!Q14)+('Option C'!S14*(VLOOKUP('Option C'!$R$4,'Technology Inputs'!$C$8:$E$15,3,FALSE)))+(U14*(VLOOKUP($T$4,'Technology Inputs'!$C$8:$E$15,3,FALSE))))/1000</f>
        <v>0</v>
      </c>
      <c r="AD14" s="440" t="e">
        <f t="shared" si="0"/>
        <v>#DIV/0!</v>
      </c>
      <c r="AE14" s="441" t="e">
        <f>VLOOKUP(D14, 'Technology Inputs'!$D$44:$E$172, 2, FALSE)</f>
        <v>#N/A</v>
      </c>
      <c r="AF14" s="441">
        <f t="shared" si="3"/>
        <v>0</v>
      </c>
      <c r="AG14" s="442" t="e">
        <f t="shared" si="2"/>
        <v>#N/A</v>
      </c>
    </row>
    <row r="15" spans="1:33" ht="12" customHeight="1" x14ac:dyDescent="0.25">
      <c r="A15" s="430">
        <v>9</v>
      </c>
      <c r="B15" s="430" t="str">
        <f>'DASHBOARD '!H17</f>
        <v xml:space="preserve"> </v>
      </c>
      <c r="C15" s="564">
        <f>'ECM Options Data'!D22</f>
        <v>0</v>
      </c>
      <c r="D15" s="564">
        <f>'ECM Options Data'!E22</f>
        <v>0</v>
      </c>
      <c r="E15" s="564">
        <f>'ECM Options Data'!F22</f>
        <v>0</v>
      </c>
      <c r="F15" s="564">
        <f>'ECM Options Data'!G22</f>
        <v>0</v>
      </c>
      <c r="G15" s="564">
        <f>'ECM Options Data'!H22</f>
        <v>0</v>
      </c>
      <c r="H15" s="564">
        <f>'ECM Options Data'!I22</f>
        <v>0</v>
      </c>
      <c r="I15" s="564">
        <f>'ECM Options Data'!J22</f>
        <v>0</v>
      </c>
      <c r="J15" s="564">
        <f>'ECM Options Data'!K22</f>
        <v>0</v>
      </c>
      <c r="K15" s="564">
        <f>'ECM Options Data'!L22</f>
        <v>0</v>
      </c>
      <c r="L15" s="564">
        <f>'ECM Options Data'!M22</f>
        <v>0</v>
      </c>
      <c r="M15" s="564">
        <f>'ECM Options Data'!N22</f>
        <v>0</v>
      </c>
      <c r="N15" s="564"/>
      <c r="O15" s="435">
        <f>IF($B15="x", 'ECM Options Data'!P22, 0)</f>
        <v>0</v>
      </c>
      <c r="P15" s="565"/>
      <c r="Q15" s="435">
        <f>IF($B15="x", 'ECM Options Data'!R22, 0)</f>
        <v>0</v>
      </c>
      <c r="R15" s="435"/>
      <c r="S15" s="435">
        <f>IF($B15="x",'ECM Options Data'!T22, 0)</f>
        <v>0</v>
      </c>
      <c r="T15" s="433"/>
      <c r="U15" s="435">
        <f>IF($B15="x", 'ECM Options Data'!V22,0)</f>
        <v>0</v>
      </c>
      <c r="V15" s="566">
        <f>'ECM Options Data'!W22</f>
        <v>0</v>
      </c>
      <c r="W15" s="437"/>
      <c r="X15" s="437"/>
      <c r="Y15" s="437"/>
      <c r="Z15" s="437"/>
      <c r="AA15" s="437"/>
      <c r="AB15" s="438">
        <f>(O15*'Project Data Input'!$F$14)+('Option C'!Q15*'Project Data Input'!$F$15)+('Project Data Input'!$F$16*'Option C'!S15)+('Project Data Input'!$F$17*'Option C'!U15)</f>
        <v>0</v>
      </c>
      <c r="AC15" s="439">
        <f>((O15*'Technology Inputs'!$E$6)+('Technology Inputs'!$E$7*'Option C'!Q15)+('Option C'!S15*(VLOOKUP('Option C'!$R$4,'Technology Inputs'!$C$8:$E$15,3,FALSE)))+(U15*(VLOOKUP($T$4,'Technology Inputs'!$C$8:$E$15,3,FALSE))))/1000</f>
        <v>0</v>
      </c>
      <c r="AD15" s="440" t="e">
        <f t="shared" si="0"/>
        <v>#DIV/0!</v>
      </c>
      <c r="AE15" s="441" t="e">
        <f>VLOOKUP(D15, 'Technology Inputs'!$D$44:$E$172, 2, FALSE)</f>
        <v>#N/A</v>
      </c>
      <c r="AF15" s="441">
        <f t="shared" si="3"/>
        <v>0</v>
      </c>
      <c r="AG15" s="442" t="e">
        <f t="shared" si="2"/>
        <v>#N/A</v>
      </c>
    </row>
    <row r="16" spans="1:33" ht="12" customHeight="1" x14ac:dyDescent="0.25">
      <c r="A16" s="428" t="s">
        <v>63</v>
      </c>
      <c r="C16" s="443"/>
      <c r="D16" s="444"/>
      <c r="E16" s="444"/>
      <c r="F16" s="444"/>
      <c r="G16" s="444"/>
      <c r="H16" s="444"/>
      <c r="I16" s="444"/>
      <c r="J16" s="445"/>
      <c r="K16" s="445"/>
      <c r="L16" s="445"/>
      <c r="M16" s="446">
        <f>SUMIF(B7:B15, "x", M7:M15)</f>
        <v>0</v>
      </c>
      <c r="N16" s="447"/>
      <c r="O16" s="446">
        <f>IF(SUM(O7:O15)&gt;'Project Data Input'!D14, 'Project Data Input'!D14, SUM(O7:O15))</f>
        <v>0</v>
      </c>
      <c r="P16" s="448"/>
      <c r="Q16" s="446">
        <f>IF(SUM(Q7:Q15)&gt;'Project Data Input'!D15,'Project Data Input'!D15,SUM('Option C'!Q7:Q15))</f>
        <v>0</v>
      </c>
      <c r="R16" s="448"/>
      <c r="S16" s="446">
        <f>IF(SUM(S7:S15)&gt;'Project Data Input'!D16, 'Project Data Input'!D16, SUM(S7:S15))</f>
        <v>0</v>
      </c>
      <c r="T16" s="447"/>
      <c r="U16" s="446">
        <f>IF(SUM(U7:U15)&gt;'Project Data Input'!D17, 'Project Data Input'!D17, SUM(U7:U15))</f>
        <v>0</v>
      </c>
      <c r="V16" s="447"/>
      <c r="W16" s="448"/>
      <c r="X16" s="448"/>
      <c r="Y16" s="448"/>
      <c r="Z16" s="448"/>
      <c r="AA16" s="448"/>
      <c r="AB16" s="446">
        <f t="shared" ref="AB16:AC16" si="4">SUM(AB7:AB15)</f>
        <v>0</v>
      </c>
      <c r="AC16" s="446">
        <f t="shared" si="4"/>
        <v>0</v>
      </c>
      <c r="AD16" s="449" t="e">
        <f>M16/AB16</f>
        <v>#DIV/0!</v>
      </c>
      <c r="AE16" s="446"/>
      <c r="AF16" s="446" t="e">
        <f>SUM(AF7:AF15)</f>
        <v>#N/A</v>
      </c>
      <c r="AG16" s="446" t="e">
        <f>M16/AF16</f>
        <v>#N/A</v>
      </c>
    </row>
    <row r="17" spans="1:42" x14ac:dyDescent="0.25">
      <c r="A17" s="450"/>
      <c r="B17" s="450"/>
      <c r="C17" s="450"/>
      <c r="D17" s="451"/>
      <c r="E17" s="451"/>
      <c r="F17" s="451"/>
      <c r="G17" s="451"/>
      <c r="H17" s="451"/>
      <c r="I17" s="451"/>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row>
  </sheetData>
  <sheetProtection algorithmName="SHA-512" hashValue="XK4jQGvcKE9U1Ellup1cEC7fZf44UgIRQPmSSkSiqFh6PG1r2kE+Cl1b7GESQYHXrObd5LSVOfGed1iv2CF02g==" saltValue="Jwtpu79MAJYI0eJPivTdzA==" spinCount="100000" sheet="1" objects="1" scenarios="1"/>
  <mergeCells count="24">
    <mergeCell ref="N5:O5"/>
    <mergeCell ref="N3:AG3"/>
    <mergeCell ref="N4:O4"/>
    <mergeCell ref="P4:Q4"/>
    <mergeCell ref="R4:S4"/>
    <mergeCell ref="T4:U4"/>
    <mergeCell ref="V4:W4"/>
    <mergeCell ref="X4:AA4"/>
    <mergeCell ref="AB4:AG4"/>
    <mergeCell ref="P5:Q5"/>
    <mergeCell ref="V5:W5"/>
    <mergeCell ref="X5:Y5"/>
    <mergeCell ref="AB5:AC5"/>
    <mergeCell ref="AG5:AG6"/>
    <mergeCell ref="R5:S5"/>
    <mergeCell ref="T5:U5"/>
    <mergeCell ref="A3:D4"/>
    <mergeCell ref="J3:J5"/>
    <mergeCell ref="K3:K5"/>
    <mergeCell ref="L3:L5"/>
    <mergeCell ref="M3:M5"/>
    <mergeCell ref="A5:A6"/>
    <mergeCell ref="C5:C6"/>
    <mergeCell ref="D5:D6"/>
  </mergeCells>
  <dataValidations count="1">
    <dataValidation type="list" allowBlank="1" showInputMessage="1" showErrorMessage="1" sqref="C7:N15" xr:uid="{4ABE0799-9086-4772-B5E9-A0C3C47D018F}">
      <formula1>Category</formula1>
    </dataValidation>
  </dataValidation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33A1-5E75-4C97-AB00-229E3500EFC5}">
  <sheetPr>
    <tabColor rgb="FFFF0000"/>
  </sheetPr>
  <dimension ref="A1:AS36"/>
  <sheetViews>
    <sheetView zoomScaleNormal="100" workbookViewId="0">
      <pane xSplit="4" ySplit="6" topLeftCell="E7" activePane="bottomRight" state="frozen"/>
      <selection activeCell="AH14" sqref="AH14"/>
      <selection pane="topRight" activeCell="AH14" sqref="AH14"/>
      <selection pane="bottomLeft" activeCell="AH14" sqref="AH14"/>
      <selection pane="bottomRight" activeCell="D38" sqref="D38"/>
    </sheetView>
  </sheetViews>
  <sheetFormatPr defaultColWidth="9.140625" defaultRowHeight="12" x14ac:dyDescent="0.2"/>
  <cols>
    <col min="1" max="1" width="9.140625" style="452"/>
    <col min="2" max="2" width="10.85546875" style="452" customWidth="1"/>
    <col min="3" max="3" width="24.140625" style="452" customWidth="1"/>
    <col min="4" max="4" width="38.42578125" style="452" bestFit="1" customWidth="1"/>
    <col min="5" max="6" width="10.140625" style="559" customWidth="1"/>
    <col min="7" max="7" width="10.85546875" style="452" customWidth="1"/>
    <col min="8" max="8" width="12.140625" style="560" customWidth="1"/>
    <col min="9" max="9" width="11.140625" style="560" customWidth="1"/>
    <col min="10" max="10" width="9.85546875" style="452" bestFit="1" customWidth="1"/>
    <col min="11" max="11" width="9.42578125" style="452" bestFit="1" customWidth="1"/>
    <col min="12" max="12" width="11" style="452" customWidth="1"/>
    <col min="13" max="13" width="8.85546875" style="452" customWidth="1"/>
    <col min="14" max="16" width="11.85546875" style="452" customWidth="1"/>
    <col min="17" max="18" width="12.85546875" style="452" customWidth="1"/>
    <col min="19" max="19" width="9.85546875" style="457" bestFit="1" customWidth="1"/>
    <col min="20" max="20" width="11.85546875" style="452" customWidth="1"/>
    <col min="21" max="21" width="11" style="452" bestFit="1" customWidth="1"/>
    <col min="22" max="22" width="10" style="452" bestFit="1" customWidth="1"/>
    <col min="23" max="23" width="9.5703125" style="452" bestFit="1" customWidth="1"/>
    <col min="24" max="25" width="10" style="452" bestFit="1" customWidth="1"/>
    <col min="26" max="26" width="10.5703125" style="452" bestFit="1" customWidth="1"/>
    <col min="27" max="27" width="10" style="452" bestFit="1" customWidth="1"/>
    <col min="28" max="28" width="9.140625" style="452"/>
    <col min="29" max="29" width="12.85546875" style="452" customWidth="1"/>
    <col min="30" max="30" width="9.140625" style="452"/>
    <col min="31" max="31" width="10" style="452" bestFit="1" customWidth="1"/>
    <col min="32" max="32" width="9.5703125" style="452" bestFit="1" customWidth="1"/>
    <col min="33" max="34" width="10.5703125" style="452" bestFit="1" customWidth="1"/>
    <col min="35" max="35" width="10" style="452" bestFit="1" customWidth="1"/>
    <col min="36" max="36" width="9.140625" style="452"/>
    <col min="37" max="38" width="10" style="452" bestFit="1" customWidth="1"/>
    <col min="39" max="39" width="10.5703125" style="452" bestFit="1" customWidth="1"/>
    <col min="40" max="40" width="10.42578125" style="452" bestFit="1" customWidth="1"/>
    <col min="41" max="41" width="9.140625" style="452"/>
    <col min="42" max="42" width="9.5703125" style="452" bestFit="1" customWidth="1"/>
    <col min="43" max="43" width="10.42578125" style="452" bestFit="1" customWidth="1"/>
    <col min="44" max="44" width="10" style="452" bestFit="1" customWidth="1"/>
    <col min="45" max="45" width="12.42578125" style="452" bestFit="1" customWidth="1"/>
    <col min="46" max="262" width="9.140625" style="452"/>
    <col min="263" max="263" width="16.5703125" style="452" bestFit="1" customWidth="1"/>
    <col min="264" max="264" width="38.42578125" style="452" bestFit="1" customWidth="1"/>
    <col min="265" max="265" width="0" style="452" hidden="1" customWidth="1"/>
    <col min="266" max="266" width="36.5703125" style="452" customWidth="1"/>
    <col min="267" max="267" width="12.140625" style="452" customWidth="1"/>
    <col min="268" max="268" width="7.5703125" style="452" bestFit="1" customWidth="1"/>
    <col min="269" max="269" width="4.42578125" style="452" bestFit="1" customWidth="1"/>
    <col min="270" max="270" width="9.85546875" style="452" bestFit="1" customWidth="1"/>
    <col min="271" max="271" width="9.42578125" style="452" bestFit="1" customWidth="1"/>
    <col min="272" max="272" width="8.85546875" style="452" customWidth="1"/>
    <col min="273" max="273" width="9.140625" style="452"/>
    <col min="274" max="274" width="12.85546875" style="452" customWidth="1"/>
    <col min="275" max="275" width="9.140625" style="452"/>
    <col min="276" max="276" width="11.85546875" style="452" customWidth="1"/>
    <col min="277" max="277" width="11" style="452" bestFit="1" customWidth="1"/>
    <col min="278" max="278" width="10" style="452" bestFit="1" customWidth="1"/>
    <col min="279" max="279" width="9.5703125" style="452" bestFit="1" customWidth="1"/>
    <col min="280" max="281" width="10" style="452" bestFit="1" customWidth="1"/>
    <col min="282" max="282" width="10.5703125" style="452" bestFit="1" customWidth="1"/>
    <col min="283" max="283" width="10" style="452" bestFit="1" customWidth="1"/>
    <col min="284" max="284" width="9.140625" style="452"/>
    <col min="285" max="285" width="11" style="452" bestFit="1" customWidth="1"/>
    <col min="286" max="286" width="9.140625" style="452"/>
    <col min="287" max="287" width="10" style="452" bestFit="1" customWidth="1"/>
    <col min="288" max="288" width="9.5703125" style="452" bestFit="1" customWidth="1"/>
    <col min="289" max="290" width="10.5703125" style="452" bestFit="1" customWidth="1"/>
    <col min="291" max="291" width="10" style="452" bestFit="1" customWidth="1"/>
    <col min="292" max="292" width="9.140625" style="452"/>
    <col min="293" max="294" width="10" style="452" bestFit="1" customWidth="1"/>
    <col min="295" max="295" width="10.5703125" style="452" bestFit="1" customWidth="1"/>
    <col min="296" max="296" width="10.42578125" style="452" bestFit="1" customWidth="1"/>
    <col min="297" max="297" width="9.140625" style="452"/>
    <col min="298" max="298" width="9.5703125" style="452" bestFit="1" customWidth="1"/>
    <col min="299" max="299" width="10.42578125" style="452" bestFit="1" customWidth="1"/>
    <col min="300" max="300" width="10" style="452" bestFit="1" customWidth="1"/>
    <col min="301" max="301" width="12.42578125" style="452" bestFit="1" customWidth="1"/>
    <col min="302" max="518" width="9.140625" style="452"/>
    <col min="519" max="519" width="16.5703125" style="452" bestFit="1" customWidth="1"/>
    <col min="520" max="520" width="38.42578125" style="452" bestFit="1" customWidth="1"/>
    <col min="521" max="521" width="0" style="452" hidden="1" customWidth="1"/>
    <col min="522" max="522" width="36.5703125" style="452" customWidth="1"/>
    <col min="523" max="523" width="12.140625" style="452" customWidth="1"/>
    <col min="524" max="524" width="7.5703125" style="452" bestFit="1" customWidth="1"/>
    <col min="525" max="525" width="4.42578125" style="452" bestFit="1" customWidth="1"/>
    <col min="526" max="526" width="9.85546875" style="452" bestFit="1" customWidth="1"/>
    <col min="527" max="527" width="9.42578125" style="452" bestFit="1" customWidth="1"/>
    <col min="528" max="528" width="8.85546875" style="452" customWidth="1"/>
    <col min="529" max="529" width="9.140625" style="452"/>
    <col min="530" max="530" width="12.85546875" style="452" customWidth="1"/>
    <col min="531" max="531" width="9.140625" style="452"/>
    <col min="532" max="532" width="11.85546875" style="452" customWidth="1"/>
    <col min="533" max="533" width="11" style="452" bestFit="1" customWidth="1"/>
    <col min="534" max="534" width="10" style="452" bestFit="1" customWidth="1"/>
    <col min="535" max="535" width="9.5703125" style="452" bestFit="1" customWidth="1"/>
    <col min="536" max="537" width="10" style="452" bestFit="1" customWidth="1"/>
    <col min="538" max="538" width="10.5703125" style="452" bestFit="1" customWidth="1"/>
    <col min="539" max="539" width="10" style="452" bestFit="1" customWidth="1"/>
    <col min="540" max="540" width="9.140625" style="452"/>
    <col min="541" max="541" width="11" style="452" bestFit="1" customWidth="1"/>
    <col min="542" max="542" width="9.140625" style="452"/>
    <col min="543" max="543" width="10" style="452" bestFit="1" customWidth="1"/>
    <col min="544" max="544" width="9.5703125" style="452" bestFit="1" customWidth="1"/>
    <col min="545" max="546" width="10.5703125" style="452" bestFit="1" customWidth="1"/>
    <col min="547" max="547" width="10" style="452" bestFit="1" customWidth="1"/>
    <col min="548" max="548" width="9.140625" style="452"/>
    <col min="549" max="550" width="10" style="452" bestFit="1" customWidth="1"/>
    <col min="551" max="551" width="10.5703125" style="452" bestFit="1" customWidth="1"/>
    <col min="552" max="552" width="10.42578125" style="452" bestFit="1" customWidth="1"/>
    <col min="553" max="553" width="9.140625" style="452"/>
    <col min="554" max="554" width="9.5703125" style="452" bestFit="1" customWidth="1"/>
    <col min="555" max="555" width="10.42578125" style="452" bestFit="1" customWidth="1"/>
    <col min="556" max="556" width="10" style="452" bestFit="1" customWidth="1"/>
    <col min="557" max="557" width="12.42578125" style="452" bestFit="1" customWidth="1"/>
    <col min="558" max="774" width="9.140625" style="452"/>
    <col min="775" max="775" width="16.5703125" style="452" bestFit="1" customWidth="1"/>
    <col min="776" max="776" width="38.42578125" style="452" bestFit="1" customWidth="1"/>
    <col min="777" max="777" width="0" style="452" hidden="1" customWidth="1"/>
    <col min="778" max="778" width="36.5703125" style="452" customWidth="1"/>
    <col min="779" max="779" width="12.140625" style="452" customWidth="1"/>
    <col min="780" max="780" width="7.5703125" style="452" bestFit="1" customWidth="1"/>
    <col min="781" max="781" width="4.42578125" style="452" bestFit="1" customWidth="1"/>
    <col min="782" max="782" width="9.85546875" style="452" bestFit="1" customWidth="1"/>
    <col min="783" max="783" width="9.42578125" style="452" bestFit="1" customWidth="1"/>
    <col min="784" max="784" width="8.85546875" style="452" customWidth="1"/>
    <col min="785" max="785" width="9.140625" style="452"/>
    <col min="786" max="786" width="12.85546875" style="452" customWidth="1"/>
    <col min="787" max="787" width="9.140625" style="452"/>
    <col min="788" max="788" width="11.85546875" style="452" customWidth="1"/>
    <col min="789" max="789" width="11" style="452" bestFit="1" customWidth="1"/>
    <col min="790" max="790" width="10" style="452" bestFit="1" customWidth="1"/>
    <col min="791" max="791" width="9.5703125" style="452" bestFit="1" customWidth="1"/>
    <col min="792" max="793" width="10" style="452" bestFit="1" customWidth="1"/>
    <col min="794" max="794" width="10.5703125" style="452" bestFit="1" customWidth="1"/>
    <col min="795" max="795" width="10" style="452" bestFit="1" customWidth="1"/>
    <col min="796" max="796" width="9.140625" style="452"/>
    <col min="797" max="797" width="11" style="452" bestFit="1" customWidth="1"/>
    <col min="798" max="798" width="9.140625" style="452"/>
    <col min="799" max="799" width="10" style="452" bestFit="1" customWidth="1"/>
    <col min="800" max="800" width="9.5703125" style="452" bestFit="1" customWidth="1"/>
    <col min="801" max="802" width="10.5703125" style="452" bestFit="1" customWidth="1"/>
    <col min="803" max="803" width="10" style="452" bestFit="1" customWidth="1"/>
    <col min="804" max="804" width="9.140625" style="452"/>
    <col min="805" max="806" width="10" style="452" bestFit="1" customWidth="1"/>
    <col min="807" max="807" width="10.5703125" style="452" bestFit="1" customWidth="1"/>
    <col min="808" max="808" width="10.42578125" style="452" bestFit="1" customWidth="1"/>
    <col min="809" max="809" width="9.140625" style="452"/>
    <col min="810" max="810" width="9.5703125" style="452" bestFit="1" customWidth="1"/>
    <col min="811" max="811" width="10.42578125" style="452" bestFit="1" customWidth="1"/>
    <col min="812" max="812" width="10" style="452" bestFit="1" customWidth="1"/>
    <col min="813" max="813" width="12.42578125" style="452" bestFit="1" customWidth="1"/>
    <col min="814" max="1030" width="9.140625" style="452"/>
    <col min="1031" max="1031" width="16.5703125" style="452" bestFit="1" customWidth="1"/>
    <col min="1032" max="1032" width="38.42578125" style="452" bestFit="1" customWidth="1"/>
    <col min="1033" max="1033" width="0" style="452" hidden="1" customWidth="1"/>
    <col min="1034" max="1034" width="36.5703125" style="452" customWidth="1"/>
    <col min="1035" max="1035" width="12.140625" style="452" customWidth="1"/>
    <col min="1036" max="1036" width="7.5703125" style="452" bestFit="1" customWidth="1"/>
    <col min="1037" max="1037" width="4.42578125" style="452" bestFit="1" customWidth="1"/>
    <col min="1038" max="1038" width="9.85546875" style="452" bestFit="1" customWidth="1"/>
    <col min="1039" max="1039" width="9.42578125" style="452" bestFit="1" customWidth="1"/>
    <col min="1040" max="1040" width="8.85546875" style="452" customWidth="1"/>
    <col min="1041" max="1041" width="9.140625" style="452"/>
    <col min="1042" max="1042" width="12.85546875" style="452" customWidth="1"/>
    <col min="1043" max="1043" width="9.140625" style="452"/>
    <col min="1044" max="1044" width="11.85546875" style="452" customWidth="1"/>
    <col min="1045" max="1045" width="11" style="452" bestFit="1" customWidth="1"/>
    <col min="1046" max="1046" width="10" style="452" bestFit="1" customWidth="1"/>
    <col min="1047" max="1047" width="9.5703125" style="452" bestFit="1" customWidth="1"/>
    <col min="1048" max="1049" width="10" style="452" bestFit="1" customWidth="1"/>
    <col min="1050" max="1050" width="10.5703125" style="452" bestFit="1" customWidth="1"/>
    <col min="1051" max="1051" width="10" style="452" bestFit="1" customWidth="1"/>
    <col min="1052" max="1052" width="9.140625" style="452"/>
    <col min="1053" max="1053" width="11" style="452" bestFit="1" customWidth="1"/>
    <col min="1054" max="1054" width="9.140625" style="452"/>
    <col min="1055" max="1055" width="10" style="452" bestFit="1" customWidth="1"/>
    <col min="1056" max="1056" width="9.5703125" style="452" bestFit="1" customWidth="1"/>
    <col min="1057" max="1058" width="10.5703125" style="452" bestFit="1" customWidth="1"/>
    <col min="1059" max="1059" width="10" style="452" bestFit="1" customWidth="1"/>
    <col min="1060" max="1060" width="9.140625" style="452"/>
    <col min="1061" max="1062" width="10" style="452" bestFit="1" customWidth="1"/>
    <col min="1063" max="1063" width="10.5703125" style="452" bestFit="1" customWidth="1"/>
    <col min="1064" max="1064" width="10.42578125" style="452" bestFit="1" customWidth="1"/>
    <col min="1065" max="1065" width="9.140625" style="452"/>
    <col min="1066" max="1066" width="9.5703125" style="452" bestFit="1" customWidth="1"/>
    <col min="1067" max="1067" width="10.42578125" style="452" bestFit="1" customWidth="1"/>
    <col min="1068" max="1068" width="10" style="452" bestFit="1" customWidth="1"/>
    <col min="1069" max="1069" width="12.42578125" style="452" bestFit="1" customWidth="1"/>
    <col min="1070" max="1286" width="9.140625" style="452"/>
    <col min="1287" max="1287" width="16.5703125" style="452" bestFit="1" customWidth="1"/>
    <col min="1288" max="1288" width="38.42578125" style="452" bestFit="1" customWidth="1"/>
    <col min="1289" max="1289" width="0" style="452" hidden="1" customWidth="1"/>
    <col min="1290" max="1290" width="36.5703125" style="452" customWidth="1"/>
    <col min="1291" max="1291" width="12.140625" style="452" customWidth="1"/>
    <col min="1292" max="1292" width="7.5703125" style="452" bestFit="1" customWidth="1"/>
    <col min="1293" max="1293" width="4.42578125" style="452" bestFit="1" customWidth="1"/>
    <col min="1294" max="1294" width="9.85546875" style="452" bestFit="1" customWidth="1"/>
    <col min="1295" max="1295" width="9.42578125" style="452" bestFit="1" customWidth="1"/>
    <col min="1296" max="1296" width="8.85546875" style="452" customWidth="1"/>
    <col min="1297" max="1297" width="9.140625" style="452"/>
    <col min="1298" max="1298" width="12.85546875" style="452" customWidth="1"/>
    <col min="1299" max="1299" width="9.140625" style="452"/>
    <col min="1300" max="1300" width="11.85546875" style="452" customWidth="1"/>
    <col min="1301" max="1301" width="11" style="452" bestFit="1" customWidth="1"/>
    <col min="1302" max="1302" width="10" style="452" bestFit="1" customWidth="1"/>
    <col min="1303" max="1303" width="9.5703125" style="452" bestFit="1" customWidth="1"/>
    <col min="1304" max="1305" width="10" style="452" bestFit="1" customWidth="1"/>
    <col min="1306" max="1306" width="10.5703125" style="452" bestFit="1" customWidth="1"/>
    <col min="1307" max="1307" width="10" style="452" bestFit="1" customWidth="1"/>
    <col min="1308" max="1308" width="9.140625" style="452"/>
    <col min="1309" max="1309" width="11" style="452" bestFit="1" customWidth="1"/>
    <col min="1310" max="1310" width="9.140625" style="452"/>
    <col min="1311" max="1311" width="10" style="452" bestFit="1" customWidth="1"/>
    <col min="1312" max="1312" width="9.5703125" style="452" bestFit="1" customWidth="1"/>
    <col min="1313" max="1314" width="10.5703125" style="452" bestFit="1" customWidth="1"/>
    <col min="1315" max="1315" width="10" style="452" bestFit="1" customWidth="1"/>
    <col min="1316" max="1316" width="9.140625" style="452"/>
    <col min="1317" max="1318" width="10" style="452" bestFit="1" customWidth="1"/>
    <col min="1319" max="1319" width="10.5703125" style="452" bestFit="1" customWidth="1"/>
    <col min="1320" max="1320" width="10.42578125" style="452" bestFit="1" customWidth="1"/>
    <col min="1321" max="1321" width="9.140625" style="452"/>
    <col min="1322" max="1322" width="9.5703125" style="452" bestFit="1" customWidth="1"/>
    <col min="1323" max="1323" width="10.42578125" style="452" bestFit="1" customWidth="1"/>
    <col min="1324" max="1324" width="10" style="452" bestFit="1" customWidth="1"/>
    <col min="1325" max="1325" width="12.42578125" style="452" bestFit="1" customWidth="1"/>
    <col min="1326" max="1542" width="9.140625" style="452"/>
    <col min="1543" max="1543" width="16.5703125" style="452" bestFit="1" customWidth="1"/>
    <col min="1544" max="1544" width="38.42578125" style="452" bestFit="1" customWidth="1"/>
    <col min="1545" max="1545" width="0" style="452" hidden="1" customWidth="1"/>
    <col min="1546" max="1546" width="36.5703125" style="452" customWidth="1"/>
    <col min="1547" max="1547" width="12.140625" style="452" customWidth="1"/>
    <col min="1548" max="1548" width="7.5703125" style="452" bestFit="1" customWidth="1"/>
    <col min="1549" max="1549" width="4.42578125" style="452" bestFit="1" customWidth="1"/>
    <col min="1550" max="1550" width="9.85546875" style="452" bestFit="1" customWidth="1"/>
    <col min="1551" max="1551" width="9.42578125" style="452" bestFit="1" customWidth="1"/>
    <col min="1552" max="1552" width="8.85546875" style="452" customWidth="1"/>
    <col min="1553" max="1553" width="9.140625" style="452"/>
    <col min="1554" max="1554" width="12.85546875" style="452" customWidth="1"/>
    <col min="1555" max="1555" width="9.140625" style="452"/>
    <col min="1556" max="1556" width="11.85546875" style="452" customWidth="1"/>
    <col min="1557" max="1557" width="11" style="452" bestFit="1" customWidth="1"/>
    <col min="1558" max="1558" width="10" style="452" bestFit="1" customWidth="1"/>
    <col min="1559" max="1559" width="9.5703125" style="452" bestFit="1" customWidth="1"/>
    <col min="1560" max="1561" width="10" style="452" bestFit="1" customWidth="1"/>
    <col min="1562" max="1562" width="10.5703125" style="452" bestFit="1" customWidth="1"/>
    <col min="1563" max="1563" width="10" style="452" bestFit="1" customWidth="1"/>
    <col min="1564" max="1564" width="9.140625" style="452"/>
    <col min="1565" max="1565" width="11" style="452" bestFit="1" customWidth="1"/>
    <col min="1566" max="1566" width="9.140625" style="452"/>
    <col min="1567" max="1567" width="10" style="452" bestFit="1" customWidth="1"/>
    <col min="1568" max="1568" width="9.5703125" style="452" bestFit="1" customWidth="1"/>
    <col min="1569" max="1570" width="10.5703125" style="452" bestFit="1" customWidth="1"/>
    <col min="1571" max="1571" width="10" style="452" bestFit="1" customWidth="1"/>
    <col min="1572" max="1572" width="9.140625" style="452"/>
    <col min="1573" max="1574" width="10" style="452" bestFit="1" customWidth="1"/>
    <col min="1575" max="1575" width="10.5703125" style="452" bestFit="1" customWidth="1"/>
    <col min="1576" max="1576" width="10.42578125" style="452" bestFit="1" customWidth="1"/>
    <col min="1577" max="1577" width="9.140625" style="452"/>
    <col min="1578" max="1578" width="9.5703125" style="452" bestFit="1" customWidth="1"/>
    <col min="1579" max="1579" width="10.42578125" style="452" bestFit="1" customWidth="1"/>
    <col min="1580" max="1580" width="10" style="452" bestFit="1" customWidth="1"/>
    <col min="1581" max="1581" width="12.42578125" style="452" bestFit="1" customWidth="1"/>
    <col min="1582" max="1798" width="9.140625" style="452"/>
    <col min="1799" max="1799" width="16.5703125" style="452" bestFit="1" customWidth="1"/>
    <col min="1800" max="1800" width="38.42578125" style="452" bestFit="1" customWidth="1"/>
    <col min="1801" max="1801" width="0" style="452" hidden="1" customWidth="1"/>
    <col min="1802" max="1802" width="36.5703125" style="452" customWidth="1"/>
    <col min="1803" max="1803" width="12.140625" style="452" customWidth="1"/>
    <col min="1804" max="1804" width="7.5703125" style="452" bestFit="1" customWidth="1"/>
    <col min="1805" max="1805" width="4.42578125" style="452" bestFit="1" customWidth="1"/>
    <col min="1806" max="1806" width="9.85546875" style="452" bestFit="1" customWidth="1"/>
    <col min="1807" max="1807" width="9.42578125" style="452" bestFit="1" customWidth="1"/>
    <col min="1808" max="1808" width="8.85546875" style="452" customWidth="1"/>
    <col min="1809" max="1809" width="9.140625" style="452"/>
    <col min="1810" max="1810" width="12.85546875" style="452" customWidth="1"/>
    <col min="1811" max="1811" width="9.140625" style="452"/>
    <col min="1812" max="1812" width="11.85546875" style="452" customWidth="1"/>
    <col min="1813" max="1813" width="11" style="452" bestFit="1" customWidth="1"/>
    <col min="1814" max="1814" width="10" style="452" bestFit="1" customWidth="1"/>
    <col min="1815" max="1815" width="9.5703125" style="452" bestFit="1" customWidth="1"/>
    <col min="1816" max="1817" width="10" style="452" bestFit="1" customWidth="1"/>
    <col min="1818" max="1818" width="10.5703125" style="452" bestFit="1" customWidth="1"/>
    <col min="1819" max="1819" width="10" style="452" bestFit="1" customWidth="1"/>
    <col min="1820" max="1820" width="9.140625" style="452"/>
    <col min="1821" max="1821" width="11" style="452" bestFit="1" customWidth="1"/>
    <col min="1822" max="1822" width="9.140625" style="452"/>
    <col min="1823" max="1823" width="10" style="452" bestFit="1" customWidth="1"/>
    <col min="1824" max="1824" width="9.5703125" style="452" bestFit="1" customWidth="1"/>
    <col min="1825" max="1826" width="10.5703125" style="452" bestFit="1" customWidth="1"/>
    <col min="1827" max="1827" width="10" style="452" bestFit="1" customWidth="1"/>
    <col min="1828" max="1828" width="9.140625" style="452"/>
    <col min="1829" max="1830" width="10" style="452" bestFit="1" customWidth="1"/>
    <col min="1831" max="1831" width="10.5703125" style="452" bestFit="1" customWidth="1"/>
    <col min="1832" max="1832" width="10.42578125" style="452" bestFit="1" customWidth="1"/>
    <col min="1833" max="1833" width="9.140625" style="452"/>
    <col min="1834" max="1834" width="9.5703125" style="452" bestFit="1" customWidth="1"/>
    <col min="1835" max="1835" width="10.42578125" style="452" bestFit="1" customWidth="1"/>
    <col min="1836" max="1836" width="10" style="452" bestFit="1" customWidth="1"/>
    <col min="1837" max="1837" width="12.42578125" style="452" bestFit="1" customWidth="1"/>
    <col min="1838" max="2054" width="9.140625" style="452"/>
    <col min="2055" max="2055" width="16.5703125" style="452" bestFit="1" customWidth="1"/>
    <col min="2056" max="2056" width="38.42578125" style="452" bestFit="1" customWidth="1"/>
    <col min="2057" max="2057" width="0" style="452" hidden="1" customWidth="1"/>
    <col min="2058" max="2058" width="36.5703125" style="452" customWidth="1"/>
    <col min="2059" max="2059" width="12.140625" style="452" customWidth="1"/>
    <col min="2060" max="2060" width="7.5703125" style="452" bestFit="1" customWidth="1"/>
    <col min="2061" max="2061" width="4.42578125" style="452" bestFit="1" customWidth="1"/>
    <col min="2062" max="2062" width="9.85546875" style="452" bestFit="1" customWidth="1"/>
    <col min="2063" max="2063" width="9.42578125" style="452" bestFit="1" customWidth="1"/>
    <col min="2064" max="2064" width="8.85546875" style="452" customWidth="1"/>
    <col min="2065" max="2065" width="9.140625" style="452"/>
    <col min="2066" max="2066" width="12.85546875" style="452" customWidth="1"/>
    <col min="2067" max="2067" width="9.140625" style="452"/>
    <col min="2068" max="2068" width="11.85546875" style="452" customWidth="1"/>
    <col min="2069" max="2069" width="11" style="452" bestFit="1" customWidth="1"/>
    <col min="2070" max="2070" width="10" style="452" bestFit="1" customWidth="1"/>
    <col min="2071" max="2071" width="9.5703125" style="452" bestFit="1" customWidth="1"/>
    <col min="2072" max="2073" width="10" style="452" bestFit="1" customWidth="1"/>
    <col min="2074" max="2074" width="10.5703125" style="452" bestFit="1" customWidth="1"/>
    <col min="2075" max="2075" width="10" style="452" bestFit="1" customWidth="1"/>
    <col min="2076" max="2076" width="9.140625" style="452"/>
    <col min="2077" max="2077" width="11" style="452" bestFit="1" customWidth="1"/>
    <col min="2078" max="2078" width="9.140625" style="452"/>
    <col min="2079" max="2079" width="10" style="452" bestFit="1" customWidth="1"/>
    <col min="2080" max="2080" width="9.5703125" style="452" bestFit="1" customWidth="1"/>
    <col min="2081" max="2082" width="10.5703125" style="452" bestFit="1" customWidth="1"/>
    <col min="2083" max="2083" width="10" style="452" bestFit="1" customWidth="1"/>
    <col min="2084" max="2084" width="9.140625" style="452"/>
    <col min="2085" max="2086" width="10" style="452" bestFit="1" customWidth="1"/>
    <col min="2087" max="2087" width="10.5703125" style="452" bestFit="1" customWidth="1"/>
    <col min="2088" max="2088" width="10.42578125" style="452" bestFit="1" customWidth="1"/>
    <col min="2089" max="2089" width="9.140625" style="452"/>
    <col min="2090" max="2090" width="9.5703125" style="452" bestFit="1" customWidth="1"/>
    <col min="2091" max="2091" width="10.42578125" style="452" bestFit="1" customWidth="1"/>
    <col min="2092" max="2092" width="10" style="452" bestFit="1" customWidth="1"/>
    <col min="2093" max="2093" width="12.42578125" style="452" bestFit="1" customWidth="1"/>
    <col min="2094" max="2310" width="9.140625" style="452"/>
    <col min="2311" max="2311" width="16.5703125" style="452" bestFit="1" customWidth="1"/>
    <col min="2312" max="2312" width="38.42578125" style="452" bestFit="1" customWidth="1"/>
    <col min="2313" max="2313" width="0" style="452" hidden="1" customWidth="1"/>
    <col min="2314" max="2314" width="36.5703125" style="452" customWidth="1"/>
    <col min="2315" max="2315" width="12.140625" style="452" customWidth="1"/>
    <col min="2316" max="2316" width="7.5703125" style="452" bestFit="1" customWidth="1"/>
    <col min="2317" max="2317" width="4.42578125" style="452" bestFit="1" customWidth="1"/>
    <col min="2318" max="2318" width="9.85546875" style="452" bestFit="1" customWidth="1"/>
    <col min="2319" max="2319" width="9.42578125" style="452" bestFit="1" customWidth="1"/>
    <col min="2320" max="2320" width="8.85546875" style="452" customWidth="1"/>
    <col min="2321" max="2321" width="9.140625" style="452"/>
    <col min="2322" max="2322" width="12.85546875" style="452" customWidth="1"/>
    <col min="2323" max="2323" width="9.140625" style="452"/>
    <col min="2324" max="2324" width="11.85546875" style="452" customWidth="1"/>
    <col min="2325" max="2325" width="11" style="452" bestFit="1" customWidth="1"/>
    <col min="2326" max="2326" width="10" style="452" bestFit="1" customWidth="1"/>
    <col min="2327" max="2327" width="9.5703125" style="452" bestFit="1" customWidth="1"/>
    <col min="2328" max="2329" width="10" style="452" bestFit="1" customWidth="1"/>
    <col min="2330" max="2330" width="10.5703125" style="452" bestFit="1" customWidth="1"/>
    <col min="2331" max="2331" width="10" style="452" bestFit="1" customWidth="1"/>
    <col min="2332" max="2332" width="9.140625" style="452"/>
    <col min="2333" max="2333" width="11" style="452" bestFit="1" customWidth="1"/>
    <col min="2334" max="2334" width="9.140625" style="452"/>
    <col min="2335" max="2335" width="10" style="452" bestFit="1" customWidth="1"/>
    <col min="2336" max="2336" width="9.5703125" style="452" bestFit="1" customWidth="1"/>
    <col min="2337" max="2338" width="10.5703125" style="452" bestFit="1" customWidth="1"/>
    <col min="2339" max="2339" width="10" style="452" bestFit="1" customWidth="1"/>
    <col min="2340" max="2340" width="9.140625" style="452"/>
    <col min="2341" max="2342" width="10" style="452" bestFit="1" customWidth="1"/>
    <col min="2343" max="2343" width="10.5703125" style="452" bestFit="1" customWidth="1"/>
    <col min="2344" max="2344" width="10.42578125" style="452" bestFit="1" customWidth="1"/>
    <col min="2345" max="2345" width="9.140625" style="452"/>
    <col min="2346" max="2346" width="9.5703125" style="452" bestFit="1" customWidth="1"/>
    <col min="2347" max="2347" width="10.42578125" style="452" bestFit="1" customWidth="1"/>
    <col min="2348" max="2348" width="10" style="452" bestFit="1" customWidth="1"/>
    <col min="2349" max="2349" width="12.42578125" style="452" bestFit="1" customWidth="1"/>
    <col min="2350" max="2566" width="9.140625" style="452"/>
    <col min="2567" max="2567" width="16.5703125" style="452" bestFit="1" customWidth="1"/>
    <col min="2568" max="2568" width="38.42578125" style="452" bestFit="1" customWidth="1"/>
    <col min="2569" max="2569" width="0" style="452" hidden="1" customWidth="1"/>
    <col min="2570" max="2570" width="36.5703125" style="452" customWidth="1"/>
    <col min="2571" max="2571" width="12.140625" style="452" customWidth="1"/>
    <col min="2572" max="2572" width="7.5703125" style="452" bestFit="1" customWidth="1"/>
    <col min="2573" max="2573" width="4.42578125" style="452" bestFit="1" customWidth="1"/>
    <col min="2574" max="2574" width="9.85546875" style="452" bestFit="1" customWidth="1"/>
    <col min="2575" max="2575" width="9.42578125" style="452" bestFit="1" customWidth="1"/>
    <col min="2576" max="2576" width="8.85546875" style="452" customWidth="1"/>
    <col min="2577" max="2577" width="9.140625" style="452"/>
    <col min="2578" max="2578" width="12.85546875" style="452" customWidth="1"/>
    <col min="2579" max="2579" width="9.140625" style="452"/>
    <col min="2580" max="2580" width="11.85546875" style="452" customWidth="1"/>
    <col min="2581" max="2581" width="11" style="452" bestFit="1" customWidth="1"/>
    <col min="2582" max="2582" width="10" style="452" bestFit="1" customWidth="1"/>
    <col min="2583" max="2583" width="9.5703125" style="452" bestFit="1" customWidth="1"/>
    <col min="2584" max="2585" width="10" style="452" bestFit="1" customWidth="1"/>
    <col min="2586" max="2586" width="10.5703125" style="452" bestFit="1" customWidth="1"/>
    <col min="2587" max="2587" width="10" style="452" bestFit="1" customWidth="1"/>
    <col min="2588" max="2588" width="9.140625" style="452"/>
    <col min="2589" max="2589" width="11" style="452" bestFit="1" customWidth="1"/>
    <col min="2590" max="2590" width="9.140625" style="452"/>
    <col min="2591" max="2591" width="10" style="452" bestFit="1" customWidth="1"/>
    <col min="2592" max="2592" width="9.5703125" style="452" bestFit="1" customWidth="1"/>
    <col min="2593" max="2594" width="10.5703125" style="452" bestFit="1" customWidth="1"/>
    <col min="2595" max="2595" width="10" style="452" bestFit="1" customWidth="1"/>
    <col min="2596" max="2596" width="9.140625" style="452"/>
    <col min="2597" max="2598" width="10" style="452" bestFit="1" customWidth="1"/>
    <col min="2599" max="2599" width="10.5703125" style="452" bestFit="1" customWidth="1"/>
    <col min="2600" max="2600" width="10.42578125" style="452" bestFit="1" customWidth="1"/>
    <col min="2601" max="2601" width="9.140625" style="452"/>
    <col min="2602" max="2602" width="9.5703125" style="452" bestFit="1" customWidth="1"/>
    <col min="2603" max="2603" width="10.42578125" style="452" bestFit="1" customWidth="1"/>
    <col min="2604" max="2604" width="10" style="452" bestFit="1" customWidth="1"/>
    <col min="2605" max="2605" width="12.42578125" style="452" bestFit="1" customWidth="1"/>
    <col min="2606" max="2822" width="9.140625" style="452"/>
    <col min="2823" max="2823" width="16.5703125" style="452" bestFit="1" customWidth="1"/>
    <col min="2824" max="2824" width="38.42578125" style="452" bestFit="1" customWidth="1"/>
    <col min="2825" max="2825" width="0" style="452" hidden="1" customWidth="1"/>
    <col min="2826" max="2826" width="36.5703125" style="452" customWidth="1"/>
    <col min="2827" max="2827" width="12.140625" style="452" customWidth="1"/>
    <col min="2828" max="2828" width="7.5703125" style="452" bestFit="1" customWidth="1"/>
    <col min="2829" max="2829" width="4.42578125" style="452" bestFit="1" customWidth="1"/>
    <col min="2830" max="2830" width="9.85546875" style="452" bestFit="1" customWidth="1"/>
    <col min="2831" max="2831" width="9.42578125" style="452" bestFit="1" customWidth="1"/>
    <col min="2832" max="2832" width="8.85546875" style="452" customWidth="1"/>
    <col min="2833" max="2833" width="9.140625" style="452"/>
    <col min="2834" max="2834" width="12.85546875" style="452" customWidth="1"/>
    <col min="2835" max="2835" width="9.140625" style="452"/>
    <col min="2836" max="2836" width="11.85546875" style="452" customWidth="1"/>
    <col min="2837" max="2837" width="11" style="452" bestFit="1" customWidth="1"/>
    <col min="2838" max="2838" width="10" style="452" bestFit="1" customWidth="1"/>
    <col min="2839" max="2839" width="9.5703125" style="452" bestFit="1" customWidth="1"/>
    <col min="2840" max="2841" width="10" style="452" bestFit="1" customWidth="1"/>
    <col min="2842" max="2842" width="10.5703125" style="452" bestFit="1" customWidth="1"/>
    <col min="2843" max="2843" width="10" style="452" bestFit="1" customWidth="1"/>
    <col min="2844" max="2844" width="9.140625" style="452"/>
    <col min="2845" max="2845" width="11" style="452" bestFit="1" customWidth="1"/>
    <col min="2846" max="2846" width="9.140625" style="452"/>
    <col min="2847" max="2847" width="10" style="452" bestFit="1" customWidth="1"/>
    <col min="2848" max="2848" width="9.5703125" style="452" bestFit="1" customWidth="1"/>
    <col min="2849" max="2850" width="10.5703125" style="452" bestFit="1" customWidth="1"/>
    <col min="2851" max="2851" width="10" style="452" bestFit="1" customWidth="1"/>
    <col min="2852" max="2852" width="9.140625" style="452"/>
    <col min="2853" max="2854" width="10" style="452" bestFit="1" customWidth="1"/>
    <col min="2855" max="2855" width="10.5703125" style="452" bestFit="1" customWidth="1"/>
    <col min="2856" max="2856" width="10.42578125" style="452" bestFit="1" customWidth="1"/>
    <col min="2857" max="2857" width="9.140625" style="452"/>
    <col min="2858" max="2858" width="9.5703125" style="452" bestFit="1" customWidth="1"/>
    <col min="2859" max="2859" width="10.42578125" style="452" bestFit="1" customWidth="1"/>
    <col min="2860" max="2860" width="10" style="452" bestFit="1" customWidth="1"/>
    <col min="2861" max="2861" width="12.42578125" style="452" bestFit="1" customWidth="1"/>
    <col min="2862" max="3078" width="9.140625" style="452"/>
    <col min="3079" max="3079" width="16.5703125" style="452" bestFit="1" customWidth="1"/>
    <col min="3080" max="3080" width="38.42578125" style="452" bestFit="1" customWidth="1"/>
    <col min="3081" max="3081" width="0" style="452" hidden="1" customWidth="1"/>
    <col min="3082" max="3082" width="36.5703125" style="452" customWidth="1"/>
    <col min="3083" max="3083" width="12.140625" style="452" customWidth="1"/>
    <col min="3084" max="3084" width="7.5703125" style="452" bestFit="1" customWidth="1"/>
    <col min="3085" max="3085" width="4.42578125" style="452" bestFit="1" customWidth="1"/>
    <col min="3086" max="3086" width="9.85546875" style="452" bestFit="1" customWidth="1"/>
    <col min="3087" max="3087" width="9.42578125" style="452" bestFit="1" customWidth="1"/>
    <col min="3088" max="3088" width="8.85546875" style="452" customWidth="1"/>
    <col min="3089" max="3089" width="9.140625" style="452"/>
    <col min="3090" max="3090" width="12.85546875" style="452" customWidth="1"/>
    <col min="3091" max="3091" width="9.140625" style="452"/>
    <col min="3092" max="3092" width="11.85546875" style="452" customWidth="1"/>
    <col min="3093" max="3093" width="11" style="452" bestFit="1" customWidth="1"/>
    <col min="3094" max="3094" width="10" style="452" bestFit="1" customWidth="1"/>
    <col min="3095" max="3095" width="9.5703125" style="452" bestFit="1" customWidth="1"/>
    <col min="3096" max="3097" width="10" style="452" bestFit="1" customWidth="1"/>
    <col min="3098" max="3098" width="10.5703125" style="452" bestFit="1" customWidth="1"/>
    <col min="3099" max="3099" width="10" style="452" bestFit="1" customWidth="1"/>
    <col min="3100" max="3100" width="9.140625" style="452"/>
    <col min="3101" max="3101" width="11" style="452" bestFit="1" customWidth="1"/>
    <col min="3102" max="3102" width="9.140625" style="452"/>
    <col min="3103" max="3103" width="10" style="452" bestFit="1" customWidth="1"/>
    <col min="3104" max="3104" width="9.5703125" style="452" bestFit="1" customWidth="1"/>
    <col min="3105" max="3106" width="10.5703125" style="452" bestFit="1" customWidth="1"/>
    <col min="3107" max="3107" width="10" style="452" bestFit="1" customWidth="1"/>
    <col min="3108" max="3108" width="9.140625" style="452"/>
    <col min="3109" max="3110" width="10" style="452" bestFit="1" customWidth="1"/>
    <col min="3111" max="3111" width="10.5703125" style="452" bestFit="1" customWidth="1"/>
    <col min="3112" max="3112" width="10.42578125" style="452" bestFit="1" customWidth="1"/>
    <col min="3113" max="3113" width="9.140625" style="452"/>
    <col min="3114" max="3114" width="9.5703125" style="452" bestFit="1" customWidth="1"/>
    <col min="3115" max="3115" width="10.42578125" style="452" bestFit="1" customWidth="1"/>
    <col min="3116" max="3116" width="10" style="452" bestFit="1" customWidth="1"/>
    <col min="3117" max="3117" width="12.42578125" style="452" bestFit="1" customWidth="1"/>
    <col min="3118" max="3334" width="9.140625" style="452"/>
    <col min="3335" max="3335" width="16.5703125" style="452" bestFit="1" customWidth="1"/>
    <col min="3336" max="3336" width="38.42578125" style="452" bestFit="1" customWidth="1"/>
    <col min="3337" max="3337" width="0" style="452" hidden="1" customWidth="1"/>
    <col min="3338" max="3338" width="36.5703125" style="452" customWidth="1"/>
    <col min="3339" max="3339" width="12.140625" style="452" customWidth="1"/>
    <col min="3340" max="3340" width="7.5703125" style="452" bestFit="1" customWidth="1"/>
    <col min="3341" max="3341" width="4.42578125" style="452" bestFit="1" customWidth="1"/>
    <col min="3342" max="3342" width="9.85546875" style="452" bestFit="1" customWidth="1"/>
    <col min="3343" max="3343" width="9.42578125" style="452" bestFit="1" customWidth="1"/>
    <col min="3344" max="3344" width="8.85546875" style="452" customWidth="1"/>
    <col min="3345" max="3345" width="9.140625" style="452"/>
    <col min="3346" max="3346" width="12.85546875" style="452" customWidth="1"/>
    <col min="3347" max="3347" width="9.140625" style="452"/>
    <col min="3348" max="3348" width="11.85546875" style="452" customWidth="1"/>
    <col min="3349" max="3349" width="11" style="452" bestFit="1" customWidth="1"/>
    <col min="3350" max="3350" width="10" style="452" bestFit="1" customWidth="1"/>
    <col min="3351" max="3351" width="9.5703125" style="452" bestFit="1" customWidth="1"/>
    <col min="3352" max="3353" width="10" style="452" bestFit="1" customWidth="1"/>
    <col min="3354" max="3354" width="10.5703125" style="452" bestFit="1" customWidth="1"/>
    <col min="3355" max="3355" width="10" style="452" bestFit="1" customWidth="1"/>
    <col min="3356" max="3356" width="9.140625" style="452"/>
    <col min="3357" max="3357" width="11" style="452" bestFit="1" customWidth="1"/>
    <col min="3358" max="3358" width="9.140625" style="452"/>
    <col min="3359" max="3359" width="10" style="452" bestFit="1" customWidth="1"/>
    <col min="3360" max="3360" width="9.5703125" style="452" bestFit="1" customWidth="1"/>
    <col min="3361" max="3362" width="10.5703125" style="452" bestFit="1" customWidth="1"/>
    <col min="3363" max="3363" width="10" style="452" bestFit="1" customWidth="1"/>
    <col min="3364" max="3364" width="9.140625" style="452"/>
    <col min="3365" max="3366" width="10" style="452" bestFit="1" customWidth="1"/>
    <col min="3367" max="3367" width="10.5703125" style="452" bestFit="1" customWidth="1"/>
    <col min="3368" max="3368" width="10.42578125" style="452" bestFit="1" customWidth="1"/>
    <col min="3369" max="3369" width="9.140625" style="452"/>
    <col min="3370" max="3370" width="9.5703125" style="452" bestFit="1" customWidth="1"/>
    <col min="3371" max="3371" width="10.42578125" style="452" bestFit="1" customWidth="1"/>
    <col min="3372" max="3372" width="10" style="452" bestFit="1" customWidth="1"/>
    <col min="3373" max="3373" width="12.42578125" style="452" bestFit="1" customWidth="1"/>
    <col min="3374" max="3590" width="9.140625" style="452"/>
    <col min="3591" max="3591" width="16.5703125" style="452" bestFit="1" customWidth="1"/>
    <col min="3592" max="3592" width="38.42578125" style="452" bestFit="1" customWidth="1"/>
    <col min="3593" max="3593" width="0" style="452" hidden="1" customWidth="1"/>
    <col min="3594" max="3594" width="36.5703125" style="452" customWidth="1"/>
    <col min="3595" max="3595" width="12.140625" style="452" customWidth="1"/>
    <col min="3596" max="3596" width="7.5703125" style="452" bestFit="1" customWidth="1"/>
    <col min="3597" max="3597" width="4.42578125" style="452" bestFit="1" customWidth="1"/>
    <col min="3598" max="3598" width="9.85546875" style="452" bestFit="1" customWidth="1"/>
    <col min="3599" max="3599" width="9.42578125" style="452" bestFit="1" customWidth="1"/>
    <col min="3600" max="3600" width="8.85546875" style="452" customWidth="1"/>
    <col min="3601" max="3601" width="9.140625" style="452"/>
    <col min="3602" max="3602" width="12.85546875" style="452" customWidth="1"/>
    <col min="3603" max="3603" width="9.140625" style="452"/>
    <col min="3604" max="3604" width="11.85546875" style="452" customWidth="1"/>
    <col min="3605" max="3605" width="11" style="452" bestFit="1" customWidth="1"/>
    <col min="3606" max="3606" width="10" style="452" bestFit="1" customWidth="1"/>
    <col min="3607" max="3607" width="9.5703125" style="452" bestFit="1" customWidth="1"/>
    <col min="3608" max="3609" width="10" style="452" bestFit="1" customWidth="1"/>
    <col min="3610" max="3610" width="10.5703125" style="452" bestFit="1" customWidth="1"/>
    <col min="3611" max="3611" width="10" style="452" bestFit="1" customWidth="1"/>
    <col min="3612" max="3612" width="9.140625" style="452"/>
    <col min="3613" max="3613" width="11" style="452" bestFit="1" customWidth="1"/>
    <col min="3614" max="3614" width="9.140625" style="452"/>
    <col min="3615" max="3615" width="10" style="452" bestFit="1" customWidth="1"/>
    <col min="3616" max="3616" width="9.5703125" style="452" bestFit="1" customWidth="1"/>
    <col min="3617" max="3618" width="10.5703125" style="452" bestFit="1" customWidth="1"/>
    <col min="3619" max="3619" width="10" style="452" bestFit="1" customWidth="1"/>
    <col min="3620" max="3620" width="9.140625" style="452"/>
    <col min="3621" max="3622" width="10" style="452" bestFit="1" customWidth="1"/>
    <col min="3623" max="3623" width="10.5703125" style="452" bestFit="1" customWidth="1"/>
    <col min="3624" max="3624" width="10.42578125" style="452" bestFit="1" customWidth="1"/>
    <col min="3625" max="3625" width="9.140625" style="452"/>
    <col min="3626" max="3626" width="9.5703125" style="452" bestFit="1" customWidth="1"/>
    <col min="3627" max="3627" width="10.42578125" style="452" bestFit="1" customWidth="1"/>
    <col min="3628" max="3628" width="10" style="452" bestFit="1" customWidth="1"/>
    <col min="3629" max="3629" width="12.42578125" style="452" bestFit="1" customWidth="1"/>
    <col min="3630" max="3846" width="9.140625" style="452"/>
    <col min="3847" max="3847" width="16.5703125" style="452" bestFit="1" customWidth="1"/>
    <col min="3848" max="3848" width="38.42578125" style="452" bestFit="1" customWidth="1"/>
    <col min="3849" max="3849" width="0" style="452" hidden="1" customWidth="1"/>
    <col min="3850" max="3850" width="36.5703125" style="452" customWidth="1"/>
    <col min="3851" max="3851" width="12.140625" style="452" customWidth="1"/>
    <col min="3852" max="3852" width="7.5703125" style="452" bestFit="1" customWidth="1"/>
    <col min="3853" max="3853" width="4.42578125" style="452" bestFit="1" customWidth="1"/>
    <col min="3854" max="3854" width="9.85546875" style="452" bestFit="1" customWidth="1"/>
    <col min="3855" max="3855" width="9.42578125" style="452" bestFit="1" customWidth="1"/>
    <col min="3856" max="3856" width="8.85546875" style="452" customWidth="1"/>
    <col min="3857" max="3857" width="9.140625" style="452"/>
    <col min="3858" max="3858" width="12.85546875" style="452" customWidth="1"/>
    <col min="3859" max="3859" width="9.140625" style="452"/>
    <col min="3860" max="3860" width="11.85546875" style="452" customWidth="1"/>
    <col min="3861" max="3861" width="11" style="452" bestFit="1" customWidth="1"/>
    <col min="3862" max="3862" width="10" style="452" bestFit="1" customWidth="1"/>
    <col min="3863" max="3863" width="9.5703125" style="452" bestFit="1" customWidth="1"/>
    <col min="3864" max="3865" width="10" style="452" bestFit="1" customWidth="1"/>
    <col min="3866" max="3866" width="10.5703125" style="452" bestFit="1" customWidth="1"/>
    <col min="3867" max="3867" width="10" style="452" bestFit="1" customWidth="1"/>
    <col min="3868" max="3868" width="9.140625" style="452"/>
    <col min="3869" max="3869" width="11" style="452" bestFit="1" customWidth="1"/>
    <col min="3870" max="3870" width="9.140625" style="452"/>
    <col min="3871" max="3871" width="10" style="452" bestFit="1" customWidth="1"/>
    <col min="3872" max="3872" width="9.5703125" style="452" bestFit="1" customWidth="1"/>
    <col min="3873" max="3874" width="10.5703125" style="452" bestFit="1" customWidth="1"/>
    <col min="3875" max="3875" width="10" style="452" bestFit="1" customWidth="1"/>
    <col min="3876" max="3876" width="9.140625" style="452"/>
    <col min="3877" max="3878" width="10" style="452" bestFit="1" customWidth="1"/>
    <col min="3879" max="3879" width="10.5703125" style="452" bestFit="1" customWidth="1"/>
    <col min="3880" max="3880" width="10.42578125" style="452" bestFit="1" customWidth="1"/>
    <col min="3881" max="3881" width="9.140625" style="452"/>
    <col min="3882" max="3882" width="9.5703125" style="452" bestFit="1" customWidth="1"/>
    <col min="3883" max="3883" width="10.42578125" style="452" bestFit="1" customWidth="1"/>
    <col min="3884" max="3884" width="10" style="452" bestFit="1" customWidth="1"/>
    <col min="3885" max="3885" width="12.42578125" style="452" bestFit="1" customWidth="1"/>
    <col min="3886" max="4102" width="9.140625" style="452"/>
    <col min="4103" max="4103" width="16.5703125" style="452" bestFit="1" customWidth="1"/>
    <col min="4104" max="4104" width="38.42578125" style="452" bestFit="1" customWidth="1"/>
    <col min="4105" max="4105" width="0" style="452" hidden="1" customWidth="1"/>
    <col min="4106" max="4106" width="36.5703125" style="452" customWidth="1"/>
    <col min="4107" max="4107" width="12.140625" style="452" customWidth="1"/>
    <col min="4108" max="4108" width="7.5703125" style="452" bestFit="1" customWidth="1"/>
    <col min="4109" max="4109" width="4.42578125" style="452" bestFit="1" customWidth="1"/>
    <col min="4110" max="4110" width="9.85546875" style="452" bestFit="1" customWidth="1"/>
    <col min="4111" max="4111" width="9.42578125" style="452" bestFit="1" customWidth="1"/>
    <col min="4112" max="4112" width="8.85546875" style="452" customWidth="1"/>
    <col min="4113" max="4113" width="9.140625" style="452"/>
    <col min="4114" max="4114" width="12.85546875" style="452" customWidth="1"/>
    <col min="4115" max="4115" width="9.140625" style="452"/>
    <col min="4116" max="4116" width="11.85546875" style="452" customWidth="1"/>
    <col min="4117" max="4117" width="11" style="452" bestFit="1" customWidth="1"/>
    <col min="4118" max="4118" width="10" style="452" bestFit="1" customWidth="1"/>
    <col min="4119" max="4119" width="9.5703125" style="452" bestFit="1" customWidth="1"/>
    <col min="4120" max="4121" width="10" style="452" bestFit="1" customWidth="1"/>
    <col min="4122" max="4122" width="10.5703125" style="452" bestFit="1" customWidth="1"/>
    <col min="4123" max="4123" width="10" style="452" bestFit="1" customWidth="1"/>
    <col min="4124" max="4124" width="9.140625" style="452"/>
    <col min="4125" max="4125" width="11" style="452" bestFit="1" customWidth="1"/>
    <col min="4126" max="4126" width="9.140625" style="452"/>
    <col min="4127" max="4127" width="10" style="452" bestFit="1" customWidth="1"/>
    <col min="4128" max="4128" width="9.5703125" style="452" bestFit="1" customWidth="1"/>
    <col min="4129" max="4130" width="10.5703125" style="452" bestFit="1" customWidth="1"/>
    <col min="4131" max="4131" width="10" style="452" bestFit="1" customWidth="1"/>
    <col min="4132" max="4132" width="9.140625" style="452"/>
    <col min="4133" max="4134" width="10" style="452" bestFit="1" customWidth="1"/>
    <col min="4135" max="4135" width="10.5703125" style="452" bestFit="1" customWidth="1"/>
    <col min="4136" max="4136" width="10.42578125" style="452" bestFit="1" customWidth="1"/>
    <col min="4137" max="4137" width="9.140625" style="452"/>
    <col min="4138" max="4138" width="9.5703125" style="452" bestFit="1" customWidth="1"/>
    <col min="4139" max="4139" width="10.42578125" style="452" bestFit="1" customWidth="1"/>
    <col min="4140" max="4140" width="10" style="452" bestFit="1" customWidth="1"/>
    <col min="4141" max="4141" width="12.42578125" style="452" bestFit="1" customWidth="1"/>
    <col min="4142" max="4358" width="9.140625" style="452"/>
    <col min="4359" max="4359" width="16.5703125" style="452" bestFit="1" customWidth="1"/>
    <col min="4360" max="4360" width="38.42578125" style="452" bestFit="1" customWidth="1"/>
    <col min="4361" max="4361" width="0" style="452" hidden="1" customWidth="1"/>
    <col min="4362" max="4362" width="36.5703125" style="452" customWidth="1"/>
    <col min="4363" max="4363" width="12.140625" style="452" customWidth="1"/>
    <col min="4364" max="4364" width="7.5703125" style="452" bestFit="1" customWidth="1"/>
    <col min="4365" max="4365" width="4.42578125" style="452" bestFit="1" customWidth="1"/>
    <col min="4366" max="4366" width="9.85546875" style="452" bestFit="1" customWidth="1"/>
    <col min="4367" max="4367" width="9.42578125" style="452" bestFit="1" customWidth="1"/>
    <col min="4368" max="4368" width="8.85546875" style="452" customWidth="1"/>
    <col min="4369" max="4369" width="9.140625" style="452"/>
    <col min="4370" max="4370" width="12.85546875" style="452" customWidth="1"/>
    <col min="4371" max="4371" width="9.140625" style="452"/>
    <col min="4372" max="4372" width="11.85546875" style="452" customWidth="1"/>
    <col min="4373" max="4373" width="11" style="452" bestFit="1" customWidth="1"/>
    <col min="4374" max="4374" width="10" style="452" bestFit="1" customWidth="1"/>
    <col min="4375" max="4375" width="9.5703125" style="452" bestFit="1" customWidth="1"/>
    <col min="4376" max="4377" width="10" style="452" bestFit="1" customWidth="1"/>
    <col min="4378" max="4378" width="10.5703125" style="452" bestFit="1" customWidth="1"/>
    <col min="4379" max="4379" width="10" style="452" bestFit="1" customWidth="1"/>
    <col min="4380" max="4380" width="9.140625" style="452"/>
    <col min="4381" max="4381" width="11" style="452" bestFit="1" customWidth="1"/>
    <col min="4382" max="4382" width="9.140625" style="452"/>
    <col min="4383" max="4383" width="10" style="452" bestFit="1" customWidth="1"/>
    <col min="4384" max="4384" width="9.5703125" style="452" bestFit="1" customWidth="1"/>
    <col min="4385" max="4386" width="10.5703125" style="452" bestFit="1" customWidth="1"/>
    <col min="4387" max="4387" width="10" style="452" bestFit="1" customWidth="1"/>
    <col min="4388" max="4388" width="9.140625" style="452"/>
    <col min="4389" max="4390" width="10" style="452" bestFit="1" customWidth="1"/>
    <col min="4391" max="4391" width="10.5703125" style="452" bestFit="1" customWidth="1"/>
    <col min="4392" max="4392" width="10.42578125" style="452" bestFit="1" customWidth="1"/>
    <col min="4393" max="4393" width="9.140625" style="452"/>
    <col min="4394" max="4394" width="9.5703125" style="452" bestFit="1" customWidth="1"/>
    <col min="4395" max="4395" width="10.42578125" style="452" bestFit="1" customWidth="1"/>
    <col min="4396" max="4396" width="10" style="452" bestFit="1" customWidth="1"/>
    <col min="4397" max="4397" width="12.42578125" style="452" bestFit="1" customWidth="1"/>
    <col min="4398" max="4614" width="9.140625" style="452"/>
    <col min="4615" max="4615" width="16.5703125" style="452" bestFit="1" customWidth="1"/>
    <col min="4616" max="4616" width="38.42578125" style="452" bestFit="1" customWidth="1"/>
    <col min="4617" max="4617" width="0" style="452" hidden="1" customWidth="1"/>
    <col min="4618" max="4618" width="36.5703125" style="452" customWidth="1"/>
    <col min="4619" max="4619" width="12.140625" style="452" customWidth="1"/>
    <col min="4620" max="4620" width="7.5703125" style="452" bestFit="1" customWidth="1"/>
    <col min="4621" max="4621" width="4.42578125" style="452" bestFit="1" customWidth="1"/>
    <col min="4622" max="4622" width="9.85546875" style="452" bestFit="1" customWidth="1"/>
    <col min="4623" max="4623" width="9.42578125" style="452" bestFit="1" customWidth="1"/>
    <col min="4624" max="4624" width="8.85546875" style="452" customWidth="1"/>
    <col min="4625" max="4625" width="9.140625" style="452"/>
    <col min="4626" max="4626" width="12.85546875" style="452" customWidth="1"/>
    <col min="4627" max="4627" width="9.140625" style="452"/>
    <col min="4628" max="4628" width="11.85546875" style="452" customWidth="1"/>
    <col min="4629" max="4629" width="11" style="452" bestFit="1" customWidth="1"/>
    <col min="4630" max="4630" width="10" style="452" bestFit="1" customWidth="1"/>
    <col min="4631" max="4631" width="9.5703125" style="452" bestFit="1" customWidth="1"/>
    <col min="4632" max="4633" width="10" style="452" bestFit="1" customWidth="1"/>
    <col min="4634" max="4634" width="10.5703125" style="452" bestFit="1" customWidth="1"/>
    <col min="4635" max="4635" width="10" style="452" bestFit="1" customWidth="1"/>
    <col min="4636" max="4636" width="9.140625" style="452"/>
    <col min="4637" max="4637" width="11" style="452" bestFit="1" customWidth="1"/>
    <col min="4638" max="4638" width="9.140625" style="452"/>
    <col min="4639" max="4639" width="10" style="452" bestFit="1" customWidth="1"/>
    <col min="4640" max="4640" width="9.5703125" style="452" bestFit="1" customWidth="1"/>
    <col min="4641" max="4642" width="10.5703125" style="452" bestFit="1" customWidth="1"/>
    <col min="4643" max="4643" width="10" style="452" bestFit="1" customWidth="1"/>
    <col min="4644" max="4644" width="9.140625" style="452"/>
    <col min="4645" max="4646" width="10" style="452" bestFit="1" customWidth="1"/>
    <col min="4647" max="4647" width="10.5703125" style="452" bestFit="1" customWidth="1"/>
    <col min="4648" max="4648" width="10.42578125" style="452" bestFit="1" customWidth="1"/>
    <col min="4649" max="4649" width="9.140625" style="452"/>
    <col min="4650" max="4650" width="9.5703125" style="452" bestFit="1" customWidth="1"/>
    <col min="4651" max="4651" width="10.42578125" style="452" bestFit="1" customWidth="1"/>
    <col min="4652" max="4652" width="10" style="452" bestFit="1" customWidth="1"/>
    <col min="4653" max="4653" width="12.42578125" style="452" bestFit="1" customWidth="1"/>
    <col min="4654" max="4870" width="9.140625" style="452"/>
    <col min="4871" max="4871" width="16.5703125" style="452" bestFit="1" customWidth="1"/>
    <col min="4872" max="4872" width="38.42578125" style="452" bestFit="1" customWidth="1"/>
    <col min="4873" max="4873" width="0" style="452" hidden="1" customWidth="1"/>
    <col min="4874" max="4874" width="36.5703125" style="452" customWidth="1"/>
    <col min="4875" max="4875" width="12.140625" style="452" customWidth="1"/>
    <col min="4876" max="4876" width="7.5703125" style="452" bestFit="1" customWidth="1"/>
    <col min="4877" max="4877" width="4.42578125" style="452" bestFit="1" customWidth="1"/>
    <col min="4878" max="4878" width="9.85546875" style="452" bestFit="1" customWidth="1"/>
    <col min="4879" max="4879" width="9.42578125" style="452" bestFit="1" customWidth="1"/>
    <col min="4880" max="4880" width="8.85546875" style="452" customWidth="1"/>
    <col min="4881" max="4881" width="9.140625" style="452"/>
    <col min="4882" max="4882" width="12.85546875" style="452" customWidth="1"/>
    <col min="4883" max="4883" width="9.140625" style="452"/>
    <col min="4884" max="4884" width="11.85546875" style="452" customWidth="1"/>
    <col min="4885" max="4885" width="11" style="452" bestFit="1" customWidth="1"/>
    <col min="4886" max="4886" width="10" style="452" bestFit="1" customWidth="1"/>
    <col min="4887" max="4887" width="9.5703125" style="452" bestFit="1" customWidth="1"/>
    <col min="4888" max="4889" width="10" style="452" bestFit="1" customWidth="1"/>
    <col min="4890" max="4890" width="10.5703125" style="452" bestFit="1" customWidth="1"/>
    <col min="4891" max="4891" width="10" style="452" bestFit="1" customWidth="1"/>
    <col min="4892" max="4892" width="9.140625" style="452"/>
    <col min="4893" max="4893" width="11" style="452" bestFit="1" customWidth="1"/>
    <col min="4894" max="4894" width="9.140625" style="452"/>
    <col min="4895" max="4895" width="10" style="452" bestFit="1" customWidth="1"/>
    <col min="4896" max="4896" width="9.5703125" style="452" bestFit="1" customWidth="1"/>
    <col min="4897" max="4898" width="10.5703125" style="452" bestFit="1" customWidth="1"/>
    <col min="4899" max="4899" width="10" style="452" bestFit="1" customWidth="1"/>
    <col min="4900" max="4900" width="9.140625" style="452"/>
    <col min="4901" max="4902" width="10" style="452" bestFit="1" customWidth="1"/>
    <col min="4903" max="4903" width="10.5703125" style="452" bestFit="1" customWidth="1"/>
    <col min="4904" max="4904" width="10.42578125" style="452" bestFit="1" customWidth="1"/>
    <col min="4905" max="4905" width="9.140625" style="452"/>
    <col min="4906" max="4906" width="9.5703125" style="452" bestFit="1" customWidth="1"/>
    <col min="4907" max="4907" width="10.42578125" style="452" bestFit="1" customWidth="1"/>
    <col min="4908" max="4908" width="10" style="452" bestFit="1" customWidth="1"/>
    <col min="4909" max="4909" width="12.42578125" style="452" bestFit="1" customWidth="1"/>
    <col min="4910" max="5126" width="9.140625" style="452"/>
    <col min="5127" max="5127" width="16.5703125" style="452" bestFit="1" customWidth="1"/>
    <col min="5128" max="5128" width="38.42578125" style="452" bestFit="1" customWidth="1"/>
    <col min="5129" max="5129" width="0" style="452" hidden="1" customWidth="1"/>
    <col min="5130" max="5130" width="36.5703125" style="452" customWidth="1"/>
    <col min="5131" max="5131" width="12.140625" style="452" customWidth="1"/>
    <col min="5132" max="5132" width="7.5703125" style="452" bestFit="1" customWidth="1"/>
    <col min="5133" max="5133" width="4.42578125" style="452" bestFit="1" customWidth="1"/>
    <col min="5134" max="5134" width="9.85546875" style="452" bestFit="1" customWidth="1"/>
    <col min="5135" max="5135" width="9.42578125" style="452" bestFit="1" customWidth="1"/>
    <col min="5136" max="5136" width="8.85546875" style="452" customWidth="1"/>
    <col min="5137" max="5137" width="9.140625" style="452"/>
    <col min="5138" max="5138" width="12.85546875" style="452" customWidth="1"/>
    <col min="5139" max="5139" width="9.140625" style="452"/>
    <col min="5140" max="5140" width="11.85546875" style="452" customWidth="1"/>
    <col min="5141" max="5141" width="11" style="452" bestFit="1" customWidth="1"/>
    <col min="5142" max="5142" width="10" style="452" bestFit="1" customWidth="1"/>
    <col min="5143" max="5143" width="9.5703125" style="452" bestFit="1" customWidth="1"/>
    <col min="5144" max="5145" width="10" style="452" bestFit="1" customWidth="1"/>
    <col min="5146" max="5146" width="10.5703125" style="452" bestFit="1" customWidth="1"/>
    <col min="5147" max="5147" width="10" style="452" bestFit="1" customWidth="1"/>
    <col min="5148" max="5148" width="9.140625" style="452"/>
    <col min="5149" max="5149" width="11" style="452" bestFit="1" customWidth="1"/>
    <col min="5150" max="5150" width="9.140625" style="452"/>
    <col min="5151" max="5151" width="10" style="452" bestFit="1" customWidth="1"/>
    <col min="5152" max="5152" width="9.5703125" style="452" bestFit="1" customWidth="1"/>
    <col min="5153" max="5154" width="10.5703125" style="452" bestFit="1" customWidth="1"/>
    <col min="5155" max="5155" width="10" style="452" bestFit="1" customWidth="1"/>
    <col min="5156" max="5156" width="9.140625" style="452"/>
    <col min="5157" max="5158" width="10" style="452" bestFit="1" customWidth="1"/>
    <col min="5159" max="5159" width="10.5703125" style="452" bestFit="1" customWidth="1"/>
    <col min="5160" max="5160" width="10.42578125" style="452" bestFit="1" customWidth="1"/>
    <col min="5161" max="5161" width="9.140625" style="452"/>
    <col min="5162" max="5162" width="9.5703125" style="452" bestFit="1" customWidth="1"/>
    <col min="5163" max="5163" width="10.42578125" style="452" bestFit="1" customWidth="1"/>
    <col min="5164" max="5164" width="10" style="452" bestFit="1" customWidth="1"/>
    <col min="5165" max="5165" width="12.42578125" style="452" bestFit="1" customWidth="1"/>
    <col min="5166" max="5382" width="9.140625" style="452"/>
    <col min="5383" max="5383" width="16.5703125" style="452" bestFit="1" customWidth="1"/>
    <col min="5384" max="5384" width="38.42578125" style="452" bestFit="1" customWidth="1"/>
    <col min="5385" max="5385" width="0" style="452" hidden="1" customWidth="1"/>
    <col min="5386" max="5386" width="36.5703125" style="452" customWidth="1"/>
    <col min="5387" max="5387" width="12.140625" style="452" customWidth="1"/>
    <col min="5388" max="5388" width="7.5703125" style="452" bestFit="1" customWidth="1"/>
    <col min="5389" max="5389" width="4.42578125" style="452" bestFit="1" customWidth="1"/>
    <col min="5390" max="5390" width="9.85546875" style="452" bestFit="1" customWidth="1"/>
    <col min="5391" max="5391" width="9.42578125" style="452" bestFit="1" customWidth="1"/>
    <col min="5392" max="5392" width="8.85546875" style="452" customWidth="1"/>
    <col min="5393" max="5393" width="9.140625" style="452"/>
    <col min="5394" max="5394" width="12.85546875" style="452" customWidth="1"/>
    <col min="5395" max="5395" width="9.140625" style="452"/>
    <col min="5396" max="5396" width="11.85546875" style="452" customWidth="1"/>
    <col min="5397" max="5397" width="11" style="452" bestFit="1" customWidth="1"/>
    <col min="5398" max="5398" width="10" style="452" bestFit="1" customWidth="1"/>
    <col min="5399" max="5399" width="9.5703125" style="452" bestFit="1" customWidth="1"/>
    <col min="5400" max="5401" width="10" style="452" bestFit="1" customWidth="1"/>
    <col min="5402" max="5402" width="10.5703125" style="452" bestFit="1" customWidth="1"/>
    <col min="5403" max="5403" width="10" style="452" bestFit="1" customWidth="1"/>
    <col min="5404" max="5404" width="9.140625" style="452"/>
    <col min="5405" max="5405" width="11" style="452" bestFit="1" customWidth="1"/>
    <col min="5406" max="5406" width="9.140625" style="452"/>
    <col min="5407" max="5407" width="10" style="452" bestFit="1" customWidth="1"/>
    <col min="5408" max="5408" width="9.5703125" style="452" bestFit="1" customWidth="1"/>
    <col min="5409" max="5410" width="10.5703125" style="452" bestFit="1" customWidth="1"/>
    <col min="5411" max="5411" width="10" style="452" bestFit="1" customWidth="1"/>
    <col min="5412" max="5412" width="9.140625" style="452"/>
    <col min="5413" max="5414" width="10" style="452" bestFit="1" customWidth="1"/>
    <col min="5415" max="5415" width="10.5703125" style="452" bestFit="1" customWidth="1"/>
    <col min="5416" max="5416" width="10.42578125" style="452" bestFit="1" customWidth="1"/>
    <col min="5417" max="5417" width="9.140625" style="452"/>
    <col min="5418" max="5418" width="9.5703125" style="452" bestFit="1" customWidth="1"/>
    <col min="5419" max="5419" width="10.42578125" style="452" bestFit="1" customWidth="1"/>
    <col min="5420" max="5420" width="10" style="452" bestFit="1" customWidth="1"/>
    <col min="5421" max="5421" width="12.42578125" style="452" bestFit="1" customWidth="1"/>
    <col min="5422" max="5638" width="9.140625" style="452"/>
    <col min="5639" max="5639" width="16.5703125" style="452" bestFit="1" customWidth="1"/>
    <col min="5640" max="5640" width="38.42578125" style="452" bestFit="1" customWidth="1"/>
    <col min="5641" max="5641" width="0" style="452" hidden="1" customWidth="1"/>
    <col min="5642" max="5642" width="36.5703125" style="452" customWidth="1"/>
    <col min="5643" max="5643" width="12.140625" style="452" customWidth="1"/>
    <col min="5644" max="5644" width="7.5703125" style="452" bestFit="1" customWidth="1"/>
    <col min="5645" max="5645" width="4.42578125" style="452" bestFit="1" customWidth="1"/>
    <col min="5646" max="5646" width="9.85546875" style="452" bestFit="1" customWidth="1"/>
    <col min="5647" max="5647" width="9.42578125" style="452" bestFit="1" customWidth="1"/>
    <col min="5648" max="5648" width="8.85546875" style="452" customWidth="1"/>
    <col min="5649" max="5649" width="9.140625" style="452"/>
    <col min="5650" max="5650" width="12.85546875" style="452" customWidth="1"/>
    <col min="5651" max="5651" width="9.140625" style="452"/>
    <col min="5652" max="5652" width="11.85546875" style="452" customWidth="1"/>
    <col min="5653" max="5653" width="11" style="452" bestFit="1" customWidth="1"/>
    <col min="5654" max="5654" width="10" style="452" bestFit="1" customWidth="1"/>
    <col min="5655" max="5655" width="9.5703125" style="452" bestFit="1" customWidth="1"/>
    <col min="5656" max="5657" width="10" style="452" bestFit="1" customWidth="1"/>
    <col min="5658" max="5658" width="10.5703125" style="452" bestFit="1" customWidth="1"/>
    <col min="5659" max="5659" width="10" style="452" bestFit="1" customWidth="1"/>
    <col min="5660" max="5660" width="9.140625" style="452"/>
    <col min="5661" max="5661" width="11" style="452" bestFit="1" customWidth="1"/>
    <col min="5662" max="5662" width="9.140625" style="452"/>
    <col min="5663" max="5663" width="10" style="452" bestFit="1" customWidth="1"/>
    <col min="5664" max="5664" width="9.5703125" style="452" bestFit="1" customWidth="1"/>
    <col min="5665" max="5666" width="10.5703125" style="452" bestFit="1" customWidth="1"/>
    <col min="5667" max="5667" width="10" style="452" bestFit="1" customWidth="1"/>
    <col min="5668" max="5668" width="9.140625" style="452"/>
    <col min="5669" max="5670" width="10" style="452" bestFit="1" customWidth="1"/>
    <col min="5671" max="5671" width="10.5703125" style="452" bestFit="1" customWidth="1"/>
    <col min="5672" max="5672" width="10.42578125" style="452" bestFit="1" customWidth="1"/>
    <col min="5673" max="5673" width="9.140625" style="452"/>
    <col min="5674" max="5674" width="9.5703125" style="452" bestFit="1" customWidth="1"/>
    <col min="5675" max="5675" width="10.42578125" style="452" bestFit="1" customWidth="1"/>
    <col min="5676" max="5676" width="10" style="452" bestFit="1" customWidth="1"/>
    <col min="5677" max="5677" width="12.42578125" style="452" bestFit="1" customWidth="1"/>
    <col min="5678" max="5894" width="9.140625" style="452"/>
    <col min="5895" max="5895" width="16.5703125" style="452" bestFit="1" customWidth="1"/>
    <col min="5896" max="5896" width="38.42578125" style="452" bestFit="1" customWidth="1"/>
    <col min="5897" max="5897" width="0" style="452" hidden="1" customWidth="1"/>
    <col min="5898" max="5898" width="36.5703125" style="452" customWidth="1"/>
    <col min="5899" max="5899" width="12.140625" style="452" customWidth="1"/>
    <col min="5900" max="5900" width="7.5703125" style="452" bestFit="1" customWidth="1"/>
    <col min="5901" max="5901" width="4.42578125" style="452" bestFit="1" customWidth="1"/>
    <col min="5902" max="5902" width="9.85546875" style="452" bestFit="1" customWidth="1"/>
    <col min="5903" max="5903" width="9.42578125" style="452" bestFit="1" customWidth="1"/>
    <col min="5904" max="5904" width="8.85546875" style="452" customWidth="1"/>
    <col min="5905" max="5905" width="9.140625" style="452"/>
    <col min="5906" max="5906" width="12.85546875" style="452" customWidth="1"/>
    <col min="5907" max="5907" width="9.140625" style="452"/>
    <col min="5908" max="5908" width="11.85546875" style="452" customWidth="1"/>
    <col min="5909" max="5909" width="11" style="452" bestFit="1" customWidth="1"/>
    <col min="5910" max="5910" width="10" style="452" bestFit="1" customWidth="1"/>
    <col min="5911" max="5911" width="9.5703125" style="452" bestFit="1" customWidth="1"/>
    <col min="5912" max="5913" width="10" style="452" bestFit="1" customWidth="1"/>
    <col min="5914" max="5914" width="10.5703125" style="452" bestFit="1" customWidth="1"/>
    <col min="5915" max="5915" width="10" style="452" bestFit="1" customWidth="1"/>
    <col min="5916" max="5916" width="9.140625" style="452"/>
    <col min="5917" max="5917" width="11" style="452" bestFit="1" customWidth="1"/>
    <col min="5918" max="5918" width="9.140625" style="452"/>
    <col min="5919" max="5919" width="10" style="452" bestFit="1" customWidth="1"/>
    <col min="5920" max="5920" width="9.5703125" style="452" bestFit="1" customWidth="1"/>
    <col min="5921" max="5922" width="10.5703125" style="452" bestFit="1" customWidth="1"/>
    <col min="5923" max="5923" width="10" style="452" bestFit="1" customWidth="1"/>
    <col min="5924" max="5924" width="9.140625" style="452"/>
    <col min="5925" max="5926" width="10" style="452" bestFit="1" customWidth="1"/>
    <col min="5927" max="5927" width="10.5703125" style="452" bestFit="1" customWidth="1"/>
    <col min="5928" max="5928" width="10.42578125" style="452" bestFit="1" customWidth="1"/>
    <col min="5929" max="5929" width="9.140625" style="452"/>
    <col min="5930" max="5930" width="9.5703125" style="452" bestFit="1" customWidth="1"/>
    <col min="5931" max="5931" width="10.42578125" style="452" bestFit="1" customWidth="1"/>
    <col min="5932" max="5932" width="10" style="452" bestFit="1" customWidth="1"/>
    <col min="5933" max="5933" width="12.42578125" style="452" bestFit="1" customWidth="1"/>
    <col min="5934" max="6150" width="9.140625" style="452"/>
    <col min="6151" max="6151" width="16.5703125" style="452" bestFit="1" customWidth="1"/>
    <col min="6152" max="6152" width="38.42578125" style="452" bestFit="1" customWidth="1"/>
    <col min="6153" max="6153" width="0" style="452" hidden="1" customWidth="1"/>
    <col min="6154" max="6154" width="36.5703125" style="452" customWidth="1"/>
    <col min="6155" max="6155" width="12.140625" style="452" customWidth="1"/>
    <col min="6156" max="6156" width="7.5703125" style="452" bestFit="1" customWidth="1"/>
    <col min="6157" max="6157" width="4.42578125" style="452" bestFit="1" customWidth="1"/>
    <col min="6158" max="6158" width="9.85546875" style="452" bestFit="1" customWidth="1"/>
    <col min="6159" max="6159" width="9.42578125" style="452" bestFit="1" customWidth="1"/>
    <col min="6160" max="6160" width="8.85546875" style="452" customWidth="1"/>
    <col min="6161" max="6161" width="9.140625" style="452"/>
    <col min="6162" max="6162" width="12.85546875" style="452" customWidth="1"/>
    <col min="6163" max="6163" width="9.140625" style="452"/>
    <col min="6164" max="6164" width="11.85546875" style="452" customWidth="1"/>
    <col min="6165" max="6165" width="11" style="452" bestFit="1" customWidth="1"/>
    <col min="6166" max="6166" width="10" style="452" bestFit="1" customWidth="1"/>
    <col min="6167" max="6167" width="9.5703125" style="452" bestFit="1" customWidth="1"/>
    <col min="6168" max="6169" width="10" style="452" bestFit="1" customWidth="1"/>
    <col min="6170" max="6170" width="10.5703125" style="452" bestFit="1" customWidth="1"/>
    <col min="6171" max="6171" width="10" style="452" bestFit="1" customWidth="1"/>
    <col min="6172" max="6172" width="9.140625" style="452"/>
    <col min="6173" max="6173" width="11" style="452" bestFit="1" customWidth="1"/>
    <col min="6174" max="6174" width="9.140625" style="452"/>
    <col min="6175" max="6175" width="10" style="452" bestFit="1" customWidth="1"/>
    <col min="6176" max="6176" width="9.5703125" style="452" bestFit="1" customWidth="1"/>
    <col min="6177" max="6178" width="10.5703125" style="452" bestFit="1" customWidth="1"/>
    <col min="6179" max="6179" width="10" style="452" bestFit="1" customWidth="1"/>
    <col min="6180" max="6180" width="9.140625" style="452"/>
    <col min="6181" max="6182" width="10" style="452" bestFit="1" customWidth="1"/>
    <col min="6183" max="6183" width="10.5703125" style="452" bestFit="1" customWidth="1"/>
    <col min="6184" max="6184" width="10.42578125" style="452" bestFit="1" customWidth="1"/>
    <col min="6185" max="6185" width="9.140625" style="452"/>
    <col min="6186" max="6186" width="9.5703125" style="452" bestFit="1" customWidth="1"/>
    <col min="6187" max="6187" width="10.42578125" style="452" bestFit="1" customWidth="1"/>
    <col min="6188" max="6188" width="10" style="452" bestFit="1" customWidth="1"/>
    <col min="6189" max="6189" width="12.42578125" style="452" bestFit="1" customWidth="1"/>
    <col min="6190" max="6406" width="9.140625" style="452"/>
    <col min="6407" max="6407" width="16.5703125" style="452" bestFit="1" customWidth="1"/>
    <col min="6408" max="6408" width="38.42578125" style="452" bestFit="1" customWidth="1"/>
    <col min="6409" max="6409" width="0" style="452" hidden="1" customWidth="1"/>
    <col min="6410" max="6410" width="36.5703125" style="452" customWidth="1"/>
    <col min="6411" max="6411" width="12.140625" style="452" customWidth="1"/>
    <col min="6412" max="6412" width="7.5703125" style="452" bestFit="1" customWidth="1"/>
    <col min="6413" max="6413" width="4.42578125" style="452" bestFit="1" customWidth="1"/>
    <col min="6414" max="6414" width="9.85546875" style="452" bestFit="1" customWidth="1"/>
    <col min="6415" max="6415" width="9.42578125" style="452" bestFit="1" customWidth="1"/>
    <col min="6416" max="6416" width="8.85546875" style="452" customWidth="1"/>
    <col min="6417" max="6417" width="9.140625" style="452"/>
    <col min="6418" max="6418" width="12.85546875" style="452" customWidth="1"/>
    <col min="6419" max="6419" width="9.140625" style="452"/>
    <col min="6420" max="6420" width="11.85546875" style="452" customWidth="1"/>
    <col min="6421" max="6421" width="11" style="452" bestFit="1" customWidth="1"/>
    <col min="6422" max="6422" width="10" style="452" bestFit="1" customWidth="1"/>
    <col min="6423" max="6423" width="9.5703125" style="452" bestFit="1" customWidth="1"/>
    <col min="6424" max="6425" width="10" style="452" bestFit="1" customWidth="1"/>
    <col min="6426" max="6426" width="10.5703125" style="452" bestFit="1" customWidth="1"/>
    <col min="6427" max="6427" width="10" style="452" bestFit="1" customWidth="1"/>
    <col min="6428" max="6428" width="9.140625" style="452"/>
    <col min="6429" max="6429" width="11" style="452" bestFit="1" customWidth="1"/>
    <col min="6430" max="6430" width="9.140625" style="452"/>
    <col min="6431" max="6431" width="10" style="452" bestFit="1" customWidth="1"/>
    <col min="6432" max="6432" width="9.5703125" style="452" bestFit="1" customWidth="1"/>
    <col min="6433" max="6434" width="10.5703125" style="452" bestFit="1" customWidth="1"/>
    <col min="6435" max="6435" width="10" style="452" bestFit="1" customWidth="1"/>
    <col min="6436" max="6436" width="9.140625" style="452"/>
    <col min="6437" max="6438" width="10" style="452" bestFit="1" customWidth="1"/>
    <col min="6439" max="6439" width="10.5703125" style="452" bestFit="1" customWidth="1"/>
    <col min="6440" max="6440" width="10.42578125" style="452" bestFit="1" customWidth="1"/>
    <col min="6441" max="6441" width="9.140625" style="452"/>
    <col min="6442" max="6442" width="9.5703125" style="452" bestFit="1" customWidth="1"/>
    <col min="6443" max="6443" width="10.42578125" style="452" bestFit="1" customWidth="1"/>
    <col min="6444" max="6444" width="10" style="452" bestFit="1" customWidth="1"/>
    <col min="6445" max="6445" width="12.42578125" style="452" bestFit="1" customWidth="1"/>
    <col min="6446" max="6662" width="9.140625" style="452"/>
    <col min="6663" max="6663" width="16.5703125" style="452" bestFit="1" customWidth="1"/>
    <col min="6664" max="6664" width="38.42578125" style="452" bestFit="1" customWidth="1"/>
    <col min="6665" max="6665" width="0" style="452" hidden="1" customWidth="1"/>
    <col min="6666" max="6666" width="36.5703125" style="452" customWidth="1"/>
    <col min="6667" max="6667" width="12.140625" style="452" customWidth="1"/>
    <col min="6668" max="6668" width="7.5703125" style="452" bestFit="1" customWidth="1"/>
    <col min="6669" max="6669" width="4.42578125" style="452" bestFit="1" customWidth="1"/>
    <col min="6670" max="6670" width="9.85546875" style="452" bestFit="1" customWidth="1"/>
    <col min="6671" max="6671" width="9.42578125" style="452" bestFit="1" customWidth="1"/>
    <col min="6672" max="6672" width="8.85546875" style="452" customWidth="1"/>
    <col min="6673" max="6673" width="9.140625" style="452"/>
    <col min="6674" max="6674" width="12.85546875" style="452" customWidth="1"/>
    <col min="6675" max="6675" width="9.140625" style="452"/>
    <col min="6676" max="6676" width="11.85546875" style="452" customWidth="1"/>
    <col min="6677" max="6677" width="11" style="452" bestFit="1" customWidth="1"/>
    <col min="6678" max="6678" width="10" style="452" bestFit="1" customWidth="1"/>
    <col min="6679" max="6679" width="9.5703125" style="452" bestFit="1" customWidth="1"/>
    <col min="6680" max="6681" width="10" style="452" bestFit="1" customWidth="1"/>
    <col min="6682" max="6682" width="10.5703125" style="452" bestFit="1" customWidth="1"/>
    <col min="6683" max="6683" width="10" style="452" bestFit="1" customWidth="1"/>
    <col min="6684" max="6684" width="9.140625" style="452"/>
    <col min="6685" max="6685" width="11" style="452" bestFit="1" customWidth="1"/>
    <col min="6686" max="6686" width="9.140625" style="452"/>
    <col min="6687" max="6687" width="10" style="452" bestFit="1" customWidth="1"/>
    <col min="6688" max="6688" width="9.5703125" style="452" bestFit="1" customWidth="1"/>
    <col min="6689" max="6690" width="10.5703125" style="452" bestFit="1" customWidth="1"/>
    <col min="6691" max="6691" width="10" style="452" bestFit="1" customWidth="1"/>
    <col min="6692" max="6692" width="9.140625" style="452"/>
    <col min="6693" max="6694" width="10" style="452" bestFit="1" customWidth="1"/>
    <col min="6695" max="6695" width="10.5703125" style="452" bestFit="1" customWidth="1"/>
    <col min="6696" max="6696" width="10.42578125" style="452" bestFit="1" customWidth="1"/>
    <col min="6697" max="6697" width="9.140625" style="452"/>
    <col min="6698" max="6698" width="9.5703125" style="452" bestFit="1" customWidth="1"/>
    <col min="6699" max="6699" width="10.42578125" style="452" bestFit="1" customWidth="1"/>
    <col min="6700" max="6700" width="10" style="452" bestFit="1" customWidth="1"/>
    <col min="6701" max="6701" width="12.42578125" style="452" bestFit="1" customWidth="1"/>
    <col min="6702" max="6918" width="9.140625" style="452"/>
    <col min="6919" max="6919" width="16.5703125" style="452" bestFit="1" customWidth="1"/>
    <col min="6920" max="6920" width="38.42578125" style="452" bestFit="1" customWidth="1"/>
    <col min="6921" max="6921" width="0" style="452" hidden="1" customWidth="1"/>
    <col min="6922" max="6922" width="36.5703125" style="452" customWidth="1"/>
    <col min="6923" max="6923" width="12.140625" style="452" customWidth="1"/>
    <col min="6924" max="6924" width="7.5703125" style="452" bestFit="1" customWidth="1"/>
    <col min="6925" max="6925" width="4.42578125" style="452" bestFit="1" customWidth="1"/>
    <col min="6926" max="6926" width="9.85546875" style="452" bestFit="1" customWidth="1"/>
    <col min="6927" max="6927" width="9.42578125" style="452" bestFit="1" customWidth="1"/>
    <col min="6928" max="6928" width="8.85546875" style="452" customWidth="1"/>
    <col min="6929" max="6929" width="9.140625" style="452"/>
    <col min="6930" max="6930" width="12.85546875" style="452" customWidth="1"/>
    <col min="6931" max="6931" width="9.140625" style="452"/>
    <col min="6932" max="6932" width="11.85546875" style="452" customWidth="1"/>
    <col min="6933" max="6933" width="11" style="452" bestFit="1" customWidth="1"/>
    <col min="6934" max="6934" width="10" style="452" bestFit="1" customWidth="1"/>
    <col min="6935" max="6935" width="9.5703125" style="452" bestFit="1" customWidth="1"/>
    <col min="6936" max="6937" width="10" style="452" bestFit="1" customWidth="1"/>
    <col min="6938" max="6938" width="10.5703125" style="452" bestFit="1" customWidth="1"/>
    <col min="6939" max="6939" width="10" style="452" bestFit="1" customWidth="1"/>
    <col min="6940" max="6940" width="9.140625" style="452"/>
    <col min="6941" max="6941" width="11" style="452" bestFit="1" customWidth="1"/>
    <col min="6942" max="6942" width="9.140625" style="452"/>
    <col min="6943" max="6943" width="10" style="452" bestFit="1" customWidth="1"/>
    <col min="6944" max="6944" width="9.5703125" style="452" bestFit="1" customWidth="1"/>
    <col min="6945" max="6946" width="10.5703125" style="452" bestFit="1" customWidth="1"/>
    <col min="6947" max="6947" width="10" style="452" bestFit="1" customWidth="1"/>
    <col min="6948" max="6948" width="9.140625" style="452"/>
    <col min="6949" max="6950" width="10" style="452" bestFit="1" customWidth="1"/>
    <col min="6951" max="6951" width="10.5703125" style="452" bestFit="1" customWidth="1"/>
    <col min="6952" max="6952" width="10.42578125" style="452" bestFit="1" customWidth="1"/>
    <col min="6953" max="6953" width="9.140625" style="452"/>
    <col min="6954" max="6954" width="9.5703125" style="452" bestFit="1" customWidth="1"/>
    <col min="6955" max="6955" width="10.42578125" style="452" bestFit="1" customWidth="1"/>
    <col min="6956" max="6956" width="10" style="452" bestFit="1" customWidth="1"/>
    <col min="6957" max="6957" width="12.42578125" style="452" bestFit="1" customWidth="1"/>
    <col min="6958" max="7174" width="9.140625" style="452"/>
    <col min="7175" max="7175" width="16.5703125" style="452" bestFit="1" customWidth="1"/>
    <col min="7176" max="7176" width="38.42578125" style="452" bestFit="1" customWidth="1"/>
    <col min="7177" max="7177" width="0" style="452" hidden="1" customWidth="1"/>
    <col min="7178" max="7178" width="36.5703125" style="452" customWidth="1"/>
    <col min="7179" max="7179" width="12.140625" style="452" customWidth="1"/>
    <col min="7180" max="7180" width="7.5703125" style="452" bestFit="1" customWidth="1"/>
    <col min="7181" max="7181" width="4.42578125" style="452" bestFit="1" customWidth="1"/>
    <col min="7182" max="7182" width="9.85546875" style="452" bestFit="1" customWidth="1"/>
    <col min="7183" max="7183" width="9.42578125" style="452" bestFit="1" customWidth="1"/>
    <col min="7184" max="7184" width="8.85546875" style="452" customWidth="1"/>
    <col min="7185" max="7185" width="9.140625" style="452"/>
    <col min="7186" max="7186" width="12.85546875" style="452" customWidth="1"/>
    <col min="7187" max="7187" width="9.140625" style="452"/>
    <col min="7188" max="7188" width="11.85546875" style="452" customWidth="1"/>
    <col min="7189" max="7189" width="11" style="452" bestFit="1" customWidth="1"/>
    <col min="7190" max="7190" width="10" style="452" bestFit="1" customWidth="1"/>
    <col min="7191" max="7191" width="9.5703125" style="452" bestFit="1" customWidth="1"/>
    <col min="7192" max="7193" width="10" style="452" bestFit="1" customWidth="1"/>
    <col min="7194" max="7194" width="10.5703125" style="452" bestFit="1" customWidth="1"/>
    <col min="7195" max="7195" width="10" style="452" bestFit="1" customWidth="1"/>
    <col min="7196" max="7196" width="9.140625" style="452"/>
    <col min="7197" max="7197" width="11" style="452" bestFit="1" customWidth="1"/>
    <col min="7198" max="7198" width="9.140625" style="452"/>
    <col min="7199" max="7199" width="10" style="452" bestFit="1" customWidth="1"/>
    <col min="7200" max="7200" width="9.5703125" style="452" bestFit="1" customWidth="1"/>
    <col min="7201" max="7202" width="10.5703125" style="452" bestFit="1" customWidth="1"/>
    <col min="7203" max="7203" width="10" style="452" bestFit="1" customWidth="1"/>
    <col min="7204" max="7204" width="9.140625" style="452"/>
    <col min="7205" max="7206" width="10" style="452" bestFit="1" customWidth="1"/>
    <col min="7207" max="7207" width="10.5703125" style="452" bestFit="1" customWidth="1"/>
    <col min="7208" max="7208" width="10.42578125" style="452" bestFit="1" customWidth="1"/>
    <col min="7209" max="7209" width="9.140625" style="452"/>
    <col min="7210" max="7210" width="9.5703125" style="452" bestFit="1" customWidth="1"/>
    <col min="7211" max="7211" width="10.42578125" style="452" bestFit="1" customWidth="1"/>
    <col min="7212" max="7212" width="10" style="452" bestFit="1" customWidth="1"/>
    <col min="7213" max="7213" width="12.42578125" style="452" bestFit="1" customWidth="1"/>
    <col min="7214" max="7430" width="9.140625" style="452"/>
    <col min="7431" max="7431" width="16.5703125" style="452" bestFit="1" customWidth="1"/>
    <col min="7432" max="7432" width="38.42578125" style="452" bestFit="1" customWidth="1"/>
    <col min="7433" max="7433" width="0" style="452" hidden="1" customWidth="1"/>
    <col min="7434" max="7434" width="36.5703125" style="452" customWidth="1"/>
    <col min="7435" max="7435" width="12.140625" style="452" customWidth="1"/>
    <col min="7436" max="7436" width="7.5703125" style="452" bestFit="1" customWidth="1"/>
    <col min="7437" max="7437" width="4.42578125" style="452" bestFit="1" customWidth="1"/>
    <col min="7438" max="7438" width="9.85546875" style="452" bestFit="1" customWidth="1"/>
    <col min="7439" max="7439" width="9.42578125" style="452" bestFit="1" customWidth="1"/>
    <col min="7440" max="7440" width="8.85546875" style="452" customWidth="1"/>
    <col min="7441" max="7441" width="9.140625" style="452"/>
    <col min="7442" max="7442" width="12.85546875" style="452" customWidth="1"/>
    <col min="7443" max="7443" width="9.140625" style="452"/>
    <col min="7444" max="7444" width="11.85546875" style="452" customWidth="1"/>
    <col min="7445" max="7445" width="11" style="452" bestFit="1" customWidth="1"/>
    <col min="7446" max="7446" width="10" style="452" bestFit="1" customWidth="1"/>
    <col min="7447" max="7447" width="9.5703125" style="452" bestFit="1" customWidth="1"/>
    <col min="7448" max="7449" width="10" style="452" bestFit="1" customWidth="1"/>
    <col min="7450" max="7450" width="10.5703125" style="452" bestFit="1" customWidth="1"/>
    <col min="7451" max="7451" width="10" style="452" bestFit="1" customWidth="1"/>
    <col min="7452" max="7452" width="9.140625" style="452"/>
    <col min="7453" max="7453" width="11" style="452" bestFit="1" customWidth="1"/>
    <col min="7454" max="7454" width="9.140625" style="452"/>
    <col min="7455" max="7455" width="10" style="452" bestFit="1" customWidth="1"/>
    <col min="7456" max="7456" width="9.5703125" style="452" bestFit="1" customWidth="1"/>
    <col min="7457" max="7458" width="10.5703125" style="452" bestFit="1" customWidth="1"/>
    <col min="7459" max="7459" width="10" style="452" bestFit="1" customWidth="1"/>
    <col min="7460" max="7460" width="9.140625" style="452"/>
    <col min="7461" max="7462" width="10" style="452" bestFit="1" customWidth="1"/>
    <col min="7463" max="7463" width="10.5703125" style="452" bestFit="1" customWidth="1"/>
    <col min="7464" max="7464" width="10.42578125" style="452" bestFit="1" customWidth="1"/>
    <col min="7465" max="7465" width="9.140625" style="452"/>
    <col min="7466" max="7466" width="9.5703125" style="452" bestFit="1" customWidth="1"/>
    <col min="7467" max="7467" width="10.42578125" style="452" bestFit="1" customWidth="1"/>
    <col min="7468" max="7468" width="10" style="452" bestFit="1" customWidth="1"/>
    <col min="7469" max="7469" width="12.42578125" style="452" bestFit="1" customWidth="1"/>
    <col min="7470" max="7686" width="9.140625" style="452"/>
    <col min="7687" max="7687" width="16.5703125" style="452" bestFit="1" customWidth="1"/>
    <col min="7688" max="7688" width="38.42578125" style="452" bestFit="1" customWidth="1"/>
    <col min="7689" max="7689" width="0" style="452" hidden="1" customWidth="1"/>
    <col min="7690" max="7690" width="36.5703125" style="452" customWidth="1"/>
    <col min="7691" max="7691" width="12.140625" style="452" customWidth="1"/>
    <col min="7692" max="7692" width="7.5703125" style="452" bestFit="1" customWidth="1"/>
    <col min="7693" max="7693" width="4.42578125" style="452" bestFit="1" customWidth="1"/>
    <col min="7694" max="7694" width="9.85546875" style="452" bestFit="1" customWidth="1"/>
    <col min="7695" max="7695" width="9.42578125" style="452" bestFit="1" customWidth="1"/>
    <col min="7696" max="7696" width="8.85546875" style="452" customWidth="1"/>
    <col min="7697" max="7697" width="9.140625" style="452"/>
    <col min="7698" max="7698" width="12.85546875" style="452" customWidth="1"/>
    <col min="7699" max="7699" width="9.140625" style="452"/>
    <col min="7700" max="7700" width="11.85546875" style="452" customWidth="1"/>
    <col min="7701" max="7701" width="11" style="452" bestFit="1" customWidth="1"/>
    <col min="7702" max="7702" width="10" style="452" bestFit="1" customWidth="1"/>
    <col min="7703" max="7703" width="9.5703125" style="452" bestFit="1" customWidth="1"/>
    <col min="7704" max="7705" width="10" style="452" bestFit="1" customWidth="1"/>
    <col min="7706" max="7706" width="10.5703125" style="452" bestFit="1" customWidth="1"/>
    <col min="7707" max="7707" width="10" style="452" bestFit="1" customWidth="1"/>
    <col min="7708" max="7708" width="9.140625" style="452"/>
    <col min="7709" max="7709" width="11" style="452" bestFit="1" customWidth="1"/>
    <col min="7710" max="7710" width="9.140625" style="452"/>
    <col min="7711" max="7711" width="10" style="452" bestFit="1" customWidth="1"/>
    <col min="7712" max="7712" width="9.5703125" style="452" bestFit="1" customWidth="1"/>
    <col min="7713" max="7714" width="10.5703125" style="452" bestFit="1" customWidth="1"/>
    <col min="7715" max="7715" width="10" style="452" bestFit="1" customWidth="1"/>
    <col min="7716" max="7716" width="9.140625" style="452"/>
    <col min="7717" max="7718" width="10" style="452" bestFit="1" customWidth="1"/>
    <col min="7719" max="7719" width="10.5703125" style="452" bestFit="1" customWidth="1"/>
    <col min="7720" max="7720" width="10.42578125" style="452" bestFit="1" customWidth="1"/>
    <col min="7721" max="7721" width="9.140625" style="452"/>
    <col min="7722" max="7722" width="9.5703125" style="452" bestFit="1" customWidth="1"/>
    <col min="7723" max="7723" width="10.42578125" style="452" bestFit="1" customWidth="1"/>
    <col min="7724" max="7724" width="10" style="452" bestFit="1" customWidth="1"/>
    <col min="7725" max="7725" width="12.42578125" style="452" bestFit="1" customWidth="1"/>
    <col min="7726" max="7942" width="9.140625" style="452"/>
    <col min="7943" max="7943" width="16.5703125" style="452" bestFit="1" customWidth="1"/>
    <col min="7944" max="7944" width="38.42578125" style="452" bestFit="1" customWidth="1"/>
    <col min="7945" max="7945" width="0" style="452" hidden="1" customWidth="1"/>
    <col min="7946" max="7946" width="36.5703125" style="452" customWidth="1"/>
    <col min="7947" max="7947" width="12.140625" style="452" customWidth="1"/>
    <col min="7948" max="7948" width="7.5703125" style="452" bestFit="1" customWidth="1"/>
    <col min="7949" max="7949" width="4.42578125" style="452" bestFit="1" customWidth="1"/>
    <col min="7950" max="7950" width="9.85546875" style="452" bestFit="1" customWidth="1"/>
    <col min="7951" max="7951" width="9.42578125" style="452" bestFit="1" customWidth="1"/>
    <col min="7952" max="7952" width="8.85546875" style="452" customWidth="1"/>
    <col min="7953" max="7953" width="9.140625" style="452"/>
    <col min="7954" max="7954" width="12.85546875" style="452" customWidth="1"/>
    <col min="7955" max="7955" width="9.140625" style="452"/>
    <col min="7956" max="7956" width="11.85546875" style="452" customWidth="1"/>
    <col min="7957" max="7957" width="11" style="452" bestFit="1" customWidth="1"/>
    <col min="7958" max="7958" width="10" style="452" bestFit="1" customWidth="1"/>
    <col min="7959" max="7959" width="9.5703125" style="452" bestFit="1" customWidth="1"/>
    <col min="7960" max="7961" width="10" style="452" bestFit="1" customWidth="1"/>
    <col min="7962" max="7962" width="10.5703125" style="452" bestFit="1" customWidth="1"/>
    <col min="7963" max="7963" width="10" style="452" bestFit="1" customWidth="1"/>
    <col min="7964" max="7964" width="9.140625" style="452"/>
    <col min="7965" max="7965" width="11" style="452" bestFit="1" customWidth="1"/>
    <col min="7966" max="7966" width="9.140625" style="452"/>
    <col min="7967" max="7967" width="10" style="452" bestFit="1" customWidth="1"/>
    <col min="7968" max="7968" width="9.5703125" style="452" bestFit="1" customWidth="1"/>
    <col min="7969" max="7970" width="10.5703125" style="452" bestFit="1" customWidth="1"/>
    <col min="7971" max="7971" width="10" style="452" bestFit="1" customWidth="1"/>
    <col min="7972" max="7972" width="9.140625" style="452"/>
    <col min="7973" max="7974" width="10" style="452" bestFit="1" customWidth="1"/>
    <col min="7975" max="7975" width="10.5703125" style="452" bestFit="1" customWidth="1"/>
    <col min="7976" max="7976" width="10.42578125" style="452" bestFit="1" customWidth="1"/>
    <col min="7977" max="7977" width="9.140625" style="452"/>
    <col min="7978" max="7978" width="9.5703125" style="452" bestFit="1" customWidth="1"/>
    <col min="7979" max="7979" width="10.42578125" style="452" bestFit="1" customWidth="1"/>
    <col min="7980" max="7980" width="10" style="452" bestFit="1" customWidth="1"/>
    <col min="7981" max="7981" width="12.42578125" style="452" bestFit="1" customWidth="1"/>
    <col min="7982" max="8198" width="9.140625" style="452"/>
    <col min="8199" max="8199" width="16.5703125" style="452" bestFit="1" customWidth="1"/>
    <col min="8200" max="8200" width="38.42578125" style="452" bestFit="1" customWidth="1"/>
    <col min="8201" max="8201" width="0" style="452" hidden="1" customWidth="1"/>
    <col min="8202" max="8202" width="36.5703125" style="452" customWidth="1"/>
    <col min="8203" max="8203" width="12.140625" style="452" customWidth="1"/>
    <col min="8204" max="8204" width="7.5703125" style="452" bestFit="1" customWidth="1"/>
    <col min="8205" max="8205" width="4.42578125" style="452" bestFit="1" customWidth="1"/>
    <col min="8206" max="8206" width="9.85546875" style="452" bestFit="1" customWidth="1"/>
    <col min="8207" max="8207" width="9.42578125" style="452" bestFit="1" customWidth="1"/>
    <col min="8208" max="8208" width="8.85546875" style="452" customWidth="1"/>
    <col min="8209" max="8209" width="9.140625" style="452"/>
    <col min="8210" max="8210" width="12.85546875" style="452" customWidth="1"/>
    <col min="8211" max="8211" width="9.140625" style="452"/>
    <col min="8212" max="8212" width="11.85546875" style="452" customWidth="1"/>
    <col min="8213" max="8213" width="11" style="452" bestFit="1" customWidth="1"/>
    <col min="8214" max="8214" width="10" style="452" bestFit="1" customWidth="1"/>
    <col min="8215" max="8215" width="9.5703125" style="452" bestFit="1" customWidth="1"/>
    <col min="8216" max="8217" width="10" style="452" bestFit="1" customWidth="1"/>
    <col min="8218" max="8218" width="10.5703125" style="452" bestFit="1" customWidth="1"/>
    <col min="8219" max="8219" width="10" style="452" bestFit="1" customWidth="1"/>
    <col min="8220" max="8220" width="9.140625" style="452"/>
    <col min="8221" max="8221" width="11" style="452" bestFit="1" customWidth="1"/>
    <col min="8222" max="8222" width="9.140625" style="452"/>
    <col min="8223" max="8223" width="10" style="452" bestFit="1" customWidth="1"/>
    <col min="8224" max="8224" width="9.5703125" style="452" bestFit="1" customWidth="1"/>
    <col min="8225" max="8226" width="10.5703125" style="452" bestFit="1" customWidth="1"/>
    <col min="8227" max="8227" width="10" style="452" bestFit="1" customWidth="1"/>
    <col min="8228" max="8228" width="9.140625" style="452"/>
    <col min="8229" max="8230" width="10" style="452" bestFit="1" customWidth="1"/>
    <col min="8231" max="8231" width="10.5703125" style="452" bestFit="1" customWidth="1"/>
    <col min="8232" max="8232" width="10.42578125" style="452" bestFit="1" customWidth="1"/>
    <col min="8233" max="8233" width="9.140625" style="452"/>
    <col min="8234" max="8234" width="9.5703125" style="452" bestFit="1" customWidth="1"/>
    <col min="8235" max="8235" width="10.42578125" style="452" bestFit="1" customWidth="1"/>
    <col min="8236" max="8236" width="10" style="452" bestFit="1" customWidth="1"/>
    <col min="8237" max="8237" width="12.42578125" style="452" bestFit="1" customWidth="1"/>
    <col min="8238" max="8454" width="9.140625" style="452"/>
    <col min="8455" max="8455" width="16.5703125" style="452" bestFit="1" customWidth="1"/>
    <col min="8456" max="8456" width="38.42578125" style="452" bestFit="1" customWidth="1"/>
    <col min="8457" max="8457" width="0" style="452" hidden="1" customWidth="1"/>
    <col min="8458" max="8458" width="36.5703125" style="452" customWidth="1"/>
    <col min="8459" max="8459" width="12.140625" style="452" customWidth="1"/>
    <col min="8460" max="8460" width="7.5703125" style="452" bestFit="1" customWidth="1"/>
    <col min="8461" max="8461" width="4.42578125" style="452" bestFit="1" customWidth="1"/>
    <col min="8462" max="8462" width="9.85546875" style="452" bestFit="1" customWidth="1"/>
    <col min="8463" max="8463" width="9.42578125" style="452" bestFit="1" customWidth="1"/>
    <col min="8464" max="8464" width="8.85546875" style="452" customWidth="1"/>
    <col min="8465" max="8465" width="9.140625" style="452"/>
    <col min="8466" max="8466" width="12.85546875" style="452" customWidth="1"/>
    <col min="8467" max="8467" width="9.140625" style="452"/>
    <col min="8468" max="8468" width="11.85546875" style="452" customWidth="1"/>
    <col min="8469" max="8469" width="11" style="452" bestFit="1" customWidth="1"/>
    <col min="8470" max="8470" width="10" style="452" bestFit="1" customWidth="1"/>
    <col min="8471" max="8471" width="9.5703125" style="452" bestFit="1" customWidth="1"/>
    <col min="8472" max="8473" width="10" style="452" bestFit="1" customWidth="1"/>
    <col min="8474" max="8474" width="10.5703125" style="452" bestFit="1" customWidth="1"/>
    <col min="8475" max="8475" width="10" style="452" bestFit="1" customWidth="1"/>
    <col min="8476" max="8476" width="9.140625" style="452"/>
    <col min="8477" max="8477" width="11" style="452" bestFit="1" customWidth="1"/>
    <col min="8478" max="8478" width="9.140625" style="452"/>
    <col min="8479" max="8479" width="10" style="452" bestFit="1" customWidth="1"/>
    <col min="8480" max="8480" width="9.5703125" style="452" bestFit="1" customWidth="1"/>
    <col min="8481" max="8482" width="10.5703125" style="452" bestFit="1" customWidth="1"/>
    <col min="8483" max="8483" width="10" style="452" bestFit="1" customWidth="1"/>
    <col min="8484" max="8484" width="9.140625" style="452"/>
    <col min="8485" max="8486" width="10" style="452" bestFit="1" customWidth="1"/>
    <col min="8487" max="8487" width="10.5703125" style="452" bestFit="1" customWidth="1"/>
    <col min="8488" max="8488" width="10.42578125" style="452" bestFit="1" customWidth="1"/>
    <col min="8489" max="8489" width="9.140625" style="452"/>
    <col min="8490" max="8490" width="9.5703125" style="452" bestFit="1" customWidth="1"/>
    <col min="8491" max="8491" width="10.42578125" style="452" bestFit="1" customWidth="1"/>
    <col min="8492" max="8492" width="10" style="452" bestFit="1" customWidth="1"/>
    <col min="8493" max="8493" width="12.42578125" style="452" bestFit="1" customWidth="1"/>
    <col min="8494" max="8710" width="9.140625" style="452"/>
    <col min="8711" max="8711" width="16.5703125" style="452" bestFit="1" customWidth="1"/>
    <col min="8712" max="8712" width="38.42578125" style="452" bestFit="1" customWidth="1"/>
    <col min="8713" max="8713" width="0" style="452" hidden="1" customWidth="1"/>
    <col min="8714" max="8714" width="36.5703125" style="452" customWidth="1"/>
    <col min="8715" max="8715" width="12.140625" style="452" customWidth="1"/>
    <col min="8716" max="8716" width="7.5703125" style="452" bestFit="1" customWidth="1"/>
    <col min="8717" max="8717" width="4.42578125" style="452" bestFit="1" customWidth="1"/>
    <col min="8718" max="8718" width="9.85546875" style="452" bestFit="1" customWidth="1"/>
    <col min="8719" max="8719" width="9.42578125" style="452" bestFit="1" customWidth="1"/>
    <col min="8720" max="8720" width="8.85546875" style="452" customWidth="1"/>
    <col min="8721" max="8721" width="9.140625" style="452"/>
    <col min="8722" max="8722" width="12.85546875" style="452" customWidth="1"/>
    <col min="8723" max="8723" width="9.140625" style="452"/>
    <col min="8724" max="8724" width="11.85546875" style="452" customWidth="1"/>
    <col min="8725" max="8725" width="11" style="452" bestFit="1" customWidth="1"/>
    <col min="8726" max="8726" width="10" style="452" bestFit="1" customWidth="1"/>
    <col min="8727" max="8727" width="9.5703125" style="452" bestFit="1" customWidth="1"/>
    <col min="8728" max="8729" width="10" style="452" bestFit="1" customWidth="1"/>
    <col min="8730" max="8730" width="10.5703125" style="452" bestFit="1" customWidth="1"/>
    <col min="8731" max="8731" width="10" style="452" bestFit="1" customWidth="1"/>
    <col min="8732" max="8732" width="9.140625" style="452"/>
    <col min="8733" max="8733" width="11" style="452" bestFit="1" customWidth="1"/>
    <col min="8734" max="8734" width="9.140625" style="452"/>
    <col min="8735" max="8735" width="10" style="452" bestFit="1" customWidth="1"/>
    <col min="8736" max="8736" width="9.5703125" style="452" bestFit="1" customWidth="1"/>
    <col min="8737" max="8738" width="10.5703125" style="452" bestFit="1" customWidth="1"/>
    <col min="8739" max="8739" width="10" style="452" bestFit="1" customWidth="1"/>
    <col min="8740" max="8740" width="9.140625" style="452"/>
    <col min="8741" max="8742" width="10" style="452" bestFit="1" customWidth="1"/>
    <col min="8743" max="8743" width="10.5703125" style="452" bestFit="1" customWidth="1"/>
    <col min="8744" max="8744" width="10.42578125" style="452" bestFit="1" customWidth="1"/>
    <col min="8745" max="8745" width="9.140625" style="452"/>
    <col min="8746" max="8746" width="9.5703125" style="452" bestFit="1" customWidth="1"/>
    <col min="8747" max="8747" width="10.42578125" style="452" bestFit="1" customWidth="1"/>
    <col min="8748" max="8748" width="10" style="452" bestFit="1" customWidth="1"/>
    <col min="8749" max="8749" width="12.42578125" style="452" bestFit="1" customWidth="1"/>
    <col min="8750" max="8966" width="9.140625" style="452"/>
    <col min="8967" max="8967" width="16.5703125" style="452" bestFit="1" customWidth="1"/>
    <col min="8968" max="8968" width="38.42578125" style="452" bestFit="1" customWidth="1"/>
    <col min="8969" max="8969" width="0" style="452" hidden="1" customWidth="1"/>
    <col min="8970" max="8970" width="36.5703125" style="452" customWidth="1"/>
    <col min="8971" max="8971" width="12.140625" style="452" customWidth="1"/>
    <col min="8972" max="8972" width="7.5703125" style="452" bestFit="1" customWidth="1"/>
    <col min="8973" max="8973" width="4.42578125" style="452" bestFit="1" customWidth="1"/>
    <col min="8974" max="8974" width="9.85546875" style="452" bestFit="1" customWidth="1"/>
    <col min="8975" max="8975" width="9.42578125" style="452" bestFit="1" customWidth="1"/>
    <col min="8976" max="8976" width="8.85546875" style="452" customWidth="1"/>
    <col min="8977" max="8977" width="9.140625" style="452"/>
    <col min="8978" max="8978" width="12.85546875" style="452" customWidth="1"/>
    <col min="8979" max="8979" width="9.140625" style="452"/>
    <col min="8980" max="8980" width="11.85546875" style="452" customWidth="1"/>
    <col min="8981" max="8981" width="11" style="452" bestFit="1" customWidth="1"/>
    <col min="8982" max="8982" width="10" style="452" bestFit="1" customWidth="1"/>
    <col min="8983" max="8983" width="9.5703125" style="452" bestFit="1" customWidth="1"/>
    <col min="8984" max="8985" width="10" style="452" bestFit="1" customWidth="1"/>
    <col min="8986" max="8986" width="10.5703125" style="452" bestFit="1" customWidth="1"/>
    <col min="8987" max="8987" width="10" style="452" bestFit="1" customWidth="1"/>
    <col min="8988" max="8988" width="9.140625" style="452"/>
    <col min="8989" max="8989" width="11" style="452" bestFit="1" customWidth="1"/>
    <col min="8990" max="8990" width="9.140625" style="452"/>
    <col min="8991" max="8991" width="10" style="452" bestFit="1" customWidth="1"/>
    <col min="8992" max="8992" width="9.5703125" style="452" bestFit="1" customWidth="1"/>
    <col min="8993" max="8994" width="10.5703125" style="452" bestFit="1" customWidth="1"/>
    <col min="8995" max="8995" width="10" style="452" bestFit="1" customWidth="1"/>
    <col min="8996" max="8996" width="9.140625" style="452"/>
    <col min="8997" max="8998" width="10" style="452" bestFit="1" customWidth="1"/>
    <col min="8999" max="8999" width="10.5703125" style="452" bestFit="1" customWidth="1"/>
    <col min="9000" max="9000" width="10.42578125" style="452" bestFit="1" customWidth="1"/>
    <col min="9001" max="9001" width="9.140625" style="452"/>
    <col min="9002" max="9002" width="9.5703125" style="452" bestFit="1" customWidth="1"/>
    <col min="9003" max="9003" width="10.42578125" style="452" bestFit="1" customWidth="1"/>
    <col min="9004" max="9004" width="10" style="452" bestFit="1" customWidth="1"/>
    <col min="9005" max="9005" width="12.42578125" style="452" bestFit="1" customWidth="1"/>
    <col min="9006" max="9222" width="9.140625" style="452"/>
    <col min="9223" max="9223" width="16.5703125" style="452" bestFit="1" customWidth="1"/>
    <col min="9224" max="9224" width="38.42578125" style="452" bestFit="1" customWidth="1"/>
    <col min="9225" max="9225" width="0" style="452" hidden="1" customWidth="1"/>
    <col min="9226" max="9226" width="36.5703125" style="452" customWidth="1"/>
    <col min="9227" max="9227" width="12.140625" style="452" customWidth="1"/>
    <col min="9228" max="9228" width="7.5703125" style="452" bestFit="1" customWidth="1"/>
    <col min="9229" max="9229" width="4.42578125" style="452" bestFit="1" customWidth="1"/>
    <col min="9230" max="9230" width="9.85546875" style="452" bestFit="1" customWidth="1"/>
    <col min="9231" max="9231" width="9.42578125" style="452" bestFit="1" customWidth="1"/>
    <col min="9232" max="9232" width="8.85546875" style="452" customWidth="1"/>
    <col min="9233" max="9233" width="9.140625" style="452"/>
    <col min="9234" max="9234" width="12.85546875" style="452" customWidth="1"/>
    <col min="9235" max="9235" width="9.140625" style="452"/>
    <col min="9236" max="9236" width="11.85546875" style="452" customWidth="1"/>
    <col min="9237" max="9237" width="11" style="452" bestFit="1" customWidth="1"/>
    <col min="9238" max="9238" width="10" style="452" bestFit="1" customWidth="1"/>
    <col min="9239" max="9239" width="9.5703125" style="452" bestFit="1" customWidth="1"/>
    <col min="9240" max="9241" width="10" style="452" bestFit="1" customWidth="1"/>
    <col min="9242" max="9242" width="10.5703125" style="452" bestFit="1" customWidth="1"/>
    <col min="9243" max="9243" width="10" style="452" bestFit="1" customWidth="1"/>
    <col min="9244" max="9244" width="9.140625" style="452"/>
    <col min="9245" max="9245" width="11" style="452" bestFit="1" customWidth="1"/>
    <col min="9246" max="9246" width="9.140625" style="452"/>
    <col min="9247" max="9247" width="10" style="452" bestFit="1" customWidth="1"/>
    <col min="9248" max="9248" width="9.5703125" style="452" bestFit="1" customWidth="1"/>
    <col min="9249" max="9250" width="10.5703125" style="452" bestFit="1" customWidth="1"/>
    <col min="9251" max="9251" width="10" style="452" bestFit="1" customWidth="1"/>
    <col min="9252" max="9252" width="9.140625" style="452"/>
    <col min="9253" max="9254" width="10" style="452" bestFit="1" customWidth="1"/>
    <col min="9255" max="9255" width="10.5703125" style="452" bestFit="1" customWidth="1"/>
    <col min="9256" max="9256" width="10.42578125" style="452" bestFit="1" customWidth="1"/>
    <col min="9257" max="9257" width="9.140625" style="452"/>
    <col min="9258" max="9258" width="9.5703125" style="452" bestFit="1" customWidth="1"/>
    <col min="9259" max="9259" width="10.42578125" style="452" bestFit="1" customWidth="1"/>
    <col min="9260" max="9260" width="10" style="452" bestFit="1" customWidth="1"/>
    <col min="9261" max="9261" width="12.42578125" style="452" bestFit="1" customWidth="1"/>
    <col min="9262" max="9478" width="9.140625" style="452"/>
    <col min="9479" max="9479" width="16.5703125" style="452" bestFit="1" customWidth="1"/>
    <col min="9480" max="9480" width="38.42578125" style="452" bestFit="1" customWidth="1"/>
    <col min="9481" max="9481" width="0" style="452" hidden="1" customWidth="1"/>
    <col min="9482" max="9482" width="36.5703125" style="452" customWidth="1"/>
    <col min="9483" max="9483" width="12.140625" style="452" customWidth="1"/>
    <col min="9484" max="9484" width="7.5703125" style="452" bestFit="1" customWidth="1"/>
    <col min="9485" max="9485" width="4.42578125" style="452" bestFit="1" customWidth="1"/>
    <col min="9486" max="9486" width="9.85546875" style="452" bestFit="1" customWidth="1"/>
    <col min="9487" max="9487" width="9.42578125" style="452" bestFit="1" customWidth="1"/>
    <col min="9488" max="9488" width="8.85546875" style="452" customWidth="1"/>
    <col min="9489" max="9489" width="9.140625" style="452"/>
    <col min="9490" max="9490" width="12.85546875" style="452" customWidth="1"/>
    <col min="9491" max="9491" width="9.140625" style="452"/>
    <col min="9492" max="9492" width="11.85546875" style="452" customWidth="1"/>
    <col min="9493" max="9493" width="11" style="452" bestFit="1" customWidth="1"/>
    <col min="9494" max="9494" width="10" style="452" bestFit="1" customWidth="1"/>
    <col min="9495" max="9495" width="9.5703125" style="452" bestFit="1" customWidth="1"/>
    <col min="9496" max="9497" width="10" style="452" bestFit="1" customWidth="1"/>
    <col min="9498" max="9498" width="10.5703125" style="452" bestFit="1" customWidth="1"/>
    <col min="9499" max="9499" width="10" style="452" bestFit="1" customWidth="1"/>
    <col min="9500" max="9500" width="9.140625" style="452"/>
    <col min="9501" max="9501" width="11" style="452" bestFit="1" customWidth="1"/>
    <col min="9502" max="9502" width="9.140625" style="452"/>
    <col min="9503" max="9503" width="10" style="452" bestFit="1" customWidth="1"/>
    <col min="9504" max="9504" width="9.5703125" style="452" bestFit="1" customWidth="1"/>
    <col min="9505" max="9506" width="10.5703125" style="452" bestFit="1" customWidth="1"/>
    <col min="9507" max="9507" width="10" style="452" bestFit="1" customWidth="1"/>
    <col min="9508" max="9508" width="9.140625" style="452"/>
    <col min="9509" max="9510" width="10" style="452" bestFit="1" customWidth="1"/>
    <col min="9511" max="9511" width="10.5703125" style="452" bestFit="1" customWidth="1"/>
    <col min="9512" max="9512" width="10.42578125" style="452" bestFit="1" customWidth="1"/>
    <col min="9513" max="9513" width="9.140625" style="452"/>
    <col min="9514" max="9514" width="9.5703125" style="452" bestFit="1" customWidth="1"/>
    <col min="9515" max="9515" width="10.42578125" style="452" bestFit="1" customWidth="1"/>
    <col min="9516" max="9516" width="10" style="452" bestFit="1" customWidth="1"/>
    <col min="9517" max="9517" width="12.42578125" style="452" bestFit="1" customWidth="1"/>
    <col min="9518" max="9734" width="9.140625" style="452"/>
    <col min="9735" max="9735" width="16.5703125" style="452" bestFit="1" customWidth="1"/>
    <col min="9736" max="9736" width="38.42578125" style="452" bestFit="1" customWidth="1"/>
    <col min="9737" max="9737" width="0" style="452" hidden="1" customWidth="1"/>
    <col min="9738" max="9738" width="36.5703125" style="452" customWidth="1"/>
    <col min="9739" max="9739" width="12.140625" style="452" customWidth="1"/>
    <col min="9740" max="9740" width="7.5703125" style="452" bestFit="1" customWidth="1"/>
    <col min="9741" max="9741" width="4.42578125" style="452" bestFit="1" customWidth="1"/>
    <col min="9742" max="9742" width="9.85546875" style="452" bestFit="1" customWidth="1"/>
    <col min="9743" max="9743" width="9.42578125" style="452" bestFit="1" customWidth="1"/>
    <col min="9744" max="9744" width="8.85546875" style="452" customWidth="1"/>
    <col min="9745" max="9745" width="9.140625" style="452"/>
    <col min="9746" max="9746" width="12.85546875" style="452" customWidth="1"/>
    <col min="9747" max="9747" width="9.140625" style="452"/>
    <col min="9748" max="9748" width="11.85546875" style="452" customWidth="1"/>
    <col min="9749" max="9749" width="11" style="452" bestFit="1" customWidth="1"/>
    <col min="9750" max="9750" width="10" style="452" bestFit="1" customWidth="1"/>
    <col min="9751" max="9751" width="9.5703125" style="452" bestFit="1" customWidth="1"/>
    <col min="9752" max="9753" width="10" style="452" bestFit="1" customWidth="1"/>
    <col min="9754" max="9754" width="10.5703125" style="452" bestFit="1" customWidth="1"/>
    <col min="9755" max="9755" width="10" style="452" bestFit="1" customWidth="1"/>
    <col min="9756" max="9756" width="9.140625" style="452"/>
    <col min="9757" max="9757" width="11" style="452" bestFit="1" customWidth="1"/>
    <col min="9758" max="9758" width="9.140625" style="452"/>
    <col min="9759" max="9759" width="10" style="452" bestFit="1" customWidth="1"/>
    <col min="9760" max="9760" width="9.5703125" style="452" bestFit="1" customWidth="1"/>
    <col min="9761" max="9762" width="10.5703125" style="452" bestFit="1" customWidth="1"/>
    <col min="9763" max="9763" width="10" style="452" bestFit="1" customWidth="1"/>
    <col min="9764" max="9764" width="9.140625" style="452"/>
    <col min="9765" max="9766" width="10" style="452" bestFit="1" customWidth="1"/>
    <col min="9767" max="9767" width="10.5703125" style="452" bestFit="1" customWidth="1"/>
    <col min="9768" max="9768" width="10.42578125" style="452" bestFit="1" customWidth="1"/>
    <col min="9769" max="9769" width="9.140625" style="452"/>
    <col min="9770" max="9770" width="9.5703125" style="452" bestFit="1" customWidth="1"/>
    <col min="9771" max="9771" width="10.42578125" style="452" bestFit="1" customWidth="1"/>
    <col min="9772" max="9772" width="10" style="452" bestFit="1" customWidth="1"/>
    <col min="9773" max="9773" width="12.42578125" style="452" bestFit="1" customWidth="1"/>
    <col min="9774" max="9990" width="9.140625" style="452"/>
    <col min="9991" max="9991" width="16.5703125" style="452" bestFit="1" customWidth="1"/>
    <col min="9992" max="9992" width="38.42578125" style="452" bestFit="1" customWidth="1"/>
    <col min="9993" max="9993" width="0" style="452" hidden="1" customWidth="1"/>
    <col min="9994" max="9994" width="36.5703125" style="452" customWidth="1"/>
    <col min="9995" max="9995" width="12.140625" style="452" customWidth="1"/>
    <col min="9996" max="9996" width="7.5703125" style="452" bestFit="1" customWidth="1"/>
    <col min="9997" max="9997" width="4.42578125" style="452" bestFit="1" customWidth="1"/>
    <col min="9998" max="9998" width="9.85546875" style="452" bestFit="1" customWidth="1"/>
    <col min="9999" max="9999" width="9.42578125" style="452" bestFit="1" customWidth="1"/>
    <col min="10000" max="10000" width="8.85546875" style="452" customWidth="1"/>
    <col min="10001" max="10001" width="9.140625" style="452"/>
    <col min="10002" max="10002" width="12.85546875" style="452" customWidth="1"/>
    <col min="10003" max="10003" width="9.140625" style="452"/>
    <col min="10004" max="10004" width="11.85546875" style="452" customWidth="1"/>
    <col min="10005" max="10005" width="11" style="452" bestFit="1" customWidth="1"/>
    <col min="10006" max="10006" width="10" style="452" bestFit="1" customWidth="1"/>
    <col min="10007" max="10007" width="9.5703125" style="452" bestFit="1" customWidth="1"/>
    <col min="10008" max="10009" width="10" style="452" bestFit="1" customWidth="1"/>
    <col min="10010" max="10010" width="10.5703125" style="452" bestFit="1" customWidth="1"/>
    <col min="10011" max="10011" width="10" style="452" bestFit="1" customWidth="1"/>
    <col min="10012" max="10012" width="9.140625" style="452"/>
    <col min="10013" max="10013" width="11" style="452" bestFit="1" customWidth="1"/>
    <col min="10014" max="10014" width="9.140625" style="452"/>
    <col min="10015" max="10015" width="10" style="452" bestFit="1" customWidth="1"/>
    <col min="10016" max="10016" width="9.5703125" style="452" bestFit="1" customWidth="1"/>
    <col min="10017" max="10018" width="10.5703125" style="452" bestFit="1" customWidth="1"/>
    <col min="10019" max="10019" width="10" style="452" bestFit="1" customWidth="1"/>
    <col min="10020" max="10020" width="9.140625" style="452"/>
    <col min="10021" max="10022" width="10" style="452" bestFit="1" customWidth="1"/>
    <col min="10023" max="10023" width="10.5703125" style="452" bestFit="1" customWidth="1"/>
    <col min="10024" max="10024" width="10.42578125" style="452" bestFit="1" customWidth="1"/>
    <col min="10025" max="10025" width="9.140625" style="452"/>
    <col min="10026" max="10026" width="9.5703125" style="452" bestFit="1" customWidth="1"/>
    <col min="10027" max="10027" width="10.42578125" style="452" bestFit="1" customWidth="1"/>
    <col min="10028" max="10028" width="10" style="452" bestFit="1" customWidth="1"/>
    <col min="10029" max="10029" width="12.42578125" style="452" bestFit="1" customWidth="1"/>
    <col min="10030" max="10246" width="9.140625" style="452"/>
    <col min="10247" max="10247" width="16.5703125" style="452" bestFit="1" customWidth="1"/>
    <col min="10248" max="10248" width="38.42578125" style="452" bestFit="1" customWidth="1"/>
    <col min="10249" max="10249" width="0" style="452" hidden="1" customWidth="1"/>
    <col min="10250" max="10250" width="36.5703125" style="452" customWidth="1"/>
    <col min="10251" max="10251" width="12.140625" style="452" customWidth="1"/>
    <col min="10252" max="10252" width="7.5703125" style="452" bestFit="1" customWidth="1"/>
    <col min="10253" max="10253" width="4.42578125" style="452" bestFit="1" customWidth="1"/>
    <col min="10254" max="10254" width="9.85546875" style="452" bestFit="1" customWidth="1"/>
    <col min="10255" max="10255" width="9.42578125" style="452" bestFit="1" customWidth="1"/>
    <col min="10256" max="10256" width="8.85546875" style="452" customWidth="1"/>
    <col min="10257" max="10257" width="9.140625" style="452"/>
    <col min="10258" max="10258" width="12.85546875" style="452" customWidth="1"/>
    <col min="10259" max="10259" width="9.140625" style="452"/>
    <col min="10260" max="10260" width="11.85546875" style="452" customWidth="1"/>
    <col min="10261" max="10261" width="11" style="452" bestFit="1" customWidth="1"/>
    <col min="10262" max="10262" width="10" style="452" bestFit="1" customWidth="1"/>
    <col min="10263" max="10263" width="9.5703125" style="452" bestFit="1" customWidth="1"/>
    <col min="10264" max="10265" width="10" style="452" bestFit="1" customWidth="1"/>
    <col min="10266" max="10266" width="10.5703125" style="452" bestFit="1" customWidth="1"/>
    <col min="10267" max="10267" width="10" style="452" bestFit="1" customWidth="1"/>
    <col min="10268" max="10268" width="9.140625" style="452"/>
    <col min="10269" max="10269" width="11" style="452" bestFit="1" customWidth="1"/>
    <col min="10270" max="10270" width="9.140625" style="452"/>
    <col min="10271" max="10271" width="10" style="452" bestFit="1" customWidth="1"/>
    <col min="10272" max="10272" width="9.5703125" style="452" bestFit="1" customWidth="1"/>
    <col min="10273" max="10274" width="10.5703125" style="452" bestFit="1" customWidth="1"/>
    <col min="10275" max="10275" width="10" style="452" bestFit="1" customWidth="1"/>
    <col min="10276" max="10276" width="9.140625" style="452"/>
    <col min="10277" max="10278" width="10" style="452" bestFit="1" customWidth="1"/>
    <col min="10279" max="10279" width="10.5703125" style="452" bestFit="1" customWidth="1"/>
    <col min="10280" max="10280" width="10.42578125" style="452" bestFit="1" customWidth="1"/>
    <col min="10281" max="10281" width="9.140625" style="452"/>
    <col min="10282" max="10282" width="9.5703125" style="452" bestFit="1" customWidth="1"/>
    <col min="10283" max="10283" width="10.42578125" style="452" bestFit="1" customWidth="1"/>
    <col min="10284" max="10284" width="10" style="452" bestFit="1" customWidth="1"/>
    <col min="10285" max="10285" width="12.42578125" style="452" bestFit="1" customWidth="1"/>
    <col min="10286" max="10502" width="9.140625" style="452"/>
    <col min="10503" max="10503" width="16.5703125" style="452" bestFit="1" customWidth="1"/>
    <col min="10504" max="10504" width="38.42578125" style="452" bestFit="1" customWidth="1"/>
    <col min="10505" max="10505" width="0" style="452" hidden="1" customWidth="1"/>
    <col min="10506" max="10506" width="36.5703125" style="452" customWidth="1"/>
    <col min="10507" max="10507" width="12.140625" style="452" customWidth="1"/>
    <col min="10508" max="10508" width="7.5703125" style="452" bestFit="1" customWidth="1"/>
    <col min="10509" max="10509" width="4.42578125" style="452" bestFit="1" customWidth="1"/>
    <col min="10510" max="10510" width="9.85546875" style="452" bestFit="1" customWidth="1"/>
    <col min="10511" max="10511" width="9.42578125" style="452" bestFit="1" customWidth="1"/>
    <col min="10512" max="10512" width="8.85546875" style="452" customWidth="1"/>
    <col min="10513" max="10513" width="9.140625" style="452"/>
    <col min="10514" max="10514" width="12.85546875" style="452" customWidth="1"/>
    <col min="10515" max="10515" width="9.140625" style="452"/>
    <col min="10516" max="10516" width="11.85546875" style="452" customWidth="1"/>
    <col min="10517" max="10517" width="11" style="452" bestFit="1" customWidth="1"/>
    <col min="10518" max="10518" width="10" style="452" bestFit="1" customWidth="1"/>
    <col min="10519" max="10519" width="9.5703125" style="452" bestFit="1" customWidth="1"/>
    <col min="10520" max="10521" width="10" style="452" bestFit="1" customWidth="1"/>
    <col min="10522" max="10522" width="10.5703125" style="452" bestFit="1" customWidth="1"/>
    <col min="10523" max="10523" width="10" style="452" bestFit="1" customWidth="1"/>
    <col min="10524" max="10524" width="9.140625" style="452"/>
    <col min="10525" max="10525" width="11" style="452" bestFit="1" customWidth="1"/>
    <col min="10526" max="10526" width="9.140625" style="452"/>
    <col min="10527" max="10527" width="10" style="452" bestFit="1" customWidth="1"/>
    <col min="10528" max="10528" width="9.5703125" style="452" bestFit="1" customWidth="1"/>
    <col min="10529" max="10530" width="10.5703125" style="452" bestFit="1" customWidth="1"/>
    <col min="10531" max="10531" width="10" style="452" bestFit="1" customWidth="1"/>
    <col min="10532" max="10532" width="9.140625" style="452"/>
    <col min="10533" max="10534" width="10" style="452" bestFit="1" customWidth="1"/>
    <col min="10535" max="10535" width="10.5703125" style="452" bestFit="1" customWidth="1"/>
    <col min="10536" max="10536" width="10.42578125" style="452" bestFit="1" customWidth="1"/>
    <col min="10537" max="10537" width="9.140625" style="452"/>
    <col min="10538" max="10538" width="9.5703125" style="452" bestFit="1" customWidth="1"/>
    <col min="10539" max="10539" width="10.42578125" style="452" bestFit="1" customWidth="1"/>
    <col min="10540" max="10540" width="10" style="452" bestFit="1" customWidth="1"/>
    <col min="10541" max="10541" width="12.42578125" style="452" bestFit="1" customWidth="1"/>
    <col min="10542" max="10758" width="9.140625" style="452"/>
    <col min="10759" max="10759" width="16.5703125" style="452" bestFit="1" customWidth="1"/>
    <col min="10760" max="10760" width="38.42578125" style="452" bestFit="1" customWidth="1"/>
    <col min="10761" max="10761" width="0" style="452" hidden="1" customWidth="1"/>
    <col min="10762" max="10762" width="36.5703125" style="452" customWidth="1"/>
    <col min="10763" max="10763" width="12.140625" style="452" customWidth="1"/>
    <col min="10764" max="10764" width="7.5703125" style="452" bestFit="1" customWidth="1"/>
    <col min="10765" max="10765" width="4.42578125" style="452" bestFit="1" customWidth="1"/>
    <col min="10766" max="10766" width="9.85546875" style="452" bestFit="1" customWidth="1"/>
    <col min="10767" max="10767" width="9.42578125" style="452" bestFit="1" customWidth="1"/>
    <col min="10768" max="10768" width="8.85546875" style="452" customWidth="1"/>
    <col min="10769" max="10769" width="9.140625" style="452"/>
    <col min="10770" max="10770" width="12.85546875" style="452" customWidth="1"/>
    <col min="10771" max="10771" width="9.140625" style="452"/>
    <col min="10772" max="10772" width="11.85546875" style="452" customWidth="1"/>
    <col min="10773" max="10773" width="11" style="452" bestFit="1" customWidth="1"/>
    <col min="10774" max="10774" width="10" style="452" bestFit="1" customWidth="1"/>
    <col min="10775" max="10775" width="9.5703125" style="452" bestFit="1" customWidth="1"/>
    <col min="10776" max="10777" width="10" style="452" bestFit="1" customWidth="1"/>
    <col min="10778" max="10778" width="10.5703125" style="452" bestFit="1" customWidth="1"/>
    <col min="10779" max="10779" width="10" style="452" bestFit="1" customWidth="1"/>
    <col min="10780" max="10780" width="9.140625" style="452"/>
    <col min="10781" max="10781" width="11" style="452" bestFit="1" customWidth="1"/>
    <col min="10782" max="10782" width="9.140625" style="452"/>
    <col min="10783" max="10783" width="10" style="452" bestFit="1" customWidth="1"/>
    <col min="10784" max="10784" width="9.5703125" style="452" bestFit="1" customWidth="1"/>
    <col min="10785" max="10786" width="10.5703125" style="452" bestFit="1" customWidth="1"/>
    <col min="10787" max="10787" width="10" style="452" bestFit="1" customWidth="1"/>
    <col min="10788" max="10788" width="9.140625" style="452"/>
    <col min="10789" max="10790" width="10" style="452" bestFit="1" customWidth="1"/>
    <col min="10791" max="10791" width="10.5703125" style="452" bestFit="1" customWidth="1"/>
    <col min="10792" max="10792" width="10.42578125" style="452" bestFit="1" customWidth="1"/>
    <col min="10793" max="10793" width="9.140625" style="452"/>
    <col min="10794" max="10794" width="9.5703125" style="452" bestFit="1" customWidth="1"/>
    <col min="10795" max="10795" width="10.42578125" style="452" bestFit="1" customWidth="1"/>
    <col min="10796" max="10796" width="10" style="452" bestFit="1" customWidth="1"/>
    <col min="10797" max="10797" width="12.42578125" style="452" bestFit="1" customWidth="1"/>
    <col min="10798" max="11014" width="9.140625" style="452"/>
    <col min="11015" max="11015" width="16.5703125" style="452" bestFit="1" customWidth="1"/>
    <col min="11016" max="11016" width="38.42578125" style="452" bestFit="1" customWidth="1"/>
    <col min="11017" max="11017" width="0" style="452" hidden="1" customWidth="1"/>
    <col min="11018" max="11018" width="36.5703125" style="452" customWidth="1"/>
    <col min="11019" max="11019" width="12.140625" style="452" customWidth="1"/>
    <col min="11020" max="11020" width="7.5703125" style="452" bestFit="1" customWidth="1"/>
    <col min="11021" max="11021" width="4.42578125" style="452" bestFit="1" customWidth="1"/>
    <col min="11022" max="11022" width="9.85546875" style="452" bestFit="1" customWidth="1"/>
    <col min="11023" max="11023" width="9.42578125" style="452" bestFit="1" customWidth="1"/>
    <col min="11024" max="11024" width="8.85546875" style="452" customWidth="1"/>
    <col min="11025" max="11025" width="9.140625" style="452"/>
    <col min="11026" max="11026" width="12.85546875" style="452" customWidth="1"/>
    <col min="11027" max="11027" width="9.140625" style="452"/>
    <col min="11028" max="11028" width="11.85546875" style="452" customWidth="1"/>
    <col min="11029" max="11029" width="11" style="452" bestFit="1" customWidth="1"/>
    <col min="11030" max="11030" width="10" style="452" bestFit="1" customWidth="1"/>
    <col min="11031" max="11031" width="9.5703125" style="452" bestFit="1" customWidth="1"/>
    <col min="11032" max="11033" width="10" style="452" bestFit="1" customWidth="1"/>
    <col min="11034" max="11034" width="10.5703125" style="452" bestFit="1" customWidth="1"/>
    <col min="11035" max="11035" width="10" style="452" bestFit="1" customWidth="1"/>
    <col min="11036" max="11036" width="9.140625" style="452"/>
    <col min="11037" max="11037" width="11" style="452" bestFit="1" customWidth="1"/>
    <col min="11038" max="11038" width="9.140625" style="452"/>
    <col min="11039" max="11039" width="10" style="452" bestFit="1" customWidth="1"/>
    <col min="11040" max="11040" width="9.5703125" style="452" bestFit="1" customWidth="1"/>
    <col min="11041" max="11042" width="10.5703125" style="452" bestFit="1" customWidth="1"/>
    <col min="11043" max="11043" width="10" style="452" bestFit="1" customWidth="1"/>
    <col min="11044" max="11044" width="9.140625" style="452"/>
    <col min="11045" max="11046" width="10" style="452" bestFit="1" customWidth="1"/>
    <col min="11047" max="11047" width="10.5703125" style="452" bestFit="1" customWidth="1"/>
    <col min="11048" max="11048" width="10.42578125" style="452" bestFit="1" customWidth="1"/>
    <col min="11049" max="11049" width="9.140625" style="452"/>
    <col min="11050" max="11050" width="9.5703125" style="452" bestFit="1" customWidth="1"/>
    <col min="11051" max="11051" width="10.42578125" style="452" bestFit="1" customWidth="1"/>
    <col min="11052" max="11052" width="10" style="452" bestFit="1" customWidth="1"/>
    <col min="11053" max="11053" width="12.42578125" style="452" bestFit="1" customWidth="1"/>
    <col min="11054" max="11270" width="9.140625" style="452"/>
    <col min="11271" max="11271" width="16.5703125" style="452" bestFit="1" customWidth="1"/>
    <col min="11272" max="11272" width="38.42578125" style="452" bestFit="1" customWidth="1"/>
    <col min="11273" max="11273" width="0" style="452" hidden="1" customWidth="1"/>
    <col min="11274" max="11274" width="36.5703125" style="452" customWidth="1"/>
    <col min="11275" max="11275" width="12.140625" style="452" customWidth="1"/>
    <col min="11276" max="11276" width="7.5703125" style="452" bestFit="1" customWidth="1"/>
    <col min="11277" max="11277" width="4.42578125" style="452" bestFit="1" customWidth="1"/>
    <col min="11278" max="11278" width="9.85546875" style="452" bestFit="1" customWidth="1"/>
    <col min="11279" max="11279" width="9.42578125" style="452" bestFit="1" customWidth="1"/>
    <col min="11280" max="11280" width="8.85546875" style="452" customWidth="1"/>
    <col min="11281" max="11281" width="9.140625" style="452"/>
    <col min="11282" max="11282" width="12.85546875" style="452" customWidth="1"/>
    <col min="11283" max="11283" width="9.140625" style="452"/>
    <col min="11284" max="11284" width="11.85546875" style="452" customWidth="1"/>
    <col min="11285" max="11285" width="11" style="452" bestFit="1" customWidth="1"/>
    <col min="11286" max="11286" width="10" style="452" bestFit="1" customWidth="1"/>
    <col min="11287" max="11287" width="9.5703125" style="452" bestFit="1" customWidth="1"/>
    <col min="11288" max="11289" width="10" style="452" bestFit="1" customWidth="1"/>
    <col min="11290" max="11290" width="10.5703125" style="452" bestFit="1" customWidth="1"/>
    <col min="11291" max="11291" width="10" style="452" bestFit="1" customWidth="1"/>
    <col min="11292" max="11292" width="9.140625" style="452"/>
    <col min="11293" max="11293" width="11" style="452" bestFit="1" customWidth="1"/>
    <col min="11294" max="11294" width="9.140625" style="452"/>
    <col min="11295" max="11295" width="10" style="452" bestFit="1" customWidth="1"/>
    <col min="11296" max="11296" width="9.5703125" style="452" bestFit="1" customWidth="1"/>
    <col min="11297" max="11298" width="10.5703125" style="452" bestFit="1" customWidth="1"/>
    <col min="11299" max="11299" width="10" style="452" bestFit="1" customWidth="1"/>
    <col min="11300" max="11300" width="9.140625" style="452"/>
    <col min="11301" max="11302" width="10" style="452" bestFit="1" customWidth="1"/>
    <col min="11303" max="11303" width="10.5703125" style="452" bestFit="1" customWidth="1"/>
    <col min="11304" max="11304" width="10.42578125" style="452" bestFit="1" customWidth="1"/>
    <col min="11305" max="11305" width="9.140625" style="452"/>
    <col min="11306" max="11306" width="9.5703125" style="452" bestFit="1" customWidth="1"/>
    <col min="11307" max="11307" width="10.42578125" style="452" bestFit="1" customWidth="1"/>
    <col min="11308" max="11308" width="10" style="452" bestFit="1" customWidth="1"/>
    <col min="11309" max="11309" width="12.42578125" style="452" bestFit="1" customWidth="1"/>
    <col min="11310" max="11526" width="9.140625" style="452"/>
    <col min="11527" max="11527" width="16.5703125" style="452" bestFit="1" customWidth="1"/>
    <col min="11528" max="11528" width="38.42578125" style="452" bestFit="1" customWidth="1"/>
    <col min="11529" max="11529" width="0" style="452" hidden="1" customWidth="1"/>
    <col min="11530" max="11530" width="36.5703125" style="452" customWidth="1"/>
    <col min="11531" max="11531" width="12.140625" style="452" customWidth="1"/>
    <col min="11532" max="11532" width="7.5703125" style="452" bestFit="1" customWidth="1"/>
    <col min="11533" max="11533" width="4.42578125" style="452" bestFit="1" customWidth="1"/>
    <col min="11534" max="11534" width="9.85546875" style="452" bestFit="1" customWidth="1"/>
    <col min="11535" max="11535" width="9.42578125" style="452" bestFit="1" customWidth="1"/>
    <col min="11536" max="11536" width="8.85546875" style="452" customWidth="1"/>
    <col min="11537" max="11537" width="9.140625" style="452"/>
    <col min="11538" max="11538" width="12.85546875" style="452" customWidth="1"/>
    <col min="11539" max="11539" width="9.140625" style="452"/>
    <col min="11540" max="11540" width="11.85546875" style="452" customWidth="1"/>
    <col min="11541" max="11541" width="11" style="452" bestFit="1" customWidth="1"/>
    <col min="11542" max="11542" width="10" style="452" bestFit="1" customWidth="1"/>
    <col min="11543" max="11543" width="9.5703125" style="452" bestFit="1" customWidth="1"/>
    <col min="11544" max="11545" width="10" style="452" bestFit="1" customWidth="1"/>
    <col min="11546" max="11546" width="10.5703125" style="452" bestFit="1" customWidth="1"/>
    <col min="11547" max="11547" width="10" style="452" bestFit="1" customWidth="1"/>
    <col min="11548" max="11548" width="9.140625" style="452"/>
    <col min="11549" max="11549" width="11" style="452" bestFit="1" customWidth="1"/>
    <col min="11550" max="11550" width="9.140625" style="452"/>
    <col min="11551" max="11551" width="10" style="452" bestFit="1" customWidth="1"/>
    <col min="11552" max="11552" width="9.5703125" style="452" bestFit="1" customWidth="1"/>
    <col min="11553" max="11554" width="10.5703125" style="452" bestFit="1" customWidth="1"/>
    <col min="11555" max="11555" width="10" style="452" bestFit="1" customWidth="1"/>
    <col min="11556" max="11556" width="9.140625" style="452"/>
    <col min="11557" max="11558" width="10" style="452" bestFit="1" customWidth="1"/>
    <col min="11559" max="11559" width="10.5703125" style="452" bestFit="1" customWidth="1"/>
    <col min="11560" max="11560" width="10.42578125" style="452" bestFit="1" customWidth="1"/>
    <col min="11561" max="11561" width="9.140625" style="452"/>
    <col min="11562" max="11562" width="9.5703125" style="452" bestFit="1" customWidth="1"/>
    <col min="11563" max="11563" width="10.42578125" style="452" bestFit="1" customWidth="1"/>
    <col min="11564" max="11564" width="10" style="452" bestFit="1" customWidth="1"/>
    <col min="11565" max="11565" width="12.42578125" style="452" bestFit="1" customWidth="1"/>
    <col min="11566" max="11782" width="9.140625" style="452"/>
    <col min="11783" max="11783" width="16.5703125" style="452" bestFit="1" customWidth="1"/>
    <col min="11784" max="11784" width="38.42578125" style="452" bestFit="1" customWidth="1"/>
    <col min="11785" max="11785" width="0" style="452" hidden="1" customWidth="1"/>
    <col min="11786" max="11786" width="36.5703125" style="452" customWidth="1"/>
    <col min="11787" max="11787" width="12.140625" style="452" customWidth="1"/>
    <col min="11788" max="11788" width="7.5703125" style="452" bestFit="1" customWidth="1"/>
    <col min="11789" max="11789" width="4.42578125" style="452" bestFit="1" customWidth="1"/>
    <col min="11790" max="11790" width="9.85546875" style="452" bestFit="1" customWidth="1"/>
    <col min="11791" max="11791" width="9.42578125" style="452" bestFit="1" customWidth="1"/>
    <col min="11792" max="11792" width="8.85546875" style="452" customWidth="1"/>
    <col min="11793" max="11793" width="9.140625" style="452"/>
    <col min="11794" max="11794" width="12.85546875" style="452" customWidth="1"/>
    <col min="11795" max="11795" width="9.140625" style="452"/>
    <col min="11796" max="11796" width="11.85546875" style="452" customWidth="1"/>
    <col min="11797" max="11797" width="11" style="452" bestFit="1" customWidth="1"/>
    <col min="11798" max="11798" width="10" style="452" bestFit="1" customWidth="1"/>
    <col min="11799" max="11799" width="9.5703125" style="452" bestFit="1" customWidth="1"/>
    <col min="11800" max="11801" width="10" style="452" bestFit="1" customWidth="1"/>
    <col min="11802" max="11802" width="10.5703125" style="452" bestFit="1" customWidth="1"/>
    <col min="11803" max="11803" width="10" style="452" bestFit="1" customWidth="1"/>
    <col min="11804" max="11804" width="9.140625" style="452"/>
    <col min="11805" max="11805" width="11" style="452" bestFit="1" customWidth="1"/>
    <col min="11806" max="11806" width="9.140625" style="452"/>
    <col min="11807" max="11807" width="10" style="452" bestFit="1" customWidth="1"/>
    <col min="11808" max="11808" width="9.5703125" style="452" bestFit="1" customWidth="1"/>
    <col min="11809" max="11810" width="10.5703125" style="452" bestFit="1" customWidth="1"/>
    <col min="11811" max="11811" width="10" style="452" bestFit="1" customWidth="1"/>
    <col min="11812" max="11812" width="9.140625" style="452"/>
    <col min="11813" max="11814" width="10" style="452" bestFit="1" customWidth="1"/>
    <col min="11815" max="11815" width="10.5703125" style="452" bestFit="1" customWidth="1"/>
    <col min="11816" max="11816" width="10.42578125" style="452" bestFit="1" customWidth="1"/>
    <col min="11817" max="11817" width="9.140625" style="452"/>
    <col min="11818" max="11818" width="9.5703125" style="452" bestFit="1" customWidth="1"/>
    <col min="11819" max="11819" width="10.42578125" style="452" bestFit="1" customWidth="1"/>
    <col min="11820" max="11820" width="10" style="452" bestFit="1" customWidth="1"/>
    <col min="11821" max="11821" width="12.42578125" style="452" bestFit="1" customWidth="1"/>
    <col min="11822" max="12038" width="9.140625" style="452"/>
    <col min="12039" max="12039" width="16.5703125" style="452" bestFit="1" customWidth="1"/>
    <col min="12040" max="12040" width="38.42578125" style="452" bestFit="1" customWidth="1"/>
    <col min="12041" max="12041" width="0" style="452" hidden="1" customWidth="1"/>
    <col min="12042" max="12042" width="36.5703125" style="452" customWidth="1"/>
    <col min="12043" max="12043" width="12.140625" style="452" customWidth="1"/>
    <col min="12044" max="12044" width="7.5703125" style="452" bestFit="1" customWidth="1"/>
    <col min="12045" max="12045" width="4.42578125" style="452" bestFit="1" customWidth="1"/>
    <col min="12046" max="12046" width="9.85546875" style="452" bestFit="1" customWidth="1"/>
    <col min="12047" max="12047" width="9.42578125" style="452" bestFit="1" customWidth="1"/>
    <col min="12048" max="12048" width="8.85546875" style="452" customWidth="1"/>
    <col min="12049" max="12049" width="9.140625" style="452"/>
    <col min="12050" max="12050" width="12.85546875" style="452" customWidth="1"/>
    <col min="12051" max="12051" width="9.140625" style="452"/>
    <col min="12052" max="12052" width="11.85546875" style="452" customWidth="1"/>
    <col min="12053" max="12053" width="11" style="452" bestFit="1" customWidth="1"/>
    <col min="12054" max="12054" width="10" style="452" bestFit="1" customWidth="1"/>
    <col min="12055" max="12055" width="9.5703125" style="452" bestFit="1" customWidth="1"/>
    <col min="12056" max="12057" width="10" style="452" bestFit="1" customWidth="1"/>
    <col min="12058" max="12058" width="10.5703125" style="452" bestFit="1" customWidth="1"/>
    <col min="12059" max="12059" width="10" style="452" bestFit="1" customWidth="1"/>
    <col min="12060" max="12060" width="9.140625" style="452"/>
    <col min="12061" max="12061" width="11" style="452" bestFit="1" customWidth="1"/>
    <col min="12062" max="12062" width="9.140625" style="452"/>
    <col min="12063" max="12063" width="10" style="452" bestFit="1" customWidth="1"/>
    <col min="12064" max="12064" width="9.5703125" style="452" bestFit="1" customWidth="1"/>
    <col min="12065" max="12066" width="10.5703125" style="452" bestFit="1" customWidth="1"/>
    <col min="12067" max="12067" width="10" style="452" bestFit="1" customWidth="1"/>
    <col min="12068" max="12068" width="9.140625" style="452"/>
    <col min="12069" max="12070" width="10" style="452" bestFit="1" customWidth="1"/>
    <col min="12071" max="12071" width="10.5703125" style="452" bestFit="1" customWidth="1"/>
    <col min="12072" max="12072" width="10.42578125" style="452" bestFit="1" customWidth="1"/>
    <col min="12073" max="12073" width="9.140625" style="452"/>
    <col min="12074" max="12074" width="9.5703125" style="452" bestFit="1" customWidth="1"/>
    <col min="12075" max="12075" width="10.42578125" style="452" bestFit="1" customWidth="1"/>
    <col min="12076" max="12076" width="10" style="452" bestFit="1" customWidth="1"/>
    <col min="12077" max="12077" width="12.42578125" style="452" bestFit="1" customWidth="1"/>
    <col min="12078" max="12294" width="9.140625" style="452"/>
    <col min="12295" max="12295" width="16.5703125" style="452" bestFit="1" customWidth="1"/>
    <col min="12296" max="12296" width="38.42578125" style="452" bestFit="1" customWidth="1"/>
    <col min="12297" max="12297" width="0" style="452" hidden="1" customWidth="1"/>
    <col min="12298" max="12298" width="36.5703125" style="452" customWidth="1"/>
    <col min="12299" max="12299" width="12.140625" style="452" customWidth="1"/>
    <col min="12300" max="12300" width="7.5703125" style="452" bestFit="1" customWidth="1"/>
    <col min="12301" max="12301" width="4.42578125" style="452" bestFit="1" customWidth="1"/>
    <col min="12302" max="12302" width="9.85546875" style="452" bestFit="1" customWidth="1"/>
    <col min="12303" max="12303" width="9.42578125" style="452" bestFit="1" customWidth="1"/>
    <col min="12304" max="12304" width="8.85546875" style="452" customWidth="1"/>
    <col min="12305" max="12305" width="9.140625" style="452"/>
    <col min="12306" max="12306" width="12.85546875" style="452" customWidth="1"/>
    <col min="12307" max="12307" width="9.140625" style="452"/>
    <col min="12308" max="12308" width="11.85546875" style="452" customWidth="1"/>
    <col min="12309" max="12309" width="11" style="452" bestFit="1" customWidth="1"/>
    <col min="12310" max="12310" width="10" style="452" bestFit="1" customWidth="1"/>
    <col min="12311" max="12311" width="9.5703125" style="452" bestFit="1" customWidth="1"/>
    <col min="12312" max="12313" width="10" style="452" bestFit="1" customWidth="1"/>
    <col min="12314" max="12314" width="10.5703125" style="452" bestFit="1" customWidth="1"/>
    <col min="12315" max="12315" width="10" style="452" bestFit="1" customWidth="1"/>
    <col min="12316" max="12316" width="9.140625" style="452"/>
    <col min="12317" max="12317" width="11" style="452" bestFit="1" customWidth="1"/>
    <col min="12318" max="12318" width="9.140625" style="452"/>
    <col min="12319" max="12319" width="10" style="452" bestFit="1" customWidth="1"/>
    <col min="12320" max="12320" width="9.5703125" style="452" bestFit="1" customWidth="1"/>
    <col min="12321" max="12322" width="10.5703125" style="452" bestFit="1" customWidth="1"/>
    <col min="12323" max="12323" width="10" style="452" bestFit="1" customWidth="1"/>
    <col min="12324" max="12324" width="9.140625" style="452"/>
    <col min="12325" max="12326" width="10" style="452" bestFit="1" customWidth="1"/>
    <col min="12327" max="12327" width="10.5703125" style="452" bestFit="1" customWidth="1"/>
    <col min="12328" max="12328" width="10.42578125" style="452" bestFit="1" customWidth="1"/>
    <col min="12329" max="12329" width="9.140625" style="452"/>
    <col min="12330" max="12330" width="9.5703125" style="452" bestFit="1" customWidth="1"/>
    <col min="12331" max="12331" width="10.42578125" style="452" bestFit="1" customWidth="1"/>
    <col min="12332" max="12332" width="10" style="452" bestFit="1" customWidth="1"/>
    <col min="12333" max="12333" width="12.42578125" style="452" bestFit="1" customWidth="1"/>
    <col min="12334" max="12550" width="9.140625" style="452"/>
    <col min="12551" max="12551" width="16.5703125" style="452" bestFit="1" customWidth="1"/>
    <col min="12552" max="12552" width="38.42578125" style="452" bestFit="1" customWidth="1"/>
    <col min="12553" max="12553" width="0" style="452" hidden="1" customWidth="1"/>
    <col min="12554" max="12554" width="36.5703125" style="452" customWidth="1"/>
    <col min="12555" max="12555" width="12.140625" style="452" customWidth="1"/>
    <col min="12556" max="12556" width="7.5703125" style="452" bestFit="1" customWidth="1"/>
    <col min="12557" max="12557" width="4.42578125" style="452" bestFit="1" customWidth="1"/>
    <col min="12558" max="12558" width="9.85546875" style="452" bestFit="1" customWidth="1"/>
    <col min="12559" max="12559" width="9.42578125" style="452" bestFit="1" customWidth="1"/>
    <col min="12560" max="12560" width="8.85546875" style="452" customWidth="1"/>
    <col min="12561" max="12561" width="9.140625" style="452"/>
    <col min="12562" max="12562" width="12.85546875" style="452" customWidth="1"/>
    <col min="12563" max="12563" width="9.140625" style="452"/>
    <col min="12564" max="12564" width="11.85546875" style="452" customWidth="1"/>
    <col min="12565" max="12565" width="11" style="452" bestFit="1" customWidth="1"/>
    <col min="12566" max="12566" width="10" style="452" bestFit="1" customWidth="1"/>
    <col min="12567" max="12567" width="9.5703125" style="452" bestFit="1" customWidth="1"/>
    <col min="12568" max="12569" width="10" style="452" bestFit="1" customWidth="1"/>
    <col min="12570" max="12570" width="10.5703125" style="452" bestFit="1" customWidth="1"/>
    <col min="12571" max="12571" width="10" style="452" bestFit="1" customWidth="1"/>
    <col min="12572" max="12572" width="9.140625" style="452"/>
    <col min="12573" max="12573" width="11" style="452" bestFit="1" customWidth="1"/>
    <col min="12574" max="12574" width="9.140625" style="452"/>
    <col min="12575" max="12575" width="10" style="452" bestFit="1" customWidth="1"/>
    <col min="12576" max="12576" width="9.5703125" style="452" bestFit="1" customWidth="1"/>
    <col min="12577" max="12578" width="10.5703125" style="452" bestFit="1" customWidth="1"/>
    <col min="12579" max="12579" width="10" style="452" bestFit="1" customWidth="1"/>
    <col min="12580" max="12580" width="9.140625" style="452"/>
    <col min="12581" max="12582" width="10" style="452" bestFit="1" customWidth="1"/>
    <col min="12583" max="12583" width="10.5703125" style="452" bestFit="1" customWidth="1"/>
    <col min="12584" max="12584" width="10.42578125" style="452" bestFit="1" customWidth="1"/>
    <col min="12585" max="12585" width="9.140625" style="452"/>
    <col min="12586" max="12586" width="9.5703125" style="452" bestFit="1" customWidth="1"/>
    <col min="12587" max="12587" width="10.42578125" style="452" bestFit="1" customWidth="1"/>
    <col min="12588" max="12588" width="10" style="452" bestFit="1" customWidth="1"/>
    <col min="12589" max="12589" width="12.42578125" style="452" bestFit="1" customWidth="1"/>
    <col min="12590" max="12806" width="9.140625" style="452"/>
    <col min="12807" max="12807" width="16.5703125" style="452" bestFit="1" customWidth="1"/>
    <col min="12808" max="12808" width="38.42578125" style="452" bestFit="1" customWidth="1"/>
    <col min="12809" max="12809" width="0" style="452" hidden="1" customWidth="1"/>
    <col min="12810" max="12810" width="36.5703125" style="452" customWidth="1"/>
    <col min="12811" max="12811" width="12.140625" style="452" customWidth="1"/>
    <col min="12812" max="12812" width="7.5703125" style="452" bestFit="1" customWidth="1"/>
    <col min="12813" max="12813" width="4.42578125" style="452" bestFit="1" customWidth="1"/>
    <col min="12814" max="12814" width="9.85546875" style="452" bestFit="1" customWidth="1"/>
    <col min="12815" max="12815" width="9.42578125" style="452" bestFit="1" customWidth="1"/>
    <col min="12816" max="12816" width="8.85546875" style="452" customWidth="1"/>
    <col min="12817" max="12817" width="9.140625" style="452"/>
    <col min="12818" max="12818" width="12.85546875" style="452" customWidth="1"/>
    <col min="12819" max="12819" width="9.140625" style="452"/>
    <col min="12820" max="12820" width="11.85546875" style="452" customWidth="1"/>
    <col min="12821" max="12821" width="11" style="452" bestFit="1" customWidth="1"/>
    <col min="12822" max="12822" width="10" style="452" bestFit="1" customWidth="1"/>
    <col min="12823" max="12823" width="9.5703125" style="452" bestFit="1" customWidth="1"/>
    <col min="12824" max="12825" width="10" style="452" bestFit="1" customWidth="1"/>
    <col min="12826" max="12826" width="10.5703125" style="452" bestFit="1" customWidth="1"/>
    <col min="12827" max="12827" width="10" style="452" bestFit="1" customWidth="1"/>
    <col min="12828" max="12828" width="9.140625" style="452"/>
    <col min="12829" max="12829" width="11" style="452" bestFit="1" customWidth="1"/>
    <col min="12830" max="12830" width="9.140625" style="452"/>
    <col min="12831" max="12831" width="10" style="452" bestFit="1" customWidth="1"/>
    <col min="12832" max="12832" width="9.5703125" style="452" bestFit="1" customWidth="1"/>
    <col min="12833" max="12834" width="10.5703125" style="452" bestFit="1" customWidth="1"/>
    <col min="12835" max="12835" width="10" style="452" bestFit="1" customWidth="1"/>
    <col min="12836" max="12836" width="9.140625" style="452"/>
    <col min="12837" max="12838" width="10" style="452" bestFit="1" customWidth="1"/>
    <col min="12839" max="12839" width="10.5703125" style="452" bestFit="1" customWidth="1"/>
    <col min="12840" max="12840" width="10.42578125" style="452" bestFit="1" customWidth="1"/>
    <col min="12841" max="12841" width="9.140625" style="452"/>
    <col min="12842" max="12842" width="9.5703125" style="452" bestFit="1" customWidth="1"/>
    <col min="12843" max="12843" width="10.42578125" style="452" bestFit="1" customWidth="1"/>
    <col min="12844" max="12844" width="10" style="452" bestFit="1" customWidth="1"/>
    <col min="12845" max="12845" width="12.42578125" style="452" bestFit="1" customWidth="1"/>
    <col min="12846" max="13062" width="9.140625" style="452"/>
    <col min="13063" max="13063" width="16.5703125" style="452" bestFit="1" customWidth="1"/>
    <col min="13064" max="13064" width="38.42578125" style="452" bestFit="1" customWidth="1"/>
    <col min="13065" max="13065" width="0" style="452" hidden="1" customWidth="1"/>
    <col min="13066" max="13066" width="36.5703125" style="452" customWidth="1"/>
    <col min="13067" max="13067" width="12.140625" style="452" customWidth="1"/>
    <col min="13068" max="13068" width="7.5703125" style="452" bestFit="1" customWidth="1"/>
    <col min="13069" max="13069" width="4.42578125" style="452" bestFit="1" customWidth="1"/>
    <col min="13070" max="13070" width="9.85546875" style="452" bestFit="1" customWidth="1"/>
    <col min="13071" max="13071" width="9.42578125" style="452" bestFit="1" customWidth="1"/>
    <col min="13072" max="13072" width="8.85546875" style="452" customWidth="1"/>
    <col min="13073" max="13073" width="9.140625" style="452"/>
    <col min="13074" max="13074" width="12.85546875" style="452" customWidth="1"/>
    <col min="13075" max="13075" width="9.140625" style="452"/>
    <col min="13076" max="13076" width="11.85546875" style="452" customWidth="1"/>
    <col min="13077" max="13077" width="11" style="452" bestFit="1" customWidth="1"/>
    <col min="13078" max="13078" width="10" style="452" bestFit="1" customWidth="1"/>
    <col min="13079" max="13079" width="9.5703125" style="452" bestFit="1" customWidth="1"/>
    <col min="13080" max="13081" width="10" style="452" bestFit="1" customWidth="1"/>
    <col min="13082" max="13082" width="10.5703125" style="452" bestFit="1" customWidth="1"/>
    <col min="13083" max="13083" width="10" style="452" bestFit="1" customWidth="1"/>
    <col min="13084" max="13084" width="9.140625" style="452"/>
    <col min="13085" max="13085" width="11" style="452" bestFit="1" customWidth="1"/>
    <col min="13086" max="13086" width="9.140625" style="452"/>
    <col min="13087" max="13087" width="10" style="452" bestFit="1" customWidth="1"/>
    <col min="13088" max="13088" width="9.5703125" style="452" bestFit="1" customWidth="1"/>
    <col min="13089" max="13090" width="10.5703125" style="452" bestFit="1" customWidth="1"/>
    <col min="13091" max="13091" width="10" style="452" bestFit="1" customWidth="1"/>
    <col min="13092" max="13092" width="9.140625" style="452"/>
    <col min="13093" max="13094" width="10" style="452" bestFit="1" customWidth="1"/>
    <col min="13095" max="13095" width="10.5703125" style="452" bestFit="1" customWidth="1"/>
    <col min="13096" max="13096" width="10.42578125" style="452" bestFit="1" customWidth="1"/>
    <col min="13097" max="13097" width="9.140625" style="452"/>
    <col min="13098" max="13098" width="9.5703125" style="452" bestFit="1" customWidth="1"/>
    <col min="13099" max="13099" width="10.42578125" style="452" bestFit="1" customWidth="1"/>
    <col min="13100" max="13100" width="10" style="452" bestFit="1" customWidth="1"/>
    <col min="13101" max="13101" width="12.42578125" style="452" bestFit="1" customWidth="1"/>
    <col min="13102" max="13318" width="9.140625" style="452"/>
    <col min="13319" max="13319" width="16.5703125" style="452" bestFit="1" customWidth="1"/>
    <col min="13320" max="13320" width="38.42578125" style="452" bestFit="1" customWidth="1"/>
    <col min="13321" max="13321" width="0" style="452" hidden="1" customWidth="1"/>
    <col min="13322" max="13322" width="36.5703125" style="452" customWidth="1"/>
    <col min="13323" max="13323" width="12.140625" style="452" customWidth="1"/>
    <col min="13324" max="13324" width="7.5703125" style="452" bestFit="1" customWidth="1"/>
    <col min="13325" max="13325" width="4.42578125" style="452" bestFit="1" customWidth="1"/>
    <col min="13326" max="13326" width="9.85546875" style="452" bestFit="1" customWidth="1"/>
    <col min="13327" max="13327" width="9.42578125" style="452" bestFit="1" customWidth="1"/>
    <col min="13328" max="13328" width="8.85546875" style="452" customWidth="1"/>
    <col min="13329" max="13329" width="9.140625" style="452"/>
    <col min="13330" max="13330" width="12.85546875" style="452" customWidth="1"/>
    <col min="13331" max="13331" width="9.140625" style="452"/>
    <col min="13332" max="13332" width="11.85546875" style="452" customWidth="1"/>
    <col min="13333" max="13333" width="11" style="452" bestFit="1" customWidth="1"/>
    <col min="13334" max="13334" width="10" style="452" bestFit="1" customWidth="1"/>
    <col min="13335" max="13335" width="9.5703125" style="452" bestFit="1" customWidth="1"/>
    <col min="13336" max="13337" width="10" style="452" bestFit="1" customWidth="1"/>
    <col min="13338" max="13338" width="10.5703125" style="452" bestFit="1" customWidth="1"/>
    <col min="13339" max="13339" width="10" style="452" bestFit="1" customWidth="1"/>
    <col min="13340" max="13340" width="9.140625" style="452"/>
    <col min="13341" max="13341" width="11" style="452" bestFit="1" customWidth="1"/>
    <col min="13342" max="13342" width="9.140625" style="452"/>
    <col min="13343" max="13343" width="10" style="452" bestFit="1" customWidth="1"/>
    <col min="13344" max="13344" width="9.5703125" style="452" bestFit="1" customWidth="1"/>
    <col min="13345" max="13346" width="10.5703125" style="452" bestFit="1" customWidth="1"/>
    <col min="13347" max="13347" width="10" style="452" bestFit="1" customWidth="1"/>
    <col min="13348" max="13348" width="9.140625" style="452"/>
    <col min="13349" max="13350" width="10" style="452" bestFit="1" customWidth="1"/>
    <col min="13351" max="13351" width="10.5703125" style="452" bestFit="1" customWidth="1"/>
    <col min="13352" max="13352" width="10.42578125" style="452" bestFit="1" customWidth="1"/>
    <col min="13353" max="13353" width="9.140625" style="452"/>
    <col min="13354" max="13354" width="9.5703125" style="452" bestFit="1" customWidth="1"/>
    <col min="13355" max="13355" width="10.42578125" style="452" bestFit="1" customWidth="1"/>
    <col min="13356" max="13356" width="10" style="452" bestFit="1" customWidth="1"/>
    <col min="13357" max="13357" width="12.42578125" style="452" bestFit="1" customWidth="1"/>
    <col min="13358" max="13574" width="9.140625" style="452"/>
    <col min="13575" max="13575" width="16.5703125" style="452" bestFit="1" customWidth="1"/>
    <col min="13576" max="13576" width="38.42578125" style="452" bestFit="1" customWidth="1"/>
    <col min="13577" max="13577" width="0" style="452" hidden="1" customWidth="1"/>
    <col min="13578" max="13578" width="36.5703125" style="452" customWidth="1"/>
    <col min="13579" max="13579" width="12.140625" style="452" customWidth="1"/>
    <col min="13580" max="13580" width="7.5703125" style="452" bestFit="1" customWidth="1"/>
    <col min="13581" max="13581" width="4.42578125" style="452" bestFit="1" customWidth="1"/>
    <col min="13582" max="13582" width="9.85546875" style="452" bestFit="1" customWidth="1"/>
    <col min="13583" max="13583" width="9.42578125" style="452" bestFit="1" customWidth="1"/>
    <col min="13584" max="13584" width="8.85546875" style="452" customWidth="1"/>
    <col min="13585" max="13585" width="9.140625" style="452"/>
    <col min="13586" max="13586" width="12.85546875" style="452" customWidth="1"/>
    <col min="13587" max="13587" width="9.140625" style="452"/>
    <col min="13588" max="13588" width="11.85546875" style="452" customWidth="1"/>
    <col min="13589" max="13589" width="11" style="452" bestFit="1" customWidth="1"/>
    <col min="13590" max="13590" width="10" style="452" bestFit="1" customWidth="1"/>
    <col min="13591" max="13591" width="9.5703125" style="452" bestFit="1" customWidth="1"/>
    <col min="13592" max="13593" width="10" style="452" bestFit="1" customWidth="1"/>
    <col min="13594" max="13594" width="10.5703125" style="452" bestFit="1" customWidth="1"/>
    <col min="13595" max="13595" width="10" style="452" bestFit="1" customWidth="1"/>
    <col min="13596" max="13596" width="9.140625" style="452"/>
    <col min="13597" max="13597" width="11" style="452" bestFit="1" customWidth="1"/>
    <col min="13598" max="13598" width="9.140625" style="452"/>
    <col min="13599" max="13599" width="10" style="452" bestFit="1" customWidth="1"/>
    <col min="13600" max="13600" width="9.5703125" style="452" bestFit="1" customWidth="1"/>
    <col min="13601" max="13602" width="10.5703125" style="452" bestFit="1" customWidth="1"/>
    <col min="13603" max="13603" width="10" style="452" bestFit="1" customWidth="1"/>
    <col min="13604" max="13604" width="9.140625" style="452"/>
    <col min="13605" max="13606" width="10" style="452" bestFit="1" customWidth="1"/>
    <col min="13607" max="13607" width="10.5703125" style="452" bestFit="1" customWidth="1"/>
    <col min="13608" max="13608" width="10.42578125" style="452" bestFit="1" customWidth="1"/>
    <col min="13609" max="13609" width="9.140625" style="452"/>
    <col min="13610" max="13610" width="9.5703125" style="452" bestFit="1" customWidth="1"/>
    <col min="13611" max="13611" width="10.42578125" style="452" bestFit="1" customWidth="1"/>
    <col min="13612" max="13612" width="10" style="452" bestFit="1" customWidth="1"/>
    <col min="13613" max="13613" width="12.42578125" style="452" bestFit="1" customWidth="1"/>
    <col min="13614" max="13830" width="9.140625" style="452"/>
    <col min="13831" max="13831" width="16.5703125" style="452" bestFit="1" customWidth="1"/>
    <col min="13832" max="13832" width="38.42578125" style="452" bestFit="1" customWidth="1"/>
    <col min="13833" max="13833" width="0" style="452" hidden="1" customWidth="1"/>
    <col min="13834" max="13834" width="36.5703125" style="452" customWidth="1"/>
    <col min="13835" max="13835" width="12.140625" style="452" customWidth="1"/>
    <col min="13836" max="13836" width="7.5703125" style="452" bestFit="1" customWidth="1"/>
    <col min="13837" max="13837" width="4.42578125" style="452" bestFit="1" customWidth="1"/>
    <col min="13838" max="13838" width="9.85546875" style="452" bestFit="1" customWidth="1"/>
    <col min="13839" max="13839" width="9.42578125" style="452" bestFit="1" customWidth="1"/>
    <col min="13840" max="13840" width="8.85546875" style="452" customWidth="1"/>
    <col min="13841" max="13841" width="9.140625" style="452"/>
    <col min="13842" max="13842" width="12.85546875" style="452" customWidth="1"/>
    <col min="13843" max="13843" width="9.140625" style="452"/>
    <col min="13844" max="13844" width="11.85546875" style="452" customWidth="1"/>
    <col min="13845" max="13845" width="11" style="452" bestFit="1" customWidth="1"/>
    <col min="13846" max="13846" width="10" style="452" bestFit="1" customWidth="1"/>
    <col min="13847" max="13847" width="9.5703125" style="452" bestFit="1" customWidth="1"/>
    <col min="13848" max="13849" width="10" style="452" bestFit="1" customWidth="1"/>
    <col min="13850" max="13850" width="10.5703125" style="452" bestFit="1" customWidth="1"/>
    <col min="13851" max="13851" width="10" style="452" bestFit="1" customWidth="1"/>
    <col min="13852" max="13852" width="9.140625" style="452"/>
    <col min="13853" max="13853" width="11" style="452" bestFit="1" customWidth="1"/>
    <col min="13854" max="13854" width="9.140625" style="452"/>
    <col min="13855" max="13855" width="10" style="452" bestFit="1" customWidth="1"/>
    <col min="13856" max="13856" width="9.5703125" style="452" bestFit="1" customWidth="1"/>
    <col min="13857" max="13858" width="10.5703125" style="452" bestFit="1" customWidth="1"/>
    <col min="13859" max="13859" width="10" style="452" bestFit="1" customWidth="1"/>
    <col min="13860" max="13860" width="9.140625" style="452"/>
    <col min="13861" max="13862" width="10" style="452" bestFit="1" customWidth="1"/>
    <col min="13863" max="13863" width="10.5703125" style="452" bestFit="1" customWidth="1"/>
    <col min="13864" max="13864" width="10.42578125" style="452" bestFit="1" customWidth="1"/>
    <col min="13865" max="13865" width="9.140625" style="452"/>
    <col min="13866" max="13866" width="9.5703125" style="452" bestFit="1" customWidth="1"/>
    <col min="13867" max="13867" width="10.42578125" style="452" bestFit="1" customWidth="1"/>
    <col min="13868" max="13868" width="10" style="452" bestFit="1" customWidth="1"/>
    <col min="13869" max="13869" width="12.42578125" style="452" bestFit="1" customWidth="1"/>
    <col min="13870" max="14086" width="9.140625" style="452"/>
    <col min="14087" max="14087" width="16.5703125" style="452" bestFit="1" customWidth="1"/>
    <col min="14088" max="14088" width="38.42578125" style="452" bestFit="1" customWidth="1"/>
    <col min="14089" max="14089" width="0" style="452" hidden="1" customWidth="1"/>
    <col min="14090" max="14090" width="36.5703125" style="452" customWidth="1"/>
    <col min="14091" max="14091" width="12.140625" style="452" customWidth="1"/>
    <col min="14092" max="14092" width="7.5703125" style="452" bestFit="1" customWidth="1"/>
    <col min="14093" max="14093" width="4.42578125" style="452" bestFit="1" customWidth="1"/>
    <col min="14094" max="14094" width="9.85546875" style="452" bestFit="1" customWidth="1"/>
    <col min="14095" max="14095" width="9.42578125" style="452" bestFit="1" customWidth="1"/>
    <col min="14096" max="14096" width="8.85546875" style="452" customWidth="1"/>
    <col min="14097" max="14097" width="9.140625" style="452"/>
    <col min="14098" max="14098" width="12.85546875" style="452" customWidth="1"/>
    <col min="14099" max="14099" width="9.140625" style="452"/>
    <col min="14100" max="14100" width="11.85546875" style="452" customWidth="1"/>
    <col min="14101" max="14101" width="11" style="452" bestFit="1" customWidth="1"/>
    <col min="14102" max="14102" width="10" style="452" bestFit="1" customWidth="1"/>
    <col min="14103" max="14103" width="9.5703125" style="452" bestFit="1" customWidth="1"/>
    <col min="14104" max="14105" width="10" style="452" bestFit="1" customWidth="1"/>
    <col min="14106" max="14106" width="10.5703125" style="452" bestFit="1" customWidth="1"/>
    <col min="14107" max="14107" width="10" style="452" bestFit="1" customWidth="1"/>
    <col min="14108" max="14108" width="9.140625" style="452"/>
    <col min="14109" max="14109" width="11" style="452" bestFit="1" customWidth="1"/>
    <col min="14110" max="14110" width="9.140625" style="452"/>
    <col min="14111" max="14111" width="10" style="452" bestFit="1" customWidth="1"/>
    <col min="14112" max="14112" width="9.5703125" style="452" bestFit="1" customWidth="1"/>
    <col min="14113" max="14114" width="10.5703125" style="452" bestFit="1" customWidth="1"/>
    <col min="14115" max="14115" width="10" style="452" bestFit="1" customWidth="1"/>
    <col min="14116" max="14116" width="9.140625" style="452"/>
    <col min="14117" max="14118" width="10" style="452" bestFit="1" customWidth="1"/>
    <col min="14119" max="14119" width="10.5703125" style="452" bestFit="1" customWidth="1"/>
    <col min="14120" max="14120" width="10.42578125" style="452" bestFit="1" customWidth="1"/>
    <col min="14121" max="14121" width="9.140625" style="452"/>
    <col min="14122" max="14122" width="9.5703125" style="452" bestFit="1" customWidth="1"/>
    <col min="14123" max="14123" width="10.42578125" style="452" bestFit="1" customWidth="1"/>
    <col min="14124" max="14124" width="10" style="452" bestFit="1" customWidth="1"/>
    <col min="14125" max="14125" width="12.42578125" style="452" bestFit="1" customWidth="1"/>
    <col min="14126" max="14342" width="9.140625" style="452"/>
    <col min="14343" max="14343" width="16.5703125" style="452" bestFit="1" customWidth="1"/>
    <col min="14344" max="14344" width="38.42578125" style="452" bestFit="1" customWidth="1"/>
    <col min="14345" max="14345" width="0" style="452" hidden="1" customWidth="1"/>
    <col min="14346" max="14346" width="36.5703125" style="452" customWidth="1"/>
    <col min="14347" max="14347" width="12.140625" style="452" customWidth="1"/>
    <col min="14348" max="14348" width="7.5703125" style="452" bestFit="1" customWidth="1"/>
    <col min="14349" max="14349" width="4.42578125" style="452" bestFit="1" customWidth="1"/>
    <col min="14350" max="14350" width="9.85546875" style="452" bestFit="1" customWidth="1"/>
    <col min="14351" max="14351" width="9.42578125" style="452" bestFit="1" customWidth="1"/>
    <col min="14352" max="14352" width="8.85546875" style="452" customWidth="1"/>
    <col min="14353" max="14353" width="9.140625" style="452"/>
    <col min="14354" max="14354" width="12.85546875" style="452" customWidth="1"/>
    <col min="14355" max="14355" width="9.140625" style="452"/>
    <col min="14356" max="14356" width="11.85546875" style="452" customWidth="1"/>
    <col min="14357" max="14357" width="11" style="452" bestFit="1" customWidth="1"/>
    <col min="14358" max="14358" width="10" style="452" bestFit="1" customWidth="1"/>
    <col min="14359" max="14359" width="9.5703125" style="452" bestFit="1" customWidth="1"/>
    <col min="14360" max="14361" width="10" style="452" bestFit="1" customWidth="1"/>
    <col min="14362" max="14362" width="10.5703125" style="452" bestFit="1" customWidth="1"/>
    <col min="14363" max="14363" width="10" style="452" bestFit="1" customWidth="1"/>
    <col min="14364" max="14364" width="9.140625" style="452"/>
    <col min="14365" max="14365" width="11" style="452" bestFit="1" customWidth="1"/>
    <col min="14366" max="14366" width="9.140625" style="452"/>
    <col min="14367" max="14367" width="10" style="452" bestFit="1" customWidth="1"/>
    <col min="14368" max="14368" width="9.5703125" style="452" bestFit="1" customWidth="1"/>
    <col min="14369" max="14370" width="10.5703125" style="452" bestFit="1" customWidth="1"/>
    <col min="14371" max="14371" width="10" style="452" bestFit="1" customWidth="1"/>
    <col min="14372" max="14372" width="9.140625" style="452"/>
    <col min="14373" max="14374" width="10" style="452" bestFit="1" customWidth="1"/>
    <col min="14375" max="14375" width="10.5703125" style="452" bestFit="1" customWidth="1"/>
    <col min="14376" max="14376" width="10.42578125" style="452" bestFit="1" customWidth="1"/>
    <col min="14377" max="14377" width="9.140625" style="452"/>
    <col min="14378" max="14378" width="9.5703125" style="452" bestFit="1" customWidth="1"/>
    <col min="14379" max="14379" width="10.42578125" style="452" bestFit="1" customWidth="1"/>
    <col min="14380" max="14380" width="10" style="452" bestFit="1" customWidth="1"/>
    <col min="14381" max="14381" width="12.42578125" style="452" bestFit="1" customWidth="1"/>
    <col min="14382" max="14598" width="9.140625" style="452"/>
    <col min="14599" max="14599" width="16.5703125" style="452" bestFit="1" customWidth="1"/>
    <col min="14600" max="14600" width="38.42578125" style="452" bestFit="1" customWidth="1"/>
    <col min="14601" max="14601" width="0" style="452" hidden="1" customWidth="1"/>
    <col min="14602" max="14602" width="36.5703125" style="452" customWidth="1"/>
    <col min="14603" max="14603" width="12.140625" style="452" customWidth="1"/>
    <col min="14604" max="14604" width="7.5703125" style="452" bestFit="1" customWidth="1"/>
    <col min="14605" max="14605" width="4.42578125" style="452" bestFit="1" customWidth="1"/>
    <col min="14606" max="14606" width="9.85546875" style="452" bestFit="1" customWidth="1"/>
    <col min="14607" max="14607" width="9.42578125" style="452" bestFit="1" customWidth="1"/>
    <col min="14608" max="14608" width="8.85546875" style="452" customWidth="1"/>
    <col min="14609" max="14609" width="9.140625" style="452"/>
    <col min="14610" max="14610" width="12.85546875" style="452" customWidth="1"/>
    <col min="14611" max="14611" width="9.140625" style="452"/>
    <col min="14612" max="14612" width="11.85546875" style="452" customWidth="1"/>
    <col min="14613" max="14613" width="11" style="452" bestFit="1" customWidth="1"/>
    <col min="14614" max="14614" width="10" style="452" bestFit="1" customWidth="1"/>
    <col min="14615" max="14615" width="9.5703125" style="452" bestFit="1" customWidth="1"/>
    <col min="14616" max="14617" width="10" style="452" bestFit="1" customWidth="1"/>
    <col min="14618" max="14618" width="10.5703125" style="452" bestFit="1" customWidth="1"/>
    <col min="14619" max="14619" width="10" style="452" bestFit="1" customWidth="1"/>
    <col min="14620" max="14620" width="9.140625" style="452"/>
    <col min="14621" max="14621" width="11" style="452" bestFit="1" customWidth="1"/>
    <col min="14622" max="14622" width="9.140625" style="452"/>
    <col min="14623" max="14623" width="10" style="452" bestFit="1" customWidth="1"/>
    <col min="14624" max="14624" width="9.5703125" style="452" bestFit="1" customWidth="1"/>
    <col min="14625" max="14626" width="10.5703125" style="452" bestFit="1" customWidth="1"/>
    <col min="14627" max="14627" width="10" style="452" bestFit="1" customWidth="1"/>
    <col min="14628" max="14628" width="9.140625" style="452"/>
    <col min="14629" max="14630" width="10" style="452" bestFit="1" customWidth="1"/>
    <col min="14631" max="14631" width="10.5703125" style="452" bestFit="1" customWidth="1"/>
    <col min="14632" max="14632" width="10.42578125" style="452" bestFit="1" customWidth="1"/>
    <col min="14633" max="14633" width="9.140625" style="452"/>
    <col min="14634" max="14634" width="9.5703125" style="452" bestFit="1" customWidth="1"/>
    <col min="14635" max="14635" width="10.42578125" style="452" bestFit="1" customWidth="1"/>
    <col min="14636" max="14636" width="10" style="452" bestFit="1" customWidth="1"/>
    <col min="14637" max="14637" width="12.42578125" style="452" bestFit="1" customWidth="1"/>
    <col min="14638" max="14854" width="9.140625" style="452"/>
    <col min="14855" max="14855" width="16.5703125" style="452" bestFit="1" customWidth="1"/>
    <col min="14856" max="14856" width="38.42578125" style="452" bestFit="1" customWidth="1"/>
    <col min="14857" max="14857" width="0" style="452" hidden="1" customWidth="1"/>
    <col min="14858" max="14858" width="36.5703125" style="452" customWidth="1"/>
    <col min="14859" max="14859" width="12.140625" style="452" customWidth="1"/>
    <col min="14860" max="14860" width="7.5703125" style="452" bestFit="1" customWidth="1"/>
    <col min="14861" max="14861" width="4.42578125" style="452" bestFit="1" customWidth="1"/>
    <col min="14862" max="14862" width="9.85546875" style="452" bestFit="1" customWidth="1"/>
    <col min="14863" max="14863" width="9.42578125" style="452" bestFit="1" customWidth="1"/>
    <col min="14864" max="14864" width="8.85546875" style="452" customWidth="1"/>
    <col min="14865" max="14865" width="9.140625" style="452"/>
    <col min="14866" max="14866" width="12.85546875" style="452" customWidth="1"/>
    <col min="14867" max="14867" width="9.140625" style="452"/>
    <col min="14868" max="14868" width="11.85546875" style="452" customWidth="1"/>
    <col min="14869" max="14869" width="11" style="452" bestFit="1" customWidth="1"/>
    <col min="14870" max="14870" width="10" style="452" bestFit="1" customWidth="1"/>
    <col min="14871" max="14871" width="9.5703125" style="452" bestFit="1" customWidth="1"/>
    <col min="14872" max="14873" width="10" style="452" bestFit="1" customWidth="1"/>
    <col min="14874" max="14874" width="10.5703125" style="452" bestFit="1" customWidth="1"/>
    <col min="14875" max="14875" width="10" style="452" bestFit="1" customWidth="1"/>
    <col min="14876" max="14876" width="9.140625" style="452"/>
    <col min="14877" max="14877" width="11" style="452" bestFit="1" customWidth="1"/>
    <col min="14878" max="14878" width="9.140625" style="452"/>
    <col min="14879" max="14879" width="10" style="452" bestFit="1" customWidth="1"/>
    <col min="14880" max="14880" width="9.5703125" style="452" bestFit="1" customWidth="1"/>
    <col min="14881" max="14882" width="10.5703125" style="452" bestFit="1" customWidth="1"/>
    <col min="14883" max="14883" width="10" style="452" bestFit="1" customWidth="1"/>
    <col min="14884" max="14884" width="9.140625" style="452"/>
    <col min="14885" max="14886" width="10" style="452" bestFit="1" customWidth="1"/>
    <col min="14887" max="14887" width="10.5703125" style="452" bestFit="1" customWidth="1"/>
    <col min="14888" max="14888" width="10.42578125" style="452" bestFit="1" customWidth="1"/>
    <col min="14889" max="14889" width="9.140625" style="452"/>
    <col min="14890" max="14890" width="9.5703125" style="452" bestFit="1" customWidth="1"/>
    <col min="14891" max="14891" width="10.42578125" style="452" bestFit="1" customWidth="1"/>
    <col min="14892" max="14892" width="10" style="452" bestFit="1" customWidth="1"/>
    <col min="14893" max="14893" width="12.42578125" style="452" bestFit="1" customWidth="1"/>
    <col min="14894" max="15110" width="9.140625" style="452"/>
    <col min="15111" max="15111" width="16.5703125" style="452" bestFit="1" customWidth="1"/>
    <col min="15112" max="15112" width="38.42578125" style="452" bestFit="1" customWidth="1"/>
    <col min="15113" max="15113" width="0" style="452" hidden="1" customWidth="1"/>
    <col min="15114" max="15114" width="36.5703125" style="452" customWidth="1"/>
    <col min="15115" max="15115" width="12.140625" style="452" customWidth="1"/>
    <col min="15116" max="15116" width="7.5703125" style="452" bestFit="1" customWidth="1"/>
    <col min="15117" max="15117" width="4.42578125" style="452" bestFit="1" customWidth="1"/>
    <col min="15118" max="15118" width="9.85546875" style="452" bestFit="1" customWidth="1"/>
    <col min="15119" max="15119" width="9.42578125" style="452" bestFit="1" customWidth="1"/>
    <col min="15120" max="15120" width="8.85546875" style="452" customWidth="1"/>
    <col min="15121" max="15121" width="9.140625" style="452"/>
    <col min="15122" max="15122" width="12.85546875" style="452" customWidth="1"/>
    <col min="15123" max="15123" width="9.140625" style="452"/>
    <col min="15124" max="15124" width="11.85546875" style="452" customWidth="1"/>
    <col min="15125" max="15125" width="11" style="452" bestFit="1" customWidth="1"/>
    <col min="15126" max="15126" width="10" style="452" bestFit="1" customWidth="1"/>
    <col min="15127" max="15127" width="9.5703125" style="452" bestFit="1" customWidth="1"/>
    <col min="15128" max="15129" width="10" style="452" bestFit="1" customWidth="1"/>
    <col min="15130" max="15130" width="10.5703125" style="452" bestFit="1" customWidth="1"/>
    <col min="15131" max="15131" width="10" style="452" bestFit="1" customWidth="1"/>
    <col min="15132" max="15132" width="9.140625" style="452"/>
    <col min="15133" max="15133" width="11" style="452" bestFit="1" customWidth="1"/>
    <col min="15134" max="15134" width="9.140625" style="452"/>
    <col min="15135" max="15135" width="10" style="452" bestFit="1" customWidth="1"/>
    <col min="15136" max="15136" width="9.5703125" style="452" bestFit="1" customWidth="1"/>
    <col min="15137" max="15138" width="10.5703125" style="452" bestFit="1" customWidth="1"/>
    <col min="15139" max="15139" width="10" style="452" bestFit="1" customWidth="1"/>
    <col min="15140" max="15140" width="9.140625" style="452"/>
    <col min="15141" max="15142" width="10" style="452" bestFit="1" customWidth="1"/>
    <col min="15143" max="15143" width="10.5703125" style="452" bestFit="1" customWidth="1"/>
    <col min="15144" max="15144" width="10.42578125" style="452" bestFit="1" customWidth="1"/>
    <col min="15145" max="15145" width="9.140625" style="452"/>
    <col min="15146" max="15146" width="9.5703125" style="452" bestFit="1" customWidth="1"/>
    <col min="15147" max="15147" width="10.42578125" style="452" bestFit="1" customWidth="1"/>
    <col min="15148" max="15148" width="10" style="452" bestFit="1" customWidth="1"/>
    <col min="15149" max="15149" width="12.42578125" style="452" bestFit="1" customWidth="1"/>
    <col min="15150" max="15366" width="9.140625" style="452"/>
    <col min="15367" max="15367" width="16.5703125" style="452" bestFit="1" customWidth="1"/>
    <col min="15368" max="15368" width="38.42578125" style="452" bestFit="1" customWidth="1"/>
    <col min="15369" max="15369" width="0" style="452" hidden="1" customWidth="1"/>
    <col min="15370" max="15370" width="36.5703125" style="452" customWidth="1"/>
    <col min="15371" max="15371" width="12.140625" style="452" customWidth="1"/>
    <col min="15372" max="15372" width="7.5703125" style="452" bestFit="1" customWidth="1"/>
    <col min="15373" max="15373" width="4.42578125" style="452" bestFit="1" customWidth="1"/>
    <col min="15374" max="15374" width="9.85546875" style="452" bestFit="1" customWidth="1"/>
    <col min="15375" max="15375" width="9.42578125" style="452" bestFit="1" customWidth="1"/>
    <col min="15376" max="15376" width="8.85546875" style="452" customWidth="1"/>
    <col min="15377" max="15377" width="9.140625" style="452"/>
    <col min="15378" max="15378" width="12.85546875" style="452" customWidth="1"/>
    <col min="15379" max="15379" width="9.140625" style="452"/>
    <col min="15380" max="15380" width="11.85546875" style="452" customWidth="1"/>
    <col min="15381" max="15381" width="11" style="452" bestFit="1" customWidth="1"/>
    <col min="15382" max="15382" width="10" style="452" bestFit="1" customWidth="1"/>
    <col min="15383" max="15383" width="9.5703125" style="452" bestFit="1" customWidth="1"/>
    <col min="15384" max="15385" width="10" style="452" bestFit="1" customWidth="1"/>
    <col min="15386" max="15386" width="10.5703125" style="452" bestFit="1" customWidth="1"/>
    <col min="15387" max="15387" width="10" style="452" bestFit="1" customWidth="1"/>
    <col min="15388" max="15388" width="9.140625" style="452"/>
    <col min="15389" max="15389" width="11" style="452" bestFit="1" customWidth="1"/>
    <col min="15390" max="15390" width="9.140625" style="452"/>
    <col min="15391" max="15391" width="10" style="452" bestFit="1" customWidth="1"/>
    <col min="15392" max="15392" width="9.5703125" style="452" bestFit="1" customWidth="1"/>
    <col min="15393" max="15394" width="10.5703125" style="452" bestFit="1" customWidth="1"/>
    <col min="15395" max="15395" width="10" style="452" bestFit="1" customWidth="1"/>
    <col min="15396" max="15396" width="9.140625" style="452"/>
    <col min="15397" max="15398" width="10" style="452" bestFit="1" customWidth="1"/>
    <col min="15399" max="15399" width="10.5703125" style="452" bestFit="1" customWidth="1"/>
    <col min="15400" max="15400" width="10.42578125" style="452" bestFit="1" customWidth="1"/>
    <col min="15401" max="15401" width="9.140625" style="452"/>
    <col min="15402" max="15402" width="9.5703125" style="452" bestFit="1" customWidth="1"/>
    <col min="15403" max="15403" width="10.42578125" style="452" bestFit="1" customWidth="1"/>
    <col min="15404" max="15404" width="10" style="452" bestFit="1" customWidth="1"/>
    <col min="15405" max="15405" width="12.42578125" style="452" bestFit="1" customWidth="1"/>
    <col min="15406" max="15622" width="9.140625" style="452"/>
    <col min="15623" max="15623" width="16.5703125" style="452" bestFit="1" customWidth="1"/>
    <col min="15624" max="15624" width="38.42578125" style="452" bestFit="1" customWidth="1"/>
    <col min="15625" max="15625" width="0" style="452" hidden="1" customWidth="1"/>
    <col min="15626" max="15626" width="36.5703125" style="452" customWidth="1"/>
    <col min="15627" max="15627" width="12.140625" style="452" customWidth="1"/>
    <col min="15628" max="15628" width="7.5703125" style="452" bestFit="1" customWidth="1"/>
    <col min="15629" max="15629" width="4.42578125" style="452" bestFit="1" customWidth="1"/>
    <col min="15630" max="15630" width="9.85546875" style="452" bestFit="1" customWidth="1"/>
    <col min="15631" max="15631" width="9.42578125" style="452" bestFit="1" customWidth="1"/>
    <col min="15632" max="15632" width="8.85546875" style="452" customWidth="1"/>
    <col min="15633" max="15633" width="9.140625" style="452"/>
    <col min="15634" max="15634" width="12.85546875" style="452" customWidth="1"/>
    <col min="15635" max="15635" width="9.140625" style="452"/>
    <col min="15636" max="15636" width="11.85546875" style="452" customWidth="1"/>
    <col min="15637" max="15637" width="11" style="452" bestFit="1" customWidth="1"/>
    <col min="15638" max="15638" width="10" style="452" bestFit="1" customWidth="1"/>
    <col min="15639" max="15639" width="9.5703125" style="452" bestFit="1" customWidth="1"/>
    <col min="15640" max="15641" width="10" style="452" bestFit="1" customWidth="1"/>
    <col min="15642" max="15642" width="10.5703125" style="452" bestFit="1" customWidth="1"/>
    <col min="15643" max="15643" width="10" style="452" bestFit="1" customWidth="1"/>
    <col min="15644" max="15644" width="9.140625" style="452"/>
    <col min="15645" max="15645" width="11" style="452" bestFit="1" customWidth="1"/>
    <col min="15646" max="15646" width="9.140625" style="452"/>
    <col min="15647" max="15647" width="10" style="452" bestFit="1" customWidth="1"/>
    <col min="15648" max="15648" width="9.5703125" style="452" bestFit="1" customWidth="1"/>
    <col min="15649" max="15650" width="10.5703125" style="452" bestFit="1" customWidth="1"/>
    <col min="15651" max="15651" width="10" style="452" bestFit="1" customWidth="1"/>
    <col min="15652" max="15652" width="9.140625" style="452"/>
    <col min="15653" max="15654" width="10" style="452" bestFit="1" customWidth="1"/>
    <col min="15655" max="15655" width="10.5703125" style="452" bestFit="1" customWidth="1"/>
    <col min="15656" max="15656" width="10.42578125" style="452" bestFit="1" customWidth="1"/>
    <col min="15657" max="15657" width="9.140625" style="452"/>
    <col min="15658" max="15658" width="9.5703125" style="452" bestFit="1" customWidth="1"/>
    <col min="15659" max="15659" width="10.42578125" style="452" bestFit="1" customWidth="1"/>
    <col min="15660" max="15660" width="10" style="452" bestFit="1" customWidth="1"/>
    <col min="15661" max="15661" width="12.42578125" style="452" bestFit="1" customWidth="1"/>
    <col min="15662" max="15878" width="9.140625" style="452"/>
    <col min="15879" max="15879" width="16.5703125" style="452" bestFit="1" customWidth="1"/>
    <col min="15880" max="15880" width="38.42578125" style="452" bestFit="1" customWidth="1"/>
    <col min="15881" max="15881" width="0" style="452" hidden="1" customWidth="1"/>
    <col min="15882" max="15882" width="36.5703125" style="452" customWidth="1"/>
    <col min="15883" max="15883" width="12.140625" style="452" customWidth="1"/>
    <col min="15884" max="15884" width="7.5703125" style="452" bestFit="1" customWidth="1"/>
    <col min="15885" max="15885" width="4.42578125" style="452" bestFit="1" customWidth="1"/>
    <col min="15886" max="15886" width="9.85546875" style="452" bestFit="1" customWidth="1"/>
    <col min="15887" max="15887" width="9.42578125" style="452" bestFit="1" customWidth="1"/>
    <col min="15888" max="15888" width="8.85546875" style="452" customWidth="1"/>
    <col min="15889" max="15889" width="9.140625" style="452"/>
    <col min="15890" max="15890" width="12.85546875" style="452" customWidth="1"/>
    <col min="15891" max="15891" width="9.140625" style="452"/>
    <col min="15892" max="15892" width="11.85546875" style="452" customWidth="1"/>
    <col min="15893" max="15893" width="11" style="452" bestFit="1" customWidth="1"/>
    <col min="15894" max="15894" width="10" style="452" bestFit="1" customWidth="1"/>
    <col min="15895" max="15895" width="9.5703125" style="452" bestFit="1" customWidth="1"/>
    <col min="15896" max="15897" width="10" style="452" bestFit="1" customWidth="1"/>
    <col min="15898" max="15898" width="10.5703125" style="452" bestFit="1" customWidth="1"/>
    <col min="15899" max="15899" width="10" style="452" bestFit="1" customWidth="1"/>
    <col min="15900" max="15900" width="9.140625" style="452"/>
    <col min="15901" max="15901" width="11" style="452" bestFit="1" customWidth="1"/>
    <col min="15902" max="15902" width="9.140625" style="452"/>
    <col min="15903" max="15903" width="10" style="452" bestFit="1" customWidth="1"/>
    <col min="15904" max="15904" width="9.5703125" style="452" bestFit="1" customWidth="1"/>
    <col min="15905" max="15906" width="10.5703125" style="452" bestFit="1" customWidth="1"/>
    <col min="15907" max="15907" width="10" style="452" bestFit="1" customWidth="1"/>
    <col min="15908" max="15908" width="9.140625" style="452"/>
    <col min="15909" max="15910" width="10" style="452" bestFit="1" customWidth="1"/>
    <col min="15911" max="15911" width="10.5703125" style="452" bestFit="1" customWidth="1"/>
    <col min="15912" max="15912" width="10.42578125" style="452" bestFit="1" customWidth="1"/>
    <col min="15913" max="15913" width="9.140625" style="452"/>
    <col min="15914" max="15914" width="9.5703125" style="452" bestFit="1" customWidth="1"/>
    <col min="15915" max="15915" width="10.42578125" style="452" bestFit="1" customWidth="1"/>
    <col min="15916" max="15916" width="10" style="452" bestFit="1" customWidth="1"/>
    <col min="15917" max="15917" width="12.42578125" style="452" bestFit="1" customWidth="1"/>
    <col min="15918" max="16134" width="9.140625" style="452"/>
    <col min="16135" max="16135" width="16.5703125" style="452" bestFit="1" customWidth="1"/>
    <col min="16136" max="16136" width="38.42578125" style="452" bestFit="1" customWidth="1"/>
    <col min="16137" max="16137" width="0" style="452" hidden="1" customWidth="1"/>
    <col min="16138" max="16138" width="36.5703125" style="452" customWidth="1"/>
    <col min="16139" max="16139" width="12.140625" style="452" customWidth="1"/>
    <col min="16140" max="16140" width="7.5703125" style="452" bestFit="1" customWidth="1"/>
    <col min="16141" max="16141" width="4.42578125" style="452" bestFit="1" customWidth="1"/>
    <col min="16142" max="16142" width="9.85546875" style="452" bestFit="1" customWidth="1"/>
    <col min="16143" max="16143" width="9.42578125" style="452" bestFit="1" customWidth="1"/>
    <col min="16144" max="16144" width="8.85546875" style="452" customWidth="1"/>
    <col min="16145" max="16145" width="9.140625" style="452"/>
    <col min="16146" max="16146" width="12.85546875" style="452" customWidth="1"/>
    <col min="16147" max="16147" width="9.140625" style="452"/>
    <col min="16148" max="16148" width="11.85546875" style="452" customWidth="1"/>
    <col min="16149" max="16149" width="11" style="452" bestFit="1" customWidth="1"/>
    <col min="16150" max="16150" width="10" style="452" bestFit="1" customWidth="1"/>
    <col min="16151" max="16151" width="9.5703125" style="452" bestFit="1" customWidth="1"/>
    <col min="16152" max="16153" width="10" style="452" bestFit="1" customWidth="1"/>
    <col min="16154" max="16154" width="10.5703125" style="452" bestFit="1" customWidth="1"/>
    <col min="16155" max="16155" width="10" style="452" bestFit="1" customWidth="1"/>
    <col min="16156" max="16156" width="9.140625" style="452"/>
    <col min="16157" max="16157" width="11" style="452" bestFit="1" customWidth="1"/>
    <col min="16158" max="16158" width="9.140625" style="452"/>
    <col min="16159" max="16159" width="10" style="452" bestFit="1" customWidth="1"/>
    <col min="16160" max="16160" width="9.5703125" style="452" bestFit="1" customWidth="1"/>
    <col min="16161" max="16162" width="10.5703125" style="452" bestFit="1" customWidth="1"/>
    <col min="16163" max="16163" width="10" style="452" bestFit="1" customWidth="1"/>
    <col min="16164" max="16164" width="9.140625" style="452"/>
    <col min="16165" max="16166" width="10" style="452" bestFit="1" customWidth="1"/>
    <col min="16167" max="16167" width="10.5703125" style="452" bestFit="1" customWidth="1"/>
    <col min="16168" max="16168" width="10.42578125" style="452" bestFit="1" customWidth="1"/>
    <col min="16169" max="16169" width="9.140625" style="452"/>
    <col min="16170" max="16170" width="9.5703125" style="452" bestFit="1" customWidth="1"/>
    <col min="16171" max="16171" width="10.42578125" style="452" bestFit="1" customWidth="1"/>
    <col min="16172" max="16172" width="10" style="452" bestFit="1" customWidth="1"/>
    <col min="16173" max="16173" width="12.42578125" style="452" bestFit="1" customWidth="1"/>
    <col min="16174" max="16384" width="9.140625" style="452"/>
  </cols>
  <sheetData>
    <row r="1" spans="1:45" ht="48.75" customHeight="1" x14ac:dyDescent="0.2">
      <c r="C1" s="453"/>
      <c r="D1" s="454"/>
      <c r="E1" s="455"/>
      <c r="F1" s="455"/>
      <c r="G1" s="454"/>
      <c r="H1" s="456"/>
      <c r="I1" s="456"/>
      <c r="J1" s="454"/>
      <c r="K1" s="454"/>
      <c r="L1" s="454"/>
    </row>
    <row r="2" spans="1:45" ht="13.35" customHeight="1" thickBot="1" x14ac:dyDescent="0.25">
      <c r="C2" s="454"/>
      <c r="D2" s="454"/>
      <c r="E2" s="458"/>
      <c r="F2" s="458"/>
      <c r="G2" s="453"/>
      <c r="H2" s="459"/>
      <c r="I2" s="459"/>
      <c r="J2" s="453"/>
      <c r="K2" s="453"/>
      <c r="L2" s="453"/>
    </row>
    <row r="3" spans="1:45" ht="19.5" customHeight="1" x14ac:dyDescent="0.2">
      <c r="C3" s="454"/>
      <c r="D3" s="460"/>
      <c r="E3" s="461"/>
      <c r="F3" s="461"/>
      <c r="G3" s="461"/>
      <c r="H3" s="462"/>
      <c r="I3" s="463"/>
      <c r="J3" s="464"/>
      <c r="K3" s="465"/>
      <c r="L3" s="466"/>
      <c r="M3" s="776" t="s">
        <v>65</v>
      </c>
      <c r="N3" s="777"/>
      <c r="O3" s="777"/>
      <c r="P3" s="777"/>
      <c r="Q3" s="777"/>
      <c r="R3" s="777"/>
      <c r="S3" s="778"/>
    </row>
    <row r="4" spans="1:45" ht="27.95" customHeight="1" x14ac:dyDescent="0.2">
      <c r="D4" s="467"/>
      <c r="E4" s="468" t="s">
        <v>66</v>
      </c>
      <c r="F4" s="468" t="s">
        <v>67</v>
      </c>
      <c r="G4" s="469" t="s">
        <v>68</v>
      </c>
      <c r="H4" s="470" t="s">
        <v>69</v>
      </c>
      <c r="I4" s="471" t="s">
        <v>70</v>
      </c>
      <c r="J4" s="469" t="s">
        <v>71</v>
      </c>
      <c r="K4" s="472" t="s">
        <v>72</v>
      </c>
      <c r="L4" s="473" t="s">
        <v>73</v>
      </c>
      <c r="M4" s="779" t="s">
        <v>74</v>
      </c>
      <c r="N4" s="474" t="s">
        <v>75</v>
      </c>
      <c r="O4" s="475"/>
      <c r="P4" s="781" t="s">
        <v>75</v>
      </c>
      <c r="Q4" s="781" t="s">
        <v>77</v>
      </c>
      <c r="R4" s="476"/>
      <c r="S4" s="783" t="s">
        <v>78</v>
      </c>
      <c r="T4" s="477">
        <v>1</v>
      </c>
      <c r="U4" s="469">
        <v>2</v>
      </c>
      <c r="V4" s="469">
        <v>3</v>
      </c>
      <c r="W4" s="469">
        <v>4</v>
      </c>
      <c r="X4" s="469">
        <v>5</v>
      </c>
      <c r="Y4" s="469">
        <v>6</v>
      </c>
      <c r="Z4" s="469">
        <v>7</v>
      </c>
      <c r="AA4" s="469">
        <v>8</v>
      </c>
      <c r="AB4" s="469">
        <v>9</v>
      </c>
      <c r="AC4" s="469">
        <v>10</v>
      </c>
      <c r="AD4" s="469">
        <v>11</v>
      </c>
      <c r="AE4" s="469">
        <v>12</v>
      </c>
      <c r="AF4" s="469">
        <v>13</v>
      </c>
      <c r="AG4" s="469">
        <v>14</v>
      </c>
      <c r="AH4" s="469">
        <v>15</v>
      </c>
      <c r="AI4" s="469">
        <v>16</v>
      </c>
      <c r="AJ4" s="469">
        <v>17</v>
      </c>
      <c r="AK4" s="469">
        <v>18</v>
      </c>
      <c r="AL4" s="469">
        <v>19</v>
      </c>
      <c r="AM4" s="469">
        <v>20</v>
      </c>
      <c r="AN4" s="469">
        <v>21</v>
      </c>
      <c r="AO4" s="469">
        <v>22</v>
      </c>
      <c r="AP4" s="469">
        <v>23</v>
      </c>
      <c r="AQ4" s="469">
        <v>24</v>
      </c>
      <c r="AR4" s="469">
        <v>25</v>
      </c>
      <c r="AS4" s="469" t="s">
        <v>28</v>
      </c>
    </row>
    <row r="5" spans="1:45" ht="18" customHeight="1" thickBot="1" x14ac:dyDescent="0.25">
      <c r="E5" s="478"/>
      <c r="F5" s="478"/>
      <c r="G5" s="479"/>
      <c r="H5" s="480"/>
      <c r="I5" s="481"/>
      <c r="J5" s="479"/>
      <c r="K5" s="482">
        <v>0.05</v>
      </c>
      <c r="L5" s="483"/>
      <c r="M5" s="780"/>
      <c r="N5" s="484"/>
      <c r="O5" s="485"/>
      <c r="P5" s="782"/>
      <c r="Q5" s="782"/>
      <c r="R5" s="486"/>
      <c r="S5" s="784"/>
      <c r="T5" s="487"/>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9"/>
    </row>
    <row r="6" spans="1:45" ht="13.35" customHeight="1" thickBot="1" x14ac:dyDescent="0.25">
      <c r="A6" s="490" t="s">
        <v>41</v>
      </c>
      <c r="B6" s="490" t="s">
        <v>41</v>
      </c>
      <c r="C6" s="490" t="s">
        <v>41</v>
      </c>
      <c r="D6" s="491" t="s">
        <v>79</v>
      </c>
      <c r="E6" s="492"/>
      <c r="F6" s="492"/>
      <c r="G6" s="493"/>
      <c r="H6" s="494"/>
      <c r="I6" s="495"/>
      <c r="J6" s="493"/>
      <c r="K6" s="496"/>
      <c r="L6" s="497"/>
      <c r="M6" s="498"/>
      <c r="N6" s="498"/>
      <c r="O6" s="498"/>
      <c r="P6" s="493"/>
      <c r="Q6" s="493"/>
      <c r="R6" s="499"/>
      <c r="S6" s="500"/>
      <c r="T6" s="50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502"/>
    </row>
    <row r="7" spans="1:45" ht="15.95" customHeight="1" thickBot="1" x14ac:dyDescent="0.25">
      <c r="A7" s="775">
        <f>'Option C'!A7</f>
        <v>1</v>
      </c>
      <c r="B7" s="503" t="s">
        <v>80</v>
      </c>
      <c r="C7" s="504">
        <f>IF('Option C'!B7="x",'Option C'!C7,0)</f>
        <v>0</v>
      </c>
      <c r="D7" s="505">
        <f>IF('Option C'!B7="x",'Option C'!D7, 0)</f>
        <v>0</v>
      </c>
      <c r="E7" s="506"/>
      <c r="F7" s="506">
        <f>IF('Option C'!$B7="x",'Option C'!J7,0)</f>
        <v>0</v>
      </c>
      <c r="G7" s="506">
        <f>IF('Option C'!$B7="x",'Option C'!K7,0)</f>
        <v>0</v>
      </c>
      <c r="H7" s="507">
        <f>IF('Option C'!$B7="x",'Option C'!L7,0)</f>
        <v>0</v>
      </c>
      <c r="I7" s="507">
        <f>IF('Option C'!$B7="x",'Option C'!M7,0)</f>
        <v>0</v>
      </c>
      <c r="J7" s="508"/>
      <c r="K7" s="509">
        <f>J7*(1+$K$5)</f>
        <v>0</v>
      </c>
      <c r="L7" s="510"/>
      <c r="M7" s="511">
        <f>'ECM Options Lifecycle'!N12</f>
        <v>0</v>
      </c>
      <c r="N7" s="512">
        <f>IF(D7=0,0,(VLOOKUP(D7,'Technology Inputs'!$D$44:$E$172,2,FALSE)))</f>
        <v>0</v>
      </c>
      <c r="O7" s="513"/>
      <c r="P7" s="512">
        <f>IF(D7=0,0,(ROUNDUP(VLOOKUP(D7,'Technology Inputs'!$D$44:$E$172,2,FALSE),0)))</f>
        <v>0</v>
      </c>
      <c r="Q7" s="514">
        <v>1</v>
      </c>
      <c r="R7" s="515"/>
      <c r="S7" s="516">
        <f>I7*Q7</f>
        <v>0</v>
      </c>
      <c r="T7" s="517">
        <f t="shared" ref="T7:AR7" si="0">IF(T$4&lt;$M7,0,IF($P7=0,0,IF(T$4=$M7,$S7,IF((T$4-$M7)/$P7=INT((T$4-$M7)/$P7),$S7,0))))-IF(T$4=$M7, $S7, 0)</f>
        <v>0</v>
      </c>
      <c r="U7" s="517">
        <f t="shared" si="0"/>
        <v>0</v>
      </c>
      <c r="V7" s="517">
        <f t="shared" si="0"/>
        <v>0</v>
      </c>
      <c r="W7" s="517">
        <f t="shared" si="0"/>
        <v>0</v>
      </c>
      <c r="X7" s="517">
        <f t="shared" si="0"/>
        <v>0</v>
      </c>
      <c r="Y7" s="517">
        <f t="shared" si="0"/>
        <v>0</v>
      </c>
      <c r="Z7" s="517">
        <f t="shared" si="0"/>
        <v>0</v>
      </c>
      <c r="AA7" s="517">
        <f t="shared" si="0"/>
        <v>0</v>
      </c>
      <c r="AB7" s="517">
        <f t="shared" si="0"/>
        <v>0</v>
      </c>
      <c r="AC7" s="517">
        <f t="shared" si="0"/>
        <v>0</v>
      </c>
      <c r="AD7" s="517">
        <f t="shared" si="0"/>
        <v>0</v>
      </c>
      <c r="AE7" s="517">
        <f t="shared" si="0"/>
        <v>0</v>
      </c>
      <c r="AF7" s="517">
        <f t="shared" si="0"/>
        <v>0</v>
      </c>
      <c r="AG7" s="517">
        <f t="shared" si="0"/>
        <v>0</v>
      </c>
      <c r="AH7" s="517">
        <f t="shared" si="0"/>
        <v>0</v>
      </c>
      <c r="AI7" s="517">
        <f t="shared" si="0"/>
        <v>0</v>
      </c>
      <c r="AJ7" s="517">
        <f t="shared" si="0"/>
        <v>0</v>
      </c>
      <c r="AK7" s="517">
        <f t="shared" si="0"/>
        <v>0</v>
      </c>
      <c r="AL7" s="517">
        <f t="shared" si="0"/>
        <v>0</v>
      </c>
      <c r="AM7" s="517">
        <f t="shared" si="0"/>
        <v>0</v>
      </c>
      <c r="AN7" s="517">
        <f t="shared" si="0"/>
        <v>0</v>
      </c>
      <c r="AO7" s="517">
        <f t="shared" si="0"/>
        <v>0</v>
      </c>
      <c r="AP7" s="517">
        <f t="shared" si="0"/>
        <v>0</v>
      </c>
      <c r="AQ7" s="517">
        <f t="shared" si="0"/>
        <v>0</v>
      </c>
      <c r="AR7" s="517">
        <f t="shared" si="0"/>
        <v>0</v>
      </c>
      <c r="AS7" s="518">
        <f t="shared" ref="AS7:AS33" si="1">SUM(T7:AR7)</f>
        <v>0</v>
      </c>
    </row>
    <row r="8" spans="1:45" ht="14.45" customHeight="1" x14ac:dyDescent="0.2">
      <c r="A8" s="775"/>
      <c r="B8" s="503" t="s">
        <v>81</v>
      </c>
      <c r="C8" s="503" t="b">
        <f>IF('Option C'!$B7="x",IF('Option C'!$E7="Yes", 'Option C'!G7),0)</f>
        <v>0</v>
      </c>
      <c r="D8" s="503" t="b">
        <f>IF('Option C'!$B7="x",IF('Option C'!$E7="Yes", 'Option C'!H7),0)</f>
        <v>0</v>
      </c>
      <c r="E8" s="519">
        <f>IF('Option C'!$B7="x",'ECM Options Lifecycle'!F13,0)</f>
        <v>0</v>
      </c>
      <c r="F8" s="519">
        <f>IF('Option C'!$B7="x",'ECM Options Lifecycle'!G13,0)</f>
        <v>0</v>
      </c>
      <c r="G8" s="520" t="str">
        <f>IF('Option C'!$B7="x",'ECM Options Lifecycle'!H13,0)</f>
        <v xml:space="preserve"> </v>
      </c>
      <c r="H8" s="521">
        <f>IF('Option C'!$B7="x",'ECM Options Lifecycle'!I13,0)</f>
        <v>0</v>
      </c>
      <c r="I8" s="522">
        <f>F8*H8</f>
        <v>0</v>
      </c>
      <c r="J8" s="523"/>
      <c r="K8" s="524"/>
      <c r="L8" s="525"/>
      <c r="M8" s="511">
        <f>'ECM Options Lifecycle'!N13</f>
        <v>0</v>
      </c>
      <c r="N8" s="526">
        <f>'Option C'!I7</f>
        <v>0</v>
      </c>
      <c r="O8" s="523"/>
      <c r="P8" s="526">
        <f>ROUNDUP(N8, 0)</f>
        <v>0</v>
      </c>
      <c r="Q8" s="527">
        <v>1</v>
      </c>
      <c r="R8" s="528"/>
      <c r="S8" s="516">
        <f>I8*Q8</f>
        <v>0</v>
      </c>
      <c r="T8" s="517">
        <f t="shared" ref="T8:AR8" si="2">IF(T$4&lt;$M8,0,IF($P8=0,0,IF(T$4=$M8,$S8,IF((T$4-$M8)/$P8=INT((T$4-$M8)/$P8),$S8,0))))</f>
        <v>0</v>
      </c>
      <c r="U8" s="517">
        <f t="shared" si="2"/>
        <v>0</v>
      </c>
      <c r="V8" s="517">
        <f t="shared" si="2"/>
        <v>0</v>
      </c>
      <c r="W8" s="517">
        <f t="shared" si="2"/>
        <v>0</v>
      </c>
      <c r="X8" s="517">
        <f t="shared" si="2"/>
        <v>0</v>
      </c>
      <c r="Y8" s="517">
        <f t="shared" si="2"/>
        <v>0</v>
      </c>
      <c r="Z8" s="517">
        <f t="shared" si="2"/>
        <v>0</v>
      </c>
      <c r="AA8" s="517">
        <f t="shared" si="2"/>
        <v>0</v>
      </c>
      <c r="AB8" s="517">
        <f t="shared" si="2"/>
        <v>0</v>
      </c>
      <c r="AC8" s="517">
        <f t="shared" si="2"/>
        <v>0</v>
      </c>
      <c r="AD8" s="517">
        <f t="shared" si="2"/>
        <v>0</v>
      </c>
      <c r="AE8" s="517">
        <f t="shared" si="2"/>
        <v>0</v>
      </c>
      <c r="AF8" s="517">
        <f t="shared" si="2"/>
        <v>0</v>
      </c>
      <c r="AG8" s="517">
        <f t="shared" si="2"/>
        <v>0</v>
      </c>
      <c r="AH8" s="517">
        <f t="shared" si="2"/>
        <v>0</v>
      </c>
      <c r="AI8" s="517">
        <f t="shared" si="2"/>
        <v>0</v>
      </c>
      <c r="AJ8" s="517">
        <f t="shared" si="2"/>
        <v>0</v>
      </c>
      <c r="AK8" s="517">
        <f t="shared" si="2"/>
        <v>0</v>
      </c>
      <c r="AL8" s="517">
        <f t="shared" si="2"/>
        <v>0</v>
      </c>
      <c r="AM8" s="517">
        <f t="shared" si="2"/>
        <v>0</v>
      </c>
      <c r="AN8" s="517">
        <f t="shared" si="2"/>
        <v>0</v>
      </c>
      <c r="AO8" s="517">
        <f t="shared" si="2"/>
        <v>0</v>
      </c>
      <c r="AP8" s="517">
        <f t="shared" si="2"/>
        <v>0</v>
      </c>
      <c r="AQ8" s="517">
        <f t="shared" si="2"/>
        <v>0</v>
      </c>
      <c r="AR8" s="517">
        <f t="shared" si="2"/>
        <v>0</v>
      </c>
      <c r="AS8" s="518">
        <f t="shared" si="1"/>
        <v>0</v>
      </c>
    </row>
    <row r="9" spans="1:45" ht="11.1" customHeight="1" thickBot="1" x14ac:dyDescent="0.25">
      <c r="A9" s="775"/>
      <c r="B9" s="503" t="s">
        <v>82</v>
      </c>
      <c r="C9" s="529"/>
      <c r="D9" s="530"/>
      <c r="E9" s="531"/>
      <c r="F9" s="531"/>
      <c r="G9" s="532"/>
      <c r="H9" s="533"/>
      <c r="I9" s="534"/>
      <c r="J9" s="535"/>
      <c r="K9" s="536"/>
      <c r="L9" s="537"/>
      <c r="M9" s="538"/>
      <c r="N9" s="535"/>
      <c r="O9" s="535"/>
      <c r="P9" s="538"/>
      <c r="Q9" s="539"/>
      <c r="R9" s="540"/>
      <c r="S9" s="541"/>
      <c r="T9" s="517">
        <f>T7-T8</f>
        <v>0</v>
      </c>
      <c r="U9" s="517">
        <f t="shared" ref="U9:AR9" si="3">U7-U8</f>
        <v>0</v>
      </c>
      <c r="V9" s="517">
        <f t="shared" si="3"/>
        <v>0</v>
      </c>
      <c r="W9" s="517">
        <f t="shared" si="3"/>
        <v>0</v>
      </c>
      <c r="X9" s="517">
        <f t="shared" si="3"/>
        <v>0</v>
      </c>
      <c r="Y9" s="517">
        <f t="shared" si="3"/>
        <v>0</v>
      </c>
      <c r="Z9" s="517">
        <f t="shared" si="3"/>
        <v>0</v>
      </c>
      <c r="AA9" s="517">
        <f t="shared" si="3"/>
        <v>0</v>
      </c>
      <c r="AB9" s="517">
        <f t="shared" si="3"/>
        <v>0</v>
      </c>
      <c r="AC9" s="517">
        <f t="shared" si="3"/>
        <v>0</v>
      </c>
      <c r="AD9" s="517">
        <f t="shared" si="3"/>
        <v>0</v>
      </c>
      <c r="AE9" s="517">
        <f t="shared" si="3"/>
        <v>0</v>
      </c>
      <c r="AF9" s="517">
        <f t="shared" si="3"/>
        <v>0</v>
      </c>
      <c r="AG9" s="517">
        <f t="shared" si="3"/>
        <v>0</v>
      </c>
      <c r="AH9" s="517">
        <f t="shared" si="3"/>
        <v>0</v>
      </c>
      <c r="AI9" s="517">
        <f t="shared" si="3"/>
        <v>0</v>
      </c>
      <c r="AJ9" s="517">
        <f t="shared" si="3"/>
        <v>0</v>
      </c>
      <c r="AK9" s="517">
        <f t="shared" si="3"/>
        <v>0</v>
      </c>
      <c r="AL9" s="517">
        <f t="shared" si="3"/>
        <v>0</v>
      </c>
      <c r="AM9" s="517">
        <f t="shared" si="3"/>
        <v>0</v>
      </c>
      <c r="AN9" s="517">
        <f t="shared" si="3"/>
        <v>0</v>
      </c>
      <c r="AO9" s="517">
        <f t="shared" si="3"/>
        <v>0</v>
      </c>
      <c r="AP9" s="517">
        <f t="shared" si="3"/>
        <v>0</v>
      </c>
      <c r="AQ9" s="517">
        <f t="shared" si="3"/>
        <v>0</v>
      </c>
      <c r="AR9" s="517">
        <f t="shared" si="3"/>
        <v>0</v>
      </c>
      <c r="AS9" s="518">
        <f t="shared" si="1"/>
        <v>0</v>
      </c>
    </row>
    <row r="10" spans="1:45" ht="15.95" customHeight="1" thickBot="1" x14ac:dyDescent="0.25">
      <c r="A10" s="775">
        <f>'Option C'!A8</f>
        <v>2</v>
      </c>
      <c r="B10" s="503" t="s">
        <v>80</v>
      </c>
      <c r="C10" s="504">
        <f>IF('Option C'!$B8="x",'Option C'!C8,0)</f>
        <v>0</v>
      </c>
      <c r="D10" s="504">
        <f>IF('Option C'!$B8="x",'Option C'!D8,0)</f>
        <v>0</v>
      </c>
      <c r="E10" s="542"/>
      <c r="F10" s="542">
        <f>IF('Option C'!$B8="x",'Option C'!J8,0)</f>
        <v>0</v>
      </c>
      <c r="G10" s="542">
        <f>IF('Option C'!$B8="x",'Option C'!K8,0)</f>
        <v>0</v>
      </c>
      <c r="H10" s="542">
        <f>IF('Option C'!$B8="x",'Option C'!L8,0)</f>
        <v>0</v>
      </c>
      <c r="I10" s="543">
        <f>IF('Option C'!$B8="x",'Option C'!M8,0)</f>
        <v>0</v>
      </c>
      <c r="J10" s="508"/>
      <c r="K10" s="509">
        <f>J10*(1+$K$5)</f>
        <v>0</v>
      </c>
      <c r="L10" s="510"/>
      <c r="M10" s="511">
        <f>'ECM Options Lifecycle'!N15</f>
        <v>0</v>
      </c>
      <c r="N10" s="512">
        <f>IF(D10=0,0,(VLOOKUP(D10,'Technology Inputs'!$D$44:$E$172,2,FALSE)))</f>
        <v>0</v>
      </c>
      <c r="O10" s="513"/>
      <c r="P10" s="512">
        <f>IF(D10=0,0,(ROUNDUP(VLOOKUP(D10,'Technology Inputs'!$D$44:$E$172,2,FALSE),0)))</f>
        <v>0</v>
      </c>
      <c r="Q10" s="514">
        <v>1</v>
      </c>
      <c r="R10" s="515"/>
      <c r="S10" s="516">
        <f>I10*Q10</f>
        <v>0</v>
      </c>
      <c r="T10" s="517">
        <f t="shared" ref="T10:AR10" si="4">IF(T$4&lt;$M10,0,IF($P10=0,0,IF(T$4=$M10,$S10,IF((T$4-$M10)/$P10=INT((T$4-$M10)/$P10),$S10,0))))-IF(T$4=$M10, $S10, 0)</f>
        <v>0</v>
      </c>
      <c r="U10" s="517">
        <f t="shared" si="4"/>
        <v>0</v>
      </c>
      <c r="V10" s="517">
        <f t="shared" si="4"/>
        <v>0</v>
      </c>
      <c r="W10" s="517">
        <f t="shared" si="4"/>
        <v>0</v>
      </c>
      <c r="X10" s="517">
        <f t="shared" si="4"/>
        <v>0</v>
      </c>
      <c r="Y10" s="517">
        <f t="shared" si="4"/>
        <v>0</v>
      </c>
      <c r="Z10" s="517">
        <f t="shared" si="4"/>
        <v>0</v>
      </c>
      <c r="AA10" s="517">
        <f t="shared" si="4"/>
        <v>0</v>
      </c>
      <c r="AB10" s="517">
        <f t="shared" si="4"/>
        <v>0</v>
      </c>
      <c r="AC10" s="517">
        <f t="shared" si="4"/>
        <v>0</v>
      </c>
      <c r="AD10" s="517">
        <f t="shared" si="4"/>
        <v>0</v>
      </c>
      <c r="AE10" s="517">
        <f t="shared" si="4"/>
        <v>0</v>
      </c>
      <c r="AF10" s="517">
        <f t="shared" si="4"/>
        <v>0</v>
      </c>
      <c r="AG10" s="517">
        <f t="shared" si="4"/>
        <v>0</v>
      </c>
      <c r="AH10" s="517">
        <f t="shared" si="4"/>
        <v>0</v>
      </c>
      <c r="AI10" s="517">
        <f t="shared" si="4"/>
        <v>0</v>
      </c>
      <c r="AJ10" s="517">
        <f t="shared" si="4"/>
        <v>0</v>
      </c>
      <c r="AK10" s="517">
        <f t="shared" si="4"/>
        <v>0</v>
      </c>
      <c r="AL10" s="517">
        <f t="shared" si="4"/>
        <v>0</v>
      </c>
      <c r="AM10" s="517">
        <f t="shared" si="4"/>
        <v>0</v>
      </c>
      <c r="AN10" s="517">
        <f t="shared" si="4"/>
        <v>0</v>
      </c>
      <c r="AO10" s="517">
        <f t="shared" si="4"/>
        <v>0</v>
      </c>
      <c r="AP10" s="517">
        <f t="shared" si="4"/>
        <v>0</v>
      </c>
      <c r="AQ10" s="517">
        <f t="shared" si="4"/>
        <v>0</v>
      </c>
      <c r="AR10" s="517">
        <f t="shared" si="4"/>
        <v>0</v>
      </c>
      <c r="AS10" s="518">
        <f t="shared" si="1"/>
        <v>0</v>
      </c>
    </row>
    <row r="11" spans="1:45" ht="14.45" customHeight="1" x14ac:dyDescent="0.2">
      <c r="A11" s="775"/>
      <c r="B11" s="503" t="s">
        <v>81</v>
      </c>
      <c r="C11" s="503">
        <f>IF('Option C'!$B8="x",IF('Option C'!$E8="Yes", 'Option C'!G8),0)</f>
        <v>0</v>
      </c>
      <c r="D11" s="503">
        <f>IF('Option C'!$B8="x",IF('Option C'!$E8="Yes", 'Option C'!H8),0)</f>
        <v>0</v>
      </c>
      <c r="E11" s="519">
        <f>IF('Option C'!$B8="x",'ECM Options Lifecycle'!F16,0)</f>
        <v>0</v>
      </c>
      <c r="F11" s="519">
        <f>IF('Option C'!$B8="x",'ECM Options Lifecycle'!G16,0)</f>
        <v>0</v>
      </c>
      <c r="G11" s="520">
        <f>IF('Option C'!$B8="x",'ECM Options Lifecycle'!H16,0)</f>
        <v>0</v>
      </c>
      <c r="H11" s="521">
        <f>IF('Option C'!$B8="x",'ECM Options Lifecycle'!I16,0)</f>
        <v>0</v>
      </c>
      <c r="I11" s="522">
        <f>F11*H11</f>
        <v>0</v>
      </c>
      <c r="J11" s="523"/>
      <c r="K11" s="524"/>
      <c r="L11" s="525"/>
      <c r="M11" s="511">
        <f>'ECM Options Lifecycle'!N16</f>
        <v>0</v>
      </c>
      <c r="N11" s="526">
        <f>'Option C'!I8</f>
        <v>0</v>
      </c>
      <c r="O11" s="523"/>
      <c r="P11" s="526">
        <f>ROUNDUP(N11, 0)</f>
        <v>0</v>
      </c>
      <c r="Q11" s="527">
        <v>1</v>
      </c>
      <c r="R11" s="528"/>
      <c r="S11" s="516">
        <f>I11*Q11</f>
        <v>0</v>
      </c>
      <c r="T11" s="517">
        <f t="shared" ref="T11:AR11" si="5">IF(T$4&lt;$M11,0,IF($P11=0,0,IF(T$4=$M11,$S11,IF((T$4-$M11)/$P11=INT((T$4-$M11)/$P11),$S11,0))))</f>
        <v>0</v>
      </c>
      <c r="U11" s="517">
        <f t="shared" si="5"/>
        <v>0</v>
      </c>
      <c r="V11" s="517">
        <f t="shared" si="5"/>
        <v>0</v>
      </c>
      <c r="W11" s="517">
        <f t="shared" si="5"/>
        <v>0</v>
      </c>
      <c r="X11" s="517">
        <f t="shared" si="5"/>
        <v>0</v>
      </c>
      <c r="Y11" s="517">
        <f t="shared" si="5"/>
        <v>0</v>
      </c>
      <c r="Z11" s="517">
        <f t="shared" si="5"/>
        <v>0</v>
      </c>
      <c r="AA11" s="517">
        <f t="shared" si="5"/>
        <v>0</v>
      </c>
      <c r="AB11" s="517">
        <f t="shared" si="5"/>
        <v>0</v>
      </c>
      <c r="AC11" s="517">
        <f t="shared" si="5"/>
        <v>0</v>
      </c>
      <c r="AD11" s="517">
        <f t="shared" si="5"/>
        <v>0</v>
      </c>
      <c r="AE11" s="517">
        <f t="shared" si="5"/>
        <v>0</v>
      </c>
      <c r="AF11" s="517">
        <f t="shared" si="5"/>
        <v>0</v>
      </c>
      <c r="AG11" s="517">
        <f t="shared" si="5"/>
        <v>0</v>
      </c>
      <c r="AH11" s="517">
        <f t="shared" si="5"/>
        <v>0</v>
      </c>
      <c r="AI11" s="517">
        <f t="shared" si="5"/>
        <v>0</v>
      </c>
      <c r="AJ11" s="517">
        <f t="shared" si="5"/>
        <v>0</v>
      </c>
      <c r="AK11" s="517">
        <f t="shared" si="5"/>
        <v>0</v>
      </c>
      <c r="AL11" s="517">
        <f t="shared" si="5"/>
        <v>0</v>
      </c>
      <c r="AM11" s="517">
        <f t="shared" si="5"/>
        <v>0</v>
      </c>
      <c r="AN11" s="517">
        <f t="shared" si="5"/>
        <v>0</v>
      </c>
      <c r="AO11" s="517">
        <f t="shared" si="5"/>
        <v>0</v>
      </c>
      <c r="AP11" s="517">
        <f t="shared" si="5"/>
        <v>0</v>
      </c>
      <c r="AQ11" s="517">
        <f t="shared" si="5"/>
        <v>0</v>
      </c>
      <c r="AR11" s="517">
        <f t="shared" si="5"/>
        <v>0</v>
      </c>
      <c r="AS11" s="518">
        <f t="shared" si="1"/>
        <v>0</v>
      </c>
    </row>
    <row r="12" spans="1:45" ht="11.1" customHeight="1" thickBot="1" x14ac:dyDescent="0.25">
      <c r="A12" s="775"/>
      <c r="B12" s="503" t="s">
        <v>82</v>
      </c>
      <c r="C12" s="529"/>
      <c r="D12" s="530"/>
      <c r="E12" s="531"/>
      <c r="F12" s="531"/>
      <c r="G12" s="532"/>
      <c r="H12" s="533"/>
      <c r="I12" s="534"/>
      <c r="J12" s="535"/>
      <c r="K12" s="536"/>
      <c r="L12" s="537"/>
      <c r="M12" s="538"/>
      <c r="N12" s="535"/>
      <c r="O12" s="535"/>
      <c r="P12" s="538"/>
      <c r="Q12" s="539"/>
      <c r="R12" s="540"/>
      <c r="S12" s="541"/>
      <c r="T12" s="517">
        <f>T10-T11</f>
        <v>0</v>
      </c>
      <c r="U12" s="517">
        <f t="shared" ref="U12:AR12" si="6">U10-U11</f>
        <v>0</v>
      </c>
      <c r="V12" s="517">
        <f t="shared" si="6"/>
        <v>0</v>
      </c>
      <c r="W12" s="517">
        <f t="shared" si="6"/>
        <v>0</v>
      </c>
      <c r="X12" s="517">
        <f t="shared" si="6"/>
        <v>0</v>
      </c>
      <c r="Y12" s="517">
        <f t="shared" si="6"/>
        <v>0</v>
      </c>
      <c r="Z12" s="517">
        <f t="shared" si="6"/>
        <v>0</v>
      </c>
      <c r="AA12" s="517">
        <f t="shared" si="6"/>
        <v>0</v>
      </c>
      <c r="AB12" s="517">
        <f t="shared" si="6"/>
        <v>0</v>
      </c>
      <c r="AC12" s="517">
        <f t="shared" si="6"/>
        <v>0</v>
      </c>
      <c r="AD12" s="517">
        <f t="shared" si="6"/>
        <v>0</v>
      </c>
      <c r="AE12" s="517">
        <f t="shared" si="6"/>
        <v>0</v>
      </c>
      <c r="AF12" s="517">
        <f t="shared" si="6"/>
        <v>0</v>
      </c>
      <c r="AG12" s="517">
        <f t="shared" si="6"/>
        <v>0</v>
      </c>
      <c r="AH12" s="517">
        <f t="shared" si="6"/>
        <v>0</v>
      </c>
      <c r="AI12" s="517">
        <f t="shared" si="6"/>
        <v>0</v>
      </c>
      <c r="AJ12" s="517">
        <f t="shared" si="6"/>
        <v>0</v>
      </c>
      <c r="AK12" s="517">
        <f t="shared" si="6"/>
        <v>0</v>
      </c>
      <c r="AL12" s="517">
        <f t="shared" si="6"/>
        <v>0</v>
      </c>
      <c r="AM12" s="517">
        <f t="shared" si="6"/>
        <v>0</v>
      </c>
      <c r="AN12" s="517">
        <f t="shared" si="6"/>
        <v>0</v>
      </c>
      <c r="AO12" s="517">
        <f t="shared" si="6"/>
        <v>0</v>
      </c>
      <c r="AP12" s="517">
        <f t="shared" si="6"/>
        <v>0</v>
      </c>
      <c r="AQ12" s="517">
        <f t="shared" si="6"/>
        <v>0</v>
      </c>
      <c r="AR12" s="517">
        <f t="shared" si="6"/>
        <v>0</v>
      </c>
      <c r="AS12" s="518">
        <f t="shared" si="1"/>
        <v>0</v>
      </c>
    </row>
    <row r="13" spans="1:45" ht="15.95" customHeight="1" thickBot="1" x14ac:dyDescent="0.25">
      <c r="A13" s="775">
        <f>'Option C'!A9</f>
        <v>3</v>
      </c>
      <c r="B13" s="503" t="s">
        <v>80</v>
      </c>
      <c r="C13" s="504">
        <f>IF('Option C'!$B9="x",'Option C'!C9,0)</f>
        <v>0</v>
      </c>
      <c r="D13" s="504">
        <f>IF('Option C'!$B9="x",'Option C'!D9,0)</f>
        <v>0</v>
      </c>
      <c r="E13" s="542"/>
      <c r="F13" s="542">
        <f>IF('Option C'!$B9="x",'Option C'!J9,0)</f>
        <v>0</v>
      </c>
      <c r="G13" s="542">
        <f>IF('Option C'!$B9="x",'Option C'!K9,0)</f>
        <v>0</v>
      </c>
      <c r="H13" s="542">
        <f>IF('Option C'!$B9="x",'Option C'!L9,0)</f>
        <v>0</v>
      </c>
      <c r="I13" s="543">
        <f>IF('Option C'!$B9="x",'Option C'!M9,0)</f>
        <v>0</v>
      </c>
      <c r="J13" s="508"/>
      <c r="K13" s="509">
        <f>J13*(1+$K$5)</f>
        <v>0</v>
      </c>
      <c r="L13" s="510"/>
      <c r="M13" s="511">
        <f>'ECM Options Lifecycle'!N18</f>
        <v>0</v>
      </c>
      <c r="N13" s="512">
        <f>IF(D13=0,0,(VLOOKUP(D13,'Technology Inputs'!$D$44:$E$172,2,FALSE)))</f>
        <v>0</v>
      </c>
      <c r="O13" s="513"/>
      <c r="P13" s="512">
        <f>IF(D13=0,0,(ROUNDUP(VLOOKUP(D13,'Technology Inputs'!$D$44:$E$172,2,FALSE),0)))</f>
        <v>0</v>
      </c>
      <c r="Q13" s="514">
        <v>1</v>
      </c>
      <c r="R13" s="515"/>
      <c r="S13" s="516">
        <f>I13*Q13</f>
        <v>0</v>
      </c>
      <c r="T13" s="517">
        <f t="shared" ref="T13:AR13" si="7">IF(T$4&lt;$M13,0,IF($P13=0,0,IF(T$4=$M13,$S13,IF((T$4-$M13)/$P13=INT((T$4-$M13)/$P13),$S13,0))))-IF(T$4=$M13, $S13, 0)</f>
        <v>0</v>
      </c>
      <c r="U13" s="517">
        <f t="shared" si="7"/>
        <v>0</v>
      </c>
      <c r="V13" s="517">
        <f t="shared" si="7"/>
        <v>0</v>
      </c>
      <c r="W13" s="517">
        <f t="shared" si="7"/>
        <v>0</v>
      </c>
      <c r="X13" s="517">
        <f t="shared" si="7"/>
        <v>0</v>
      </c>
      <c r="Y13" s="517">
        <f t="shared" si="7"/>
        <v>0</v>
      </c>
      <c r="Z13" s="517">
        <f t="shared" si="7"/>
        <v>0</v>
      </c>
      <c r="AA13" s="517">
        <f t="shared" si="7"/>
        <v>0</v>
      </c>
      <c r="AB13" s="517">
        <f t="shared" si="7"/>
        <v>0</v>
      </c>
      <c r="AC13" s="517">
        <f t="shared" si="7"/>
        <v>0</v>
      </c>
      <c r="AD13" s="517">
        <f t="shared" si="7"/>
        <v>0</v>
      </c>
      <c r="AE13" s="517">
        <f t="shared" si="7"/>
        <v>0</v>
      </c>
      <c r="AF13" s="517">
        <f t="shared" si="7"/>
        <v>0</v>
      </c>
      <c r="AG13" s="517">
        <f t="shared" si="7"/>
        <v>0</v>
      </c>
      <c r="AH13" s="517">
        <f t="shared" si="7"/>
        <v>0</v>
      </c>
      <c r="AI13" s="517">
        <f t="shared" si="7"/>
        <v>0</v>
      </c>
      <c r="AJ13" s="517">
        <f t="shared" si="7"/>
        <v>0</v>
      </c>
      <c r="AK13" s="517">
        <f t="shared" si="7"/>
        <v>0</v>
      </c>
      <c r="AL13" s="517">
        <f t="shared" si="7"/>
        <v>0</v>
      </c>
      <c r="AM13" s="517">
        <f t="shared" si="7"/>
        <v>0</v>
      </c>
      <c r="AN13" s="517">
        <f t="shared" si="7"/>
        <v>0</v>
      </c>
      <c r="AO13" s="517">
        <f t="shared" si="7"/>
        <v>0</v>
      </c>
      <c r="AP13" s="517">
        <f t="shared" si="7"/>
        <v>0</v>
      </c>
      <c r="AQ13" s="517">
        <f t="shared" si="7"/>
        <v>0</v>
      </c>
      <c r="AR13" s="517">
        <f t="shared" si="7"/>
        <v>0</v>
      </c>
      <c r="AS13" s="518">
        <f t="shared" si="1"/>
        <v>0</v>
      </c>
    </row>
    <row r="14" spans="1:45" ht="14.45" customHeight="1" x14ac:dyDescent="0.2">
      <c r="A14" s="775"/>
      <c r="B14" s="503" t="s">
        <v>81</v>
      </c>
      <c r="C14" s="503">
        <f>IF('Option C'!$B9="x",IF('Option C'!$E9="Yes", 'Option C'!G9),0)</f>
        <v>0</v>
      </c>
      <c r="D14" s="503">
        <f>IF('Option C'!$B9="x",IF('Option C'!$E9="Yes", 'Option C'!H9),0)</f>
        <v>0</v>
      </c>
      <c r="E14" s="519">
        <f>IF('Option C'!$B9="x",'ECM Options Lifecycle'!F19,0)</f>
        <v>0</v>
      </c>
      <c r="F14" s="519">
        <f>IF('Option C'!$B9="x",'ECM Options Lifecycle'!G19,0)</f>
        <v>0</v>
      </c>
      <c r="G14" s="520">
        <f>IF('Option C'!$B9="x",'ECM Options Lifecycle'!H19,0)</f>
        <v>0</v>
      </c>
      <c r="H14" s="521">
        <f>IF('Option C'!$B9="x",'ECM Options Lifecycle'!I19,0)</f>
        <v>0</v>
      </c>
      <c r="I14" s="522">
        <f>F14*H14</f>
        <v>0</v>
      </c>
      <c r="J14" s="523"/>
      <c r="K14" s="524"/>
      <c r="L14" s="525"/>
      <c r="M14" s="511">
        <f>'ECM Options Lifecycle'!N19</f>
        <v>0</v>
      </c>
      <c r="N14" s="526">
        <f>'Option C'!I9</f>
        <v>0</v>
      </c>
      <c r="O14" s="523"/>
      <c r="P14" s="526">
        <f>ROUNDUP(N14, 0)</f>
        <v>0</v>
      </c>
      <c r="Q14" s="527">
        <v>1</v>
      </c>
      <c r="R14" s="528"/>
      <c r="S14" s="516">
        <f>I14*Q14</f>
        <v>0</v>
      </c>
      <c r="T14" s="517">
        <f t="shared" ref="T14:AR14" si="8">IF(T$4&lt;$M14,0,IF($P14=0,0,IF(T$4=$M14,$S14,IF((T$4-$M14)/$P14=INT((T$4-$M14)/$P14),$S14,0))))</f>
        <v>0</v>
      </c>
      <c r="U14" s="517">
        <f t="shared" si="8"/>
        <v>0</v>
      </c>
      <c r="V14" s="517">
        <f t="shared" si="8"/>
        <v>0</v>
      </c>
      <c r="W14" s="517">
        <f t="shared" si="8"/>
        <v>0</v>
      </c>
      <c r="X14" s="517">
        <f t="shared" si="8"/>
        <v>0</v>
      </c>
      <c r="Y14" s="517">
        <f t="shared" si="8"/>
        <v>0</v>
      </c>
      <c r="Z14" s="517">
        <f t="shared" si="8"/>
        <v>0</v>
      </c>
      <c r="AA14" s="517">
        <f t="shared" si="8"/>
        <v>0</v>
      </c>
      <c r="AB14" s="517">
        <f t="shared" si="8"/>
        <v>0</v>
      </c>
      <c r="AC14" s="517">
        <f t="shared" si="8"/>
        <v>0</v>
      </c>
      <c r="AD14" s="517">
        <f t="shared" si="8"/>
        <v>0</v>
      </c>
      <c r="AE14" s="517">
        <f t="shared" si="8"/>
        <v>0</v>
      </c>
      <c r="AF14" s="517">
        <f t="shared" si="8"/>
        <v>0</v>
      </c>
      <c r="AG14" s="517">
        <f t="shared" si="8"/>
        <v>0</v>
      </c>
      <c r="AH14" s="517">
        <f t="shared" si="8"/>
        <v>0</v>
      </c>
      <c r="AI14" s="517">
        <f t="shared" si="8"/>
        <v>0</v>
      </c>
      <c r="AJ14" s="517">
        <f t="shared" si="8"/>
        <v>0</v>
      </c>
      <c r="AK14" s="517">
        <f t="shared" si="8"/>
        <v>0</v>
      </c>
      <c r="AL14" s="517">
        <f t="shared" si="8"/>
        <v>0</v>
      </c>
      <c r="AM14" s="517">
        <f t="shared" si="8"/>
        <v>0</v>
      </c>
      <c r="AN14" s="517">
        <f t="shared" si="8"/>
        <v>0</v>
      </c>
      <c r="AO14" s="517">
        <f t="shared" si="8"/>
        <v>0</v>
      </c>
      <c r="AP14" s="517">
        <f t="shared" si="8"/>
        <v>0</v>
      </c>
      <c r="AQ14" s="517">
        <f t="shared" si="8"/>
        <v>0</v>
      </c>
      <c r="AR14" s="517">
        <f t="shared" si="8"/>
        <v>0</v>
      </c>
      <c r="AS14" s="518">
        <f t="shared" si="1"/>
        <v>0</v>
      </c>
    </row>
    <row r="15" spans="1:45" ht="11.1" customHeight="1" thickBot="1" x14ac:dyDescent="0.25">
      <c r="A15" s="775"/>
      <c r="B15" s="503" t="s">
        <v>82</v>
      </c>
      <c r="C15" s="529"/>
      <c r="D15" s="530"/>
      <c r="E15" s="531"/>
      <c r="F15" s="531"/>
      <c r="G15" s="532"/>
      <c r="H15" s="533"/>
      <c r="I15" s="534"/>
      <c r="J15" s="535"/>
      <c r="K15" s="536"/>
      <c r="L15" s="537"/>
      <c r="M15" s="538"/>
      <c r="N15" s="535"/>
      <c r="O15" s="535"/>
      <c r="P15" s="538"/>
      <c r="Q15" s="539"/>
      <c r="R15" s="540"/>
      <c r="S15" s="541"/>
      <c r="T15" s="517">
        <f>T13-T14</f>
        <v>0</v>
      </c>
      <c r="U15" s="517">
        <f t="shared" ref="U15:AR15" si="9">U13-U14</f>
        <v>0</v>
      </c>
      <c r="V15" s="517">
        <f t="shared" si="9"/>
        <v>0</v>
      </c>
      <c r="W15" s="517">
        <f t="shared" si="9"/>
        <v>0</v>
      </c>
      <c r="X15" s="517">
        <f t="shared" si="9"/>
        <v>0</v>
      </c>
      <c r="Y15" s="517">
        <f t="shared" si="9"/>
        <v>0</v>
      </c>
      <c r="Z15" s="517">
        <f t="shared" si="9"/>
        <v>0</v>
      </c>
      <c r="AA15" s="517">
        <f t="shared" si="9"/>
        <v>0</v>
      </c>
      <c r="AB15" s="517">
        <f t="shared" si="9"/>
        <v>0</v>
      </c>
      <c r="AC15" s="517">
        <f t="shared" si="9"/>
        <v>0</v>
      </c>
      <c r="AD15" s="517">
        <f t="shared" si="9"/>
        <v>0</v>
      </c>
      <c r="AE15" s="517">
        <f t="shared" si="9"/>
        <v>0</v>
      </c>
      <c r="AF15" s="517">
        <f t="shared" si="9"/>
        <v>0</v>
      </c>
      <c r="AG15" s="517">
        <f t="shared" si="9"/>
        <v>0</v>
      </c>
      <c r="AH15" s="517">
        <f t="shared" si="9"/>
        <v>0</v>
      </c>
      <c r="AI15" s="517">
        <f t="shared" si="9"/>
        <v>0</v>
      </c>
      <c r="AJ15" s="517">
        <f t="shared" si="9"/>
        <v>0</v>
      </c>
      <c r="AK15" s="517">
        <f t="shared" si="9"/>
        <v>0</v>
      </c>
      <c r="AL15" s="517">
        <f t="shared" si="9"/>
        <v>0</v>
      </c>
      <c r="AM15" s="517">
        <f t="shared" si="9"/>
        <v>0</v>
      </c>
      <c r="AN15" s="517">
        <f t="shared" si="9"/>
        <v>0</v>
      </c>
      <c r="AO15" s="517">
        <f t="shared" si="9"/>
        <v>0</v>
      </c>
      <c r="AP15" s="517">
        <f t="shared" si="9"/>
        <v>0</v>
      </c>
      <c r="AQ15" s="517">
        <f t="shared" si="9"/>
        <v>0</v>
      </c>
      <c r="AR15" s="517">
        <f t="shared" si="9"/>
        <v>0</v>
      </c>
      <c r="AS15" s="518">
        <f t="shared" si="1"/>
        <v>0</v>
      </c>
    </row>
    <row r="16" spans="1:45" ht="15.95" customHeight="1" thickBot="1" x14ac:dyDescent="0.25">
      <c r="A16" s="775">
        <f>'Option C'!A10</f>
        <v>4</v>
      </c>
      <c r="B16" s="503" t="s">
        <v>80</v>
      </c>
      <c r="C16" s="504">
        <f>IF('Option C'!B10="x",'Option C'!C10,0)</f>
        <v>0</v>
      </c>
      <c r="D16" s="504">
        <f>IF('Option C'!B10="x",'Option C'!D10,0)</f>
        <v>0</v>
      </c>
      <c r="E16" s="544"/>
      <c r="F16" s="542">
        <f>IF('Option C'!$B10="x",'Option C'!J10,0)</f>
        <v>0</v>
      </c>
      <c r="G16" s="542">
        <f>IF('Option C'!$B10="x",'Option C'!K10,0)</f>
        <v>0</v>
      </c>
      <c r="H16" s="542">
        <f>IF('Option C'!$B10="x",'Option C'!L10,0)</f>
        <v>0</v>
      </c>
      <c r="I16" s="543">
        <f>IF('Option C'!$B10="x",'Option C'!M10,0)</f>
        <v>0</v>
      </c>
      <c r="J16" s="508"/>
      <c r="K16" s="509">
        <f>J16*(1+$K$5)</f>
        <v>0</v>
      </c>
      <c r="L16" s="510"/>
      <c r="M16" s="511">
        <f>'ECM Options Lifecycle'!N21</f>
        <v>0</v>
      </c>
      <c r="N16" s="512">
        <f>IF(D16=0,0,(VLOOKUP(D16,'Technology Inputs'!$D$44:$E$172,2,FALSE)))</f>
        <v>0</v>
      </c>
      <c r="O16" s="513"/>
      <c r="P16" s="512">
        <f>IF(D16=0,0,(ROUNDUP(VLOOKUP(D16,'Technology Inputs'!$D$44:$E$172,2,FALSE),0)))</f>
        <v>0</v>
      </c>
      <c r="Q16" s="514">
        <v>1</v>
      </c>
      <c r="R16" s="515"/>
      <c r="S16" s="516">
        <f>I16*Q16</f>
        <v>0</v>
      </c>
      <c r="T16" s="517">
        <f t="shared" ref="T16:AR16" si="10">IF(T$4&lt;$M16,0,IF($P16=0,0,IF(T$4=$M16,$S16,IF((T$4-$M16)/$P16=INT((T$4-$M16)/$P16),$S16,0))))-IF(T$4=$M16, $S16, 0)</f>
        <v>0</v>
      </c>
      <c r="U16" s="517">
        <f t="shared" si="10"/>
        <v>0</v>
      </c>
      <c r="V16" s="517">
        <f t="shared" si="10"/>
        <v>0</v>
      </c>
      <c r="W16" s="517">
        <f t="shared" si="10"/>
        <v>0</v>
      </c>
      <c r="X16" s="517">
        <f t="shared" si="10"/>
        <v>0</v>
      </c>
      <c r="Y16" s="517">
        <f t="shared" si="10"/>
        <v>0</v>
      </c>
      <c r="Z16" s="517">
        <f t="shared" si="10"/>
        <v>0</v>
      </c>
      <c r="AA16" s="517">
        <f t="shared" si="10"/>
        <v>0</v>
      </c>
      <c r="AB16" s="517">
        <f t="shared" si="10"/>
        <v>0</v>
      </c>
      <c r="AC16" s="517">
        <f t="shared" si="10"/>
        <v>0</v>
      </c>
      <c r="AD16" s="517">
        <f t="shared" si="10"/>
        <v>0</v>
      </c>
      <c r="AE16" s="517">
        <f t="shared" si="10"/>
        <v>0</v>
      </c>
      <c r="AF16" s="517">
        <f t="shared" si="10"/>
        <v>0</v>
      </c>
      <c r="AG16" s="517">
        <f t="shared" si="10"/>
        <v>0</v>
      </c>
      <c r="AH16" s="517">
        <f t="shared" si="10"/>
        <v>0</v>
      </c>
      <c r="AI16" s="517">
        <f t="shared" si="10"/>
        <v>0</v>
      </c>
      <c r="AJ16" s="517">
        <f t="shared" si="10"/>
        <v>0</v>
      </c>
      <c r="AK16" s="517">
        <f t="shared" si="10"/>
        <v>0</v>
      </c>
      <c r="AL16" s="517">
        <f t="shared" si="10"/>
        <v>0</v>
      </c>
      <c r="AM16" s="517">
        <f t="shared" si="10"/>
        <v>0</v>
      </c>
      <c r="AN16" s="517">
        <f t="shared" si="10"/>
        <v>0</v>
      </c>
      <c r="AO16" s="517">
        <f t="shared" si="10"/>
        <v>0</v>
      </c>
      <c r="AP16" s="517">
        <f t="shared" si="10"/>
        <v>0</v>
      </c>
      <c r="AQ16" s="517">
        <f t="shared" si="10"/>
        <v>0</v>
      </c>
      <c r="AR16" s="517">
        <f t="shared" si="10"/>
        <v>0</v>
      </c>
      <c r="AS16" s="518">
        <f t="shared" si="1"/>
        <v>0</v>
      </c>
    </row>
    <row r="17" spans="1:45" ht="14.45" customHeight="1" x14ac:dyDescent="0.2">
      <c r="A17" s="775"/>
      <c r="B17" s="503" t="s">
        <v>81</v>
      </c>
      <c r="C17" s="503">
        <f>IF('Option C'!$B10="x",IF('Option C'!$E10="Yes", 'Option C'!G10),0)</f>
        <v>0</v>
      </c>
      <c r="D17" s="503">
        <f>IF('Option C'!$B10="x",IF('Option C'!$E10="Yes", 'Option C'!H10),0)</f>
        <v>0</v>
      </c>
      <c r="E17" s="519">
        <f>IF('Option C'!$B10="x",'ECM Options Lifecycle'!F22,0)</f>
        <v>0</v>
      </c>
      <c r="F17" s="519">
        <f>IF('Option C'!$B10="x",'ECM Options Lifecycle'!G22,0)</f>
        <v>0</v>
      </c>
      <c r="G17" s="520">
        <f>IF('Option C'!$B10="x",'ECM Options Lifecycle'!H22,0)</f>
        <v>0</v>
      </c>
      <c r="H17" s="521">
        <f>IF('Option C'!$B10="x",'ECM Options Lifecycle'!I22,0)</f>
        <v>0</v>
      </c>
      <c r="I17" s="522">
        <f>F17*H17</f>
        <v>0</v>
      </c>
      <c r="J17" s="523"/>
      <c r="K17" s="524"/>
      <c r="L17" s="525"/>
      <c r="M17" s="511">
        <f>'ECM Options Lifecycle'!N22</f>
        <v>0</v>
      </c>
      <c r="N17" s="526">
        <f>'Option C'!I10</f>
        <v>0</v>
      </c>
      <c r="O17" s="523"/>
      <c r="P17" s="526">
        <f>ROUNDUP(N17, 0)</f>
        <v>0</v>
      </c>
      <c r="Q17" s="527">
        <v>1</v>
      </c>
      <c r="R17" s="528"/>
      <c r="S17" s="516">
        <f>I17*Q17</f>
        <v>0</v>
      </c>
      <c r="T17" s="517">
        <f t="shared" ref="T17:AR17" si="11">IF(T$4&lt;$M17,0,IF($P17=0,0,IF(T$4=$M17,$S17,IF((T$4-$M17)/$P17=INT((T$4-$M17)/$P17),$S17,0))))</f>
        <v>0</v>
      </c>
      <c r="U17" s="517">
        <f t="shared" si="11"/>
        <v>0</v>
      </c>
      <c r="V17" s="517">
        <f t="shared" si="11"/>
        <v>0</v>
      </c>
      <c r="W17" s="517">
        <f t="shared" si="11"/>
        <v>0</v>
      </c>
      <c r="X17" s="517">
        <f t="shared" si="11"/>
        <v>0</v>
      </c>
      <c r="Y17" s="517">
        <f t="shared" si="11"/>
        <v>0</v>
      </c>
      <c r="Z17" s="517">
        <f t="shared" si="11"/>
        <v>0</v>
      </c>
      <c r="AA17" s="517">
        <f t="shared" si="11"/>
        <v>0</v>
      </c>
      <c r="AB17" s="517">
        <f t="shared" si="11"/>
        <v>0</v>
      </c>
      <c r="AC17" s="517">
        <f t="shared" si="11"/>
        <v>0</v>
      </c>
      <c r="AD17" s="517">
        <f t="shared" si="11"/>
        <v>0</v>
      </c>
      <c r="AE17" s="517">
        <f t="shared" si="11"/>
        <v>0</v>
      </c>
      <c r="AF17" s="517">
        <f t="shared" si="11"/>
        <v>0</v>
      </c>
      <c r="AG17" s="517">
        <f t="shared" si="11"/>
        <v>0</v>
      </c>
      <c r="AH17" s="517">
        <f t="shared" si="11"/>
        <v>0</v>
      </c>
      <c r="AI17" s="517">
        <f t="shared" si="11"/>
        <v>0</v>
      </c>
      <c r="AJ17" s="517">
        <f t="shared" si="11"/>
        <v>0</v>
      </c>
      <c r="AK17" s="517">
        <f t="shared" si="11"/>
        <v>0</v>
      </c>
      <c r="AL17" s="517">
        <f t="shared" si="11"/>
        <v>0</v>
      </c>
      <c r="AM17" s="517">
        <f t="shared" si="11"/>
        <v>0</v>
      </c>
      <c r="AN17" s="517">
        <f t="shared" si="11"/>
        <v>0</v>
      </c>
      <c r="AO17" s="517">
        <f t="shared" si="11"/>
        <v>0</v>
      </c>
      <c r="AP17" s="517">
        <f t="shared" si="11"/>
        <v>0</v>
      </c>
      <c r="AQ17" s="517">
        <f t="shared" si="11"/>
        <v>0</v>
      </c>
      <c r="AR17" s="517">
        <f t="shared" si="11"/>
        <v>0</v>
      </c>
      <c r="AS17" s="518">
        <f t="shared" si="1"/>
        <v>0</v>
      </c>
    </row>
    <row r="18" spans="1:45" ht="11.1" customHeight="1" thickBot="1" x14ac:dyDescent="0.25">
      <c r="A18" s="775"/>
      <c r="B18" s="503" t="s">
        <v>82</v>
      </c>
      <c r="C18" s="529"/>
      <c r="D18" s="530"/>
      <c r="E18" s="531"/>
      <c r="F18" s="531"/>
      <c r="G18" s="532"/>
      <c r="H18" s="533"/>
      <c r="I18" s="534"/>
      <c r="J18" s="535"/>
      <c r="K18" s="536"/>
      <c r="L18" s="537"/>
      <c r="M18" s="538"/>
      <c r="N18" s="535"/>
      <c r="O18" s="535"/>
      <c r="P18" s="538"/>
      <c r="Q18" s="539"/>
      <c r="R18" s="540"/>
      <c r="S18" s="541"/>
      <c r="T18" s="517">
        <f>T16-T17</f>
        <v>0</v>
      </c>
      <c r="U18" s="517">
        <f t="shared" ref="U18:AR18" si="12">U16-U17</f>
        <v>0</v>
      </c>
      <c r="V18" s="517">
        <f t="shared" si="12"/>
        <v>0</v>
      </c>
      <c r="W18" s="517">
        <f t="shared" si="12"/>
        <v>0</v>
      </c>
      <c r="X18" s="517">
        <f t="shared" si="12"/>
        <v>0</v>
      </c>
      <c r="Y18" s="517">
        <f t="shared" si="12"/>
        <v>0</v>
      </c>
      <c r="Z18" s="517">
        <f t="shared" si="12"/>
        <v>0</v>
      </c>
      <c r="AA18" s="517">
        <f t="shared" si="12"/>
        <v>0</v>
      </c>
      <c r="AB18" s="517">
        <f t="shared" si="12"/>
        <v>0</v>
      </c>
      <c r="AC18" s="517">
        <f t="shared" si="12"/>
        <v>0</v>
      </c>
      <c r="AD18" s="517">
        <f t="shared" si="12"/>
        <v>0</v>
      </c>
      <c r="AE18" s="517">
        <f t="shared" si="12"/>
        <v>0</v>
      </c>
      <c r="AF18" s="517">
        <f t="shared" si="12"/>
        <v>0</v>
      </c>
      <c r="AG18" s="517">
        <f t="shared" si="12"/>
        <v>0</v>
      </c>
      <c r="AH18" s="517">
        <f t="shared" si="12"/>
        <v>0</v>
      </c>
      <c r="AI18" s="517">
        <f t="shared" si="12"/>
        <v>0</v>
      </c>
      <c r="AJ18" s="517">
        <f t="shared" si="12"/>
        <v>0</v>
      </c>
      <c r="AK18" s="517">
        <f t="shared" si="12"/>
        <v>0</v>
      </c>
      <c r="AL18" s="517">
        <f t="shared" si="12"/>
        <v>0</v>
      </c>
      <c r="AM18" s="517">
        <f t="shared" si="12"/>
        <v>0</v>
      </c>
      <c r="AN18" s="517">
        <f t="shared" si="12"/>
        <v>0</v>
      </c>
      <c r="AO18" s="517">
        <f t="shared" si="12"/>
        <v>0</v>
      </c>
      <c r="AP18" s="517">
        <f t="shared" si="12"/>
        <v>0</v>
      </c>
      <c r="AQ18" s="517">
        <f t="shared" si="12"/>
        <v>0</v>
      </c>
      <c r="AR18" s="517">
        <f t="shared" si="12"/>
        <v>0</v>
      </c>
      <c r="AS18" s="518">
        <f t="shared" si="1"/>
        <v>0</v>
      </c>
    </row>
    <row r="19" spans="1:45" ht="15.95" customHeight="1" thickBot="1" x14ac:dyDescent="0.25">
      <c r="A19" s="775">
        <f>'Option C'!A11</f>
        <v>5</v>
      </c>
      <c r="B19" s="503" t="s">
        <v>80</v>
      </c>
      <c r="C19" s="504">
        <f>IF('Option C'!$B11="x",'Option C'!C11,0)</f>
        <v>0</v>
      </c>
      <c r="D19" s="504">
        <f>IF('Option C'!$B11="x",'Option C'!D11,0)</f>
        <v>0</v>
      </c>
      <c r="E19" s="544"/>
      <c r="F19" s="542">
        <f>IF('Option C'!$B11="x",'Option C'!J11,0)</f>
        <v>0</v>
      </c>
      <c r="G19" s="542">
        <f>IF('Option C'!$B11="x",'Option C'!K11,0)</f>
        <v>0</v>
      </c>
      <c r="H19" s="542">
        <f>IF('Option C'!$B11="x",'Option C'!L11,0)</f>
        <v>0</v>
      </c>
      <c r="I19" s="543">
        <f>IF('Option C'!$B11="x",'Option C'!M11,0)</f>
        <v>0</v>
      </c>
      <c r="J19" s="508"/>
      <c r="K19" s="509">
        <f>J19*(1+$K$5)</f>
        <v>0</v>
      </c>
      <c r="L19" s="510"/>
      <c r="M19" s="511">
        <f>'ECM Options Lifecycle'!N24</f>
        <v>0</v>
      </c>
      <c r="N19" s="512">
        <f>IF(D19=0,0,(VLOOKUP(D19,'Technology Inputs'!$D$44:$E$172,2,FALSE)))</f>
        <v>0</v>
      </c>
      <c r="O19" s="513"/>
      <c r="P19" s="512">
        <f>IF(D19=0,0,(ROUNDUP(VLOOKUP(D19,'Technology Inputs'!$D$44:$E$172,2,FALSE),0)))</f>
        <v>0</v>
      </c>
      <c r="Q19" s="514">
        <v>1</v>
      </c>
      <c r="R19" s="515"/>
      <c r="S19" s="516">
        <f>I19*Q19</f>
        <v>0</v>
      </c>
      <c r="T19" s="517">
        <f t="shared" ref="T19:AR19" si="13">IF(T$4&lt;$M19,0,IF($P19=0,0,IF(T$4=$M19,$S19,IF((T$4-$M19)/$P19=INT((T$4-$M19)/$P19),$S19,0))))-IF(T$4=$M19, $S19, 0)</f>
        <v>0</v>
      </c>
      <c r="U19" s="517">
        <f t="shared" si="13"/>
        <v>0</v>
      </c>
      <c r="V19" s="517">
        <f t="shared" si="13"/>
        <v>0</v>
      </c>
      <c r="W19" s="517">
        <f t="shared" si="13"/>
        <v>0</v>
      </c>
      <c r="X19" s="517">
        <f t="shared" si="13"/>
        <v>0</v>
      </c>
      <c r="Y19" s="517">
        <f t="shared" si="13"/>
        <v>0</v>
      </c>
      <c r="Z19" s="517">
        <f t="shared" si="13"/>
        <v>0</v>
      </c>
      <c r="AA19" s="517">
        <f t="shared" si="13"/>
        <v>0</v>
      </c>
      <c r="AB19" s="517">
        <f t="shared" si="13"/>
        <v>0</v>
      </c>
      <c r="AC19" s="517">
        <f t="shared" si="13"/>
        <v>0</v>
      </c>
      <c r="AD19" s="517">
        <f t="shared" si="13"/>
        <v>0</v>
      </c>
      <c r="AE19" s="517">
        <f t="shared" si="13"/>
        <v>0</v>
      </c>
      <c r="AF19" s="517">
        <f t="shared" si="13"/>
        <v>0</v>
      </c>
      <c r="AG19" s="517">
        <f t="shared" si="13"/>
        <v>0</v>
      </c>
      <c r="AH19" s="517">
        <f t="shared" si="13"/>
        <v>0</v>
      </c>
      <c r="AI19" s="517">
        <f t="shared" si="13"/>
        <v>0</v>
      </c>
      <c r="AJ19" s="517">
        <f t="shared" si="13"/>
        <v>0</v>
      </c>
      <c r="AK19" s="517">
        <f t="shared" si="13"/>
        <v>0</v>
      </c>
      <c r="AL19" s="517">
        <f t="shared" si="13"/>
        <v>0</v>
      </c>
      <c r="AM19" s="517">
        <f t="shared" si="13"/>
        <v>0</v>
      </c>
      <c r="AN19" s="517">
        <f t="shared" si="13"/>
        <v>0</v>
      </c>
      <c r="AO19" s="517">
        <f t="shared" si="13"/>
        <v>0</v>
      </c>
      <c r="AP19" s="517">
        <f t="shared" si="13"/>
        <v>0</v>
      </c>
      <c r="AQ19" s="517">
        <f t="shared" si="13"/>
        <v>0</v>
      </c>
      <c r="AR19" s="517">
        <f t="shared" si="13"/>
        <v>0</v>
      </c>
      <c r="AS19" s="518">
        <f t="shared" si="1"/>
        <v>0</v>
      </c>
    </row>
    <row r="20" spans="1:45" ht="14.45" customHeight="1" x14ac:dyDescent="0.2">
      <c r="A20" s="775"/>
      <c r="B20" s="503" t="s">
        <v>81</v>
      </c>
      <c r="C20" s="503">
        <f>IF('Option C'!$B11="x",IF('Option C'!$E11="Yes", 'Option C'!G11),0)</f>
        <v>0</v>
      </c>
      <c r="D20" s="503">
        <f>IF('Option C'!$B11="x",IF('Option C'!$E11="Yes", 'Option C'!H11),0)</f>
        <v>0</v>
      </c>
      <c r="E20" s="519">
        <f>IF('Option C'!$B11="x",'ECM Options Lifecycle'!F25,0)</f>
        <v>0</v>
      </c>
      <c r="F20" s="519">
        <f>IF('Option C'!$B11="x",'ECM Options Lifecycle'!G25,0)</f>
        <v>0</v>
      </c>
      <c r="G20" s="520">
        <f>IF('Option C'!$B11="x",'ECM Options Lifecycle'!H25,0)</f>
        <v>0</v>
      </c>
      <c r="H20" s="521">
        <f>IF('Option C'!$B11="x",'ECM Options Lifecycle'!I25,0)</f>
        <v>0</v>
      </c>
      <c r="I20" s="522">
        <f>F20*H20</f>
        <v>0</v>
      </c>
      <c r="J20" s="523"/>
      <c r="K20" s="524"/>
      <c r="L20" s="525"/>
      <c r="M20" s="511">
        <f>'ECM Options Lifecycle'!N25</f>
        <v>0</v>
      </c>
      <c r="N20" s="526">
        <f>'Option C'!I11</f>
        <v>0</v>
      </c>
      <c r="O20" s="523"/>
      <c r="P20" s="526">
        <f>ROUNDUP(N20, 0)</f>
        <v>0</v>
      </c>
      <c r="Q20" s="527">
        <v>1</v>
      </c>
      <c r="R20" s="528"/>
      <c r="S20" s="516">
        <f>I20*Q20</f>
        <v>0</v>
      </c>
      <c r="T20" s="517">
        <f t="shared" ref="T20:AR20" si="14">IF(T$4&lt;$M20,0,IF($P20=0,0,IF(T$4=$M20,$S20,IF((T$4-$M20)/$P20=INT((T$4-$M20)/$P20),$S20,0))))</f>
        <v>0</v>
      </c>
      <c r="U20" s="517">
        <f t="shared" si="14"/>
        <v>0</v>
      </c>
      <c r="V20" s="517">
        <f t="shared" si="14"/>
        <v>0</v>
      </c>
      <c r="W20" s="517">
        <f t="shared" si="14"/>
        <v>0</v>
      </c>
      <c r="X20" s="517">
        <f t="shared" si="14"/>
        <v>0</v>
      </c>
      <c r="Y20" s="517">
        <f t="shared" si="14"/>
        <v>0</v>
      </c>
      <c r="Z20" s="517">
        <f t="shared" si="14"/>
        <v>0</v>
      </c>
      <c r="AA20" s="517">
        <f t="shared" si="14"/>
        <v>0</v>
      </c>
      <c r="AB20" s="517">
        <f t="shared" si="14"/>
        <v>0</v>
      </c>
      <c r="AC20" s="517">
        <f t="shared" si="14"/>
        <v>0</v>
      </c>
      <c r="AD20" s="517">
        <f t="shared" si="14"/>
        <v>0</v>
      </c>
      <c r="AE20" s="517">
        <f t="shared" si="14"/>
        <v>0</v>
      </c>
      <c r="AF20" s="517">
        <f t="shared" si="14"/>
        <v>0</v>
      </c>
      <c r="AG20" s="517">
        <f t="shared" si="14"/>
        <v>0</v>
      </c>
      <c r="AH20" s="517">
        <f t="shared" si="14"/>
        <v>0</v>
      </c>
      <c r="AI20" s="517">
        <f t="shared" si="14"/>
        <v>0</v>
      </c>
      <c r="AJ20" s="517">
        <f t="shared" si="14"/>
        <v>0</v>
      </c>
      <c r="AK20" s="517">
        <f t="shared" si="14"/>
        <v>0</v>
      </c>
      <c r="AL20" s="517">
        <f t="shared" si="14"/>
        <v>0</v>
      </c>
      <c r="AM20" s="517">
        <f t="shared" si="14"/>
        <v>0</v>
      </c>
      <c r="AN20" s="517">
        <f t="shared" si="14"/>
        <v>0</v>
      </c>
      <c r="AO20" s="517">
        <f t="shared" si="14"/>
        <v>0</v>
      </c>
      <c r="AP20" s="517">
        <f t="shared" si="14"/>
        <v>0</v>
      </c>
      <c r="AQ20" s="517">
        <f t="shared" si="14"/>
        <v>0</v>
      </c>
      <c r="AR20" s="517">
        <f t="shared" si="14"/>
        <v>0</v>
      </c>
      <c r="AS20" s="518">
        <f t="shared" si="1"/>
        <v>0</v>
      </c>
    </row>
    <row r="21" spans="1:45" ht="11.1" customHeight="1" thickBot="1" x14ac:dyDescent="0.25">
      <c r="A21" s="775"/>
      <c r="B21" s="503" t="s">
        <v>82</v>
      </c>
      <c r="C21" s="529"/>
      <c r="D21" s="530"/>
      <c r="E21" s="531"/>
      <c r="F21" s="531"/>
      <c r="G21" s="532"/>
      <c r="H21" s="533"/>
      <c r="I21" s="534"/>
      <c r="J21" s="535"/>
      <c r="K21" s="536"/>
      <c r="L21" s="537"/>
      <c r="M21" s="538"/>
      <c r="N21" s="535"/>
      <c r="O21" s="535"/>
      <c r="P21" s="538"/>
      <c r="Q21" s="539"/>
      <c r="R21" s="540"/>
      <c r="S21" s="541"/>
      <c r="T21" s="517">
        <f>T19-T20</f>
        <v>0</v>
      </c>
      <c r="U21" s="517">
        <f t="shared" ref="U21:AR21" si="15">U19-U20</f>
        <v>0</v>
      </c>
      <c r="V21" s="517">
        <f t="shared" si="15"/>
        <v>0</v>
      </c>
      <c r="W21" s="517">
        <f t="shared" si="15"/>
        <v>0</v>
      </c>
      <c r="X21" s="517">
        <f t="shared" si="15"/>
        <v>0</v>
      </c>
      <c r="Y21" s="517">
        <f t="shared" si="15"/>
        <v>0</v>
      </c>
      <c r="Z21" s="517">
        <f t="shared" si="15"/>
        <v>0</v>
      </c>
      <c r="AA21" s="517">
        <f t="shared" si="15"/>
        <v>0</v>
      </c>
      <c r="AB21" s="517">
        <f t="shared" si="15"/>
        <v>0</v>
      </c>
      <c r="AC21" s="517">
        <f t="shared" si="15"/>
        <v>0</v>
      </c>
      <c r="AD21" s="517">
        <f t="shared" si="15"/>
        <v>0</v>
      </c>
      <c r="AE21" s="517">
        <f t="shared" si="15"/>
        <v>0</v>
      </c>
      <c r="AF21" s="517">
        <f t="shared" si="15"/>
        <v>0</v>
      </c>
      <c r="AG21" s="517">
        <f t="shared" si="15"/>
        <v>0</v>
      </c>
      <c r="AH21" s="517">
        <f t="shared" si="15"/>
        <v>0</v>
      </c>
      <c r="AI21" s="517">
        <f t="shared" si="15"/>
        <v>0</v>
      </c>
      <c r="AJ21" s="517">
        <f t="shared" si="15"/>
        <v>0</v>
      </c>
      <c r="AK21" s="517">
        <f t="shared" si="15"/>
        <v>0</v>
      </c>
      <c r="AL21" s="517">
        <f t="shared" si="15"/>
        <v>0</v>
      </c>
      <c r="AM21" s="517">
        <f t="shared" si="15"/>
        <v>0</v>
      </c>
      <c r="AN21" s="517">
        <f t="shared" si="15"/>
        <v>0</v>
      </c>
      <c r="AO21" s="517">
        <f t="shared" si="15"/>
        <v>0</v>
      </c>
      <c r="AP21" s="517">
        <f t="shared" si="15"/>
        <v>0</v>
      </c>
      <c r="AQ21" s="517">
        <f t="shared" si="15"/>
        <v>0</v>
      </c>
      <c r="AR21" s="517">
        <f t="shared" si="15"/>
        <v>0</v>
      </c>
      <c r="AS21" s="518">
        <f t="shared" si="1"/>
        <v>0</v>
      </c>
    </row>
    <row r="22" spans="1:45" ht="15.95" customHeight="1" thickBot="1" x14ac:dyDescent="0.25">
      <c r="A22" s="775">
        <f>'Option C'!A12</f>
        <v>6</v>
      </c>
      <c r="B22" s="503" t="s">
        <v>80</v>
      </c>
      <c r="C22" s="504">
        <f>IF('Option C'!$B12="x",'Option C'!C12,0)</f>
        <v>0</v>
      </c>
      <c r="D22" s="504">
        <f>IF('Option C'!$B12="x",'Option C'!D12,0)</f>
        <v>0</v>
      </c>
      <c r="E22" s="544"/>
      <c r="F22" s="542">
        <f>IF('Option C'!$B12="x",'Option C'!J12,0)</f>
        <v>0</v>
      </c>
      <c r="G22" s="542">
        <f>IF('Option C'!$B12="x",'Option C'!K12,0)</f>
        <v>0</v>
      </c>
      <c r="H22" s="542">
        <f>IF('Option C'!$B12="x",'Option C'!L12,0)</f>
        <v>0</v>
      </c>
      <c r="I22" s="543">
        <f>IF('Option C'!$B12="x",'Option C'!M12,0)</f>
        <v>0</v>
      </c>
      <c r="J22" s="508"/>
      <c r="K22" s="509">
        <f>J22*(1+$K$5)</f>
        <v>0</v>
      </c>
      <c r="L22" s="510"/>
      <c r="M22" s="511">
        <f>'ECM Options Lifecycle'!N27</f>
        <v>0</v>
      </c>
      <c r="N22" s="512">
        <f>IF(D22=0,0,(VLOOKUP(D22,'Technology Inputs'!$D$44:$E$172,2,FALSE)))</f>
        <v>0</v>
      </c>
      <c r="O22" s="513"/>
      <c r="P22" s="512">
        <f>IF(D22=0,0,(ROUNDUP(VLOOKUP(D22,'Technology Inputs'!$D$44:$E$172,2,FALSE),0)))</f>
        <v>0</v>
      </c>
      <c r="Q22" s="514">
        <v>1</v>
      </c>
      <c r="R22" s="515"/>
      <c r="S22" s="516">
        <f>I22*Q22</f>
        <v>0</v>
      </c>
      <c r="T22" s="517">
        <f t="shared" ref="T22:AR22" si="16">IF(T$4&lt;$M22,0,IF($P22=0,0,IF(T$4=$M22,$S22,IF((T$4-$M22)/$P22=INT((T$4-$M22)/$P22),$S22,0))))-IF(T$4=$M22, $S22, 0)</f>
        <v>0</v>
      </c>
      <c r="U22" s="517">
        <f t="shared" si="16"/>
        <v>0</v>
      </c>
      <c r="V22" s="517">
        <f t="shared" si="16"/>
        <v>0</v>
      </c>
      <c r="W22" s="517">
        <f t="shared" si="16"/>
        <v>0</v>
      </c>
      <c r="X22" s="517">
        <f t="shared" si="16"/>
        <v>0</v>
      </c>
      <c r="Y22" s="517">
        <f t="shared" si="16"/>
        <v>0</v>
      </c>
      <c r="Z22" s="517">
        <f t="shared" si="16"/>
        <v>0</v>
      </c>
      <c r="AA22" s="517">
        <f t="shared" si="16"/>
        <v>0</v>
      </c>
      <c r="AB22" s="517">
        <f t="shared" si="16"/>
        <v>0</v>
      </c>
      <c r="AC22" s="517">
        <f t="shared" si="16"/>
        <v>0</v>
      </c>
      <c r="AD22" s="517">
        <f t="shared" si="16"/>
        <v>0</v>
      </c>
      <c r="AE22" s="517">
        <f t="shared" si="16"/>
        <v>0</v>
      </c>
      <c r="AF22" s="517">
        <f t="shared" si="16"/>
        <v>0</v>
      </c>
      <c r="AG22" s="517">
        <f t="shared" si="16"/>
        <v>0</v>
      </c>
      <c r="AH22" s="517">
        <f t="shared" si="16"/>
        <v>0</v>
      </c>
      <c r="AI22" s="517">
        <f t="shared" si="16"/>
        <v>0</v>
      </c>
      <c r="AJ22" s="517">
        <f t="shared" si="16"/>
        <v>0</v>
      </c>
      <c r="AK22" s="517">
        <f t="shared" si="16"/>
        <v>0</v>
      </c>
      <c r="AL22" s="517">
        <f t="shared" si="16"/>
        <v>0</v>
      </c>
      <c r="AM22" s="517">
        <f t="shared" si="16"/>
        <v>0</v>
      </c>
      <c r="AN22" s="517">
        <f t="shared" si="16"/>
        <v>0</v>
      </c>
      <c r="AO22" s="517">
        <f t="shared" si="16"/>
        <v>0</v>
      </c>
      <c r="AP22" s="517">
        <f t="shared" si="16"/>
        <v>0</v>
      </c>
      <c r="AQ22" s="517">
        <f t="shared" si="16"/>
        <v>0</v>
      </c>
      <c r="AR22" s="517">
        <f t="shared" si="16"/>
        <v>0</v>
      </c>
      <c r="AS22" s="518">
        <f t="shared" si="1"/>
        <v>0</v>
      </c>
    </row>
    <row r="23" spans="1:45" ht="14.45" customHeight="1" x14ac:dyDescent="0.2">
      <c r="A23" s="775"/>
      <c r="B23" s="503" t="s">
        <v>81</v>
      </c>
      <c r="C23" s="503">
        <f>IF('Option C'!$B12="x",IF('Option C'!$E12="Yes", 'Option C'!G12),0)</f>
        <v>0</v>
      </c>
      <c r="D23" s="503">
        <f>IF('Option C'!$B12="x",IF('Option C'!$E12="Yes", 'Option C'!H12),0)</f>
        <v>0</v>
      </c>
      <c r="E23" s="519">
        <f>IF('Option C'!$B12="x",'ECM Options Lifecycle'!F28,0)</f>
        <v>0</v>
      </c>
      <c r="F23" s="519">
        <f>IF('Option C'!$B12="x",'ECM Options Lifecycle'!G28,0)</f>
        <v>0</v>
      </c>
      <c r="G23" s="520">
        <f>IF('Option C'!$B12="x",'ECM Options Lifecycle'!H28,0)</f>
        <v>0</v>
      </c>
      <c r="H23" s="521">
        <f>IF('Option C'!$B12="x",'ECM Options Lifecycle'!I28,0)</f>
        <v>0</v>
      </c>
      <c r="I23" s="522">
        <f>F23*H23</f>
        <v>0</v>
      </c>
      <c r="J23" s="523"/>
      <c r="K23" s="524"/>
      <c r="L23" s="525"/>
      <c r="M23" s="511">
        <f>'ECM Options Lifecycle'!N28</f>
        <v>0</v>
      </c>
      <c r="N23" s="526">
        <f>'Option C'!I12</f>
        <v>0</v>
      </c>
      <c r="O23" s="523"/>
      <c r="P23" s="526">
        <f>ROUNDUP(N23, 0)</f>
        <v>0</v>
      </c>
      <c r="Q23" s="527">
        <v>1</v>
      </c>
      <c r="R23" s="528"/>
      <c r="S23" s="516">
        <f>I23*Q23</f>
        <v>0</v>
      </c>
      <c r="T23" s="517">
        <f t="shared" ref="T23:AR23" si="17">IF(T$4&lt;$M23,0,IF($P23=0,0,IF(T$4=$M23,$S23,IF((T$4-$M23)/$P23=INT((T$4-$M23)/$P23),$S23,0))))</f>
        <v>0</v>
      </c>
      <c r="U23" s="517">
        <f t="shared" si="17"/>
        <v>0</v>
      </c>
      <c r="V23" s="517">
        <f t="shared" si="17"/>
        <v>0</v>
      </c>
      <c r="W23" s="517">
        <f t="shared" si="17"/>
        <v>0</v>
      </c>
      <c r="X23" s="517">
        <f t="shared" si="17"/>
        <v>0</v>
      </c>
      <c r="Y23" s="517">
        <f t="shared" si="17"/>
        <v>0</v>
      </c>
      <c r="Z23" s="517">
        <f t="shared" si="17"/>
        <v>0</v>
      </c>
      <c r="AA23" s="517">
        <f t="shared" si="17"/>
        <v>0</v>
      </c>
      <c r="AB23" s="517">
        <f t="shared" si="17"/>
        <v>0</v>
      </c>
      <c r="AC23" s="517">
        <f t="shared" si="17"/>
        <v>0</v>
      </c>
      <c r="AD23" s="517">
        <f t="shared" si="17"/>
        <v>0</v>
      </c>
      <c r="AE23" s="517">
        <f t="shared" si="17"/>
        <v>0</v>
      </c>
      <c r="AF23" s="517">
        <f t="shared" si="17"/>
        <v>0</v>
      </c>
      <c r="AG23" s="517">
        <f t="shared" si="17"/>
        <v>0</v>
      </c>
      <c r="AH23" s="517">
        <f t="shared" si="17"/>
        <v>0</v>
      </c>
      <c r="AI23" s="517">
        <f t="shared" si="17"/>
        <v>0</v>
      </c>
      <c r="AJ23" s="517">
        <f t="shared" si="17"/>
        <v>0</v>
      </c>
      <c r="AK23" s="517">
        <f t="shared" si="17"/>
        <v>0</v>
      </c>
      <c r="AL23" s="517">
        <f t="shared" si="17"/>
        <v>0</v>
      </c>
      <c r="AM23" s="517">
        <f t="shared" si="17"/>
        <v>0</v>
      </c>
      <c r="AN23" s="517">
        <f t="shared" si="17"/>
        <v>0</v>
      </c>
      <c r="AO23" s="517">
        <f t="shared" si="17"/>
        <v>0</v>
      </c>
      <c r="AP23" s="517">
        <f t="shared" si="17"/>
        <v>0</v>
      </c>
      <c r="AQ23" s="517">
        <f t="shared" si="17"/>
        <v>0</v>
      </c>
      <c r="AR23" s="517">
        <f t="shared" si="17"/>
        <v>0</v>
      </c>
      <c r="AS23" s="518">
        <f t="shared" si="1"/>
        <v>0</v>
      </c>
    </row>
    <row r="24" spans="1:45" ht="11.1" customHeight="1" thickBot="1" x14ac:dyDescent="0.25">
      <c r="A24" s="775"/>
      <c r="B24" s="503" t="s">
        <v>82</v>
      </c>
      <c r="C24" s="529"/>
      <c r="D24" s="530"/>
      <c r="E24" s="531"/>
      <c r="F24" s="531"/>
      <c r="G24" s="532"/>
      <c r="H24" s="533"/>
      <c r="I24" s="534"/>
      <c r="J24" s="535"/>
      <c r="K24" s="536"/>
      <c r="L24" s="537"/>
      <c r="M24" s="538"/>
      <c r="N24" s="535"/>
      <c r="O24" s="535"/>
      <c r="P24" s="538"/>
      <c r="Q24" s="539"/>
      <c r="R24" s="540"/>
      <c r="S24" s="541"/>
      <c r="T24" s="517">
        <f>T22-T23</f>
        <v>0</v>
      </c>
      <c r="U24" s="517">
        <f t="shared" ref="U24:AR24" si="18">U22-U23</f>
        <v>0</v>
      </c>
      <c r="V24" s="517">
        <f t="shared" si="18"/>
        <v>0</v>
      </c>
      <c r="W24" s="517">
        <f t="shared" si="18"/>
        <v>0</v>
      </c>
      <c r="X24" s="517">
        <f t="shared" si="18"/>
        <v>0</v>
      </c>
      <c r="Y24" s="517">
        <f t="shared" si="18"/>
        <v>0</v>
      </c>
      <c r="Z24" s="517">
        <f t="shared" si="18"/>
        <v>0</v>
      </c>
      <c r="AA24" s="517">
        <f t="shared" si="18"/>
        <v>0</v>
      </c>
      <c r="AB24" s="517">
        <f t="shared" si="18"/>
        <v>0</v>
      </c>
      <c r="AC24" s="517">
        <f t="shared" si="18"/>
        <v>0</v>
      </c>
      <c r="AD24" s="517">
        <f t="shared" si="18"/>
        <v>0</v>
      </c>
      <c r="AE24" s="517">
        <f t="shared" si="18"/>
        <v>0</v>
      </c>
      <c r="AF24" s="517">
        <f t="shared" si="18"/>
        <v>0</v>
      </c>
      <c r="AG24" s="517">
        <f t="shared" si="18"/>
        <v>0</v>
      </c>
      <c r="AH24" s="517">
        <f t="shared" si="18"/>
        <v>0</v>
      </c>
      <c r="AI24" s="517">
        <f t="shared" si="18"/>
        <v>0</v>
      </c>
      <c r="AJ24" s="517">
        <f t="shared" si="18"/>
        <v>0</v>
      </c>
      <c r="AK24" s="517">
        <f t="shared" si="18"/>
        <v>0</v>
      </c>
      <c r="AL24" s="517">
        <f t="shared" si="18"/>
        <v>0</v>
      </c>
      <c r="AM24" s="517">
        <f t="shared" si="18"/>
        <v>0</v>
      </c>
      <c r="AN24" s="517">
        <f t="shared" si="18"/>
        <v>0</v>
      </c>
      <c r="AO24" s="517">
        <f t="shared" si="18"/>
        <v>0</v>
      </c>
      <c r="AP24" s="517">
        <f t="shared" si="18"/>
        <v>0</v>
      </c>
      <c r="AQ24" s="517">
        <f t="shared" si="18"/>
        <v>0</v>
      </c>
      <c r="AR24" s="517">
        <f t="shared" si="18"/>
        <v>0</v>
      </c>
      <c r="AS24" s="518">
        <f t="shared" si="1"/>
        <v>0</v>
      </c>
    </row>
    <row r="25" spans="1:45" ht="15.95" customHeight="1" thickBot="1" x14ac:dyDescent="0.25">
      <c r="A25" s="775">
        <f>'Option C'!A13</f>
        <v>7</v>
      </c>
      <c r="B25" s="503" t="s">
        <v>80</v>
      </c>
      <c r="C25" s="504">
        <f>IF('Option C'!$B13="x",'Option C'!C13,0)</f>
        <v>0</v>
      </c>
      <c r="D25" s="504">
        <f>IF('Option C'!$B13="x",'Option C'!D13,0)</f>
        <v>0</v>
      </c>
      <c r="E25" s="544"/>
      <c r="F25" s="542">
        <f>IF('Option C'!$B13="x",'Option C'!J13,0)</f>
        <v>0</v>
      </c>
      <c r="G25" s="542">
        <f>IF('Option C'!$B13="x",'Option C'!K13,0)</f>
        <v>0</v>
      </c>
      <c r="H25" s="542">
        <f>IF('Option C'!$B13="x",'Option C'!L13,0)</f>
        <v>0</v>
      </c>
      <c r="I25" s="543">
        <f>IF('Option C'!$B13="x",'Option C'!M13,0)</f>
        <v>0</v>
      </c>
      <c r="J25" s="508"/>
      <c r="K25" s="509">
        <f>J25*(1+$K$5)</f>
        <v>0</v>
      </c>
      <c r="L25" s="510"/>
      <c r="M25" s="511">
        <f>'ECM Options Lifecycle'!N30</f>
        <v>0</v>
      </c>
      <c r="N25" s="512">
        <f>IF(D25=0,0,(VLOOKUP(D25,'Technology Inputs'!$D$44:$E$172,2,FALSE)))</f>
        <v>0</v>
      </c>
      <c r="O25" s="513"/>
      <c r="P25" s="512">
        <f>IF(D25=0,0,(ROUNDUP(VLOOKUP(D25,'Technology Inputs'!$D$44:$E$172,2,FALSE),0)))</f>
        <v>0</v>
      </c>
      <c r="Q25" s="514">
        <v>1</v>
      </c>
      <c r="R25" s="515"/>
      <c r="S25" s="516">
        <f>I25*Q25</f>
        <v>0</v>
      </c>
      <c r="T25" s="517">
        <f t="shared" ref="T25:AR25" si="19">IF(T$4&lt;$M25,0,IF($P25=0,0,IF(T$4=$M25,$S25,IF((T$4-$M25)/$P25=INT((T$4-$M25)/$P25),$S25,0))))-IF(T$4=$M25, $S25, 0)</f>
        <v>0</v>
      </c>
      <c r="U25" s="517">
        <f t="shared" si="19"/>
        <v>0</v>
      </c>
      <c r="V25" s="517">
        <f t="shared" si="19"/>
        <v>0</v>
      </c>
      <c r="W25" s="517">
        <f t="shared" si="19"/>
        <v>0</v>
      </c>
      <c r="X25" s="517">
        <f t="shared" si="19"/>
        <v>0</v>
      </c>
      <c r="Y25" s="517">
        <f t="shared" si="19"/>
        <v>0</v>
      </c>
      <c r="Z25" s="517">
        <f t="shared" si="19"/>
        <v>0</v>
      </c>
      <c r="AA25" s="517">
        <f t="shared" si="19"/>
        <v>0</v>
      </c>
      <c r="AB25" s="517">
        <f t="shared" si="19"/>
        <v>0</v>
      </c>
      <c r="AC25" s="517">
        <f t="shared" si="19"/>
        <v>0</v>
      </c>
      <c r="AD25" s="517">
        <f t="shared" si="19"/>
        <v>0</v>
      </c>
      <c r="AE25" s="517">
        <f t="shared" si="19"/>
        <v>0</v>
      </c>
      <c r="AF25" s="517">
        <f t="shared" si="19"/>
        <v>0</v>
      </c>
      <c r="AG25" s="517">
        <f t="shared" si="19"/>
        <v>0</v>
      </c>
      <c r="AH25" s="517">
        <f t="shared" si="19"/>
        <v>0</v>
      </c>
      <c r="AI25" s="517">
        <f t="shared" si="19"/>
        <v>0</v>
      </c>
      <c r="AJ25" s="517">
        <f t="shared" si="19"/>
        <v>0</v>
      </c>
      <c r="AK25" s="517">
        <f t="shared" si="19"/>
        <v>0</v>
      </c>
      <c r="AL25" s="517">
        <f t="shared" si="19"/>
        <v>0</v>
      </c>
      <c r="AM25" s="517">
        <f t="shared" si="19"/>
        <v>0</v>
      </c>
      <c r="AN25" s="517">
        <f t="shared" si="19"/>
        <v>0</v>
      </c>
      <c r="AO25" s="517">
        <f t="shared" si="19"/>
        <v>0</v>
      </c>
      <c r="AP25" s="517">
        <f t="shared" si="19"/>
        <v>0</v>
      </c>
      <c r="AQ25" s="517">
        <f t="shared" si="19"/>
        <v>0</v>
      </c>
      <c r="AR25" s="517">
        <f t="shared" si="19"/>
        <v>0</v>
      </c>
      <c r="AS25" s="518">
        <f t="shared" si="1"/>
        <v>0</v>
      </c>
    </row>
    <row r="26" spans="1:45" ht="14.45" customHeight="1" x14ac:dyDescent="0.2">
      <c r="A26" s="775"/>
      <c r="B26" s="503" t="s">
        <v>81</v>
      </c>
      <c r="C26" s="503">
        <f>IF('Option C'!$B13="x",IF('Option C'!$E13="Yes", 'Option C'!G13),0)</f>
        <v>0</v>
      </c>
      <c r="D26" s="503">
        <f>IF('Option C'!$B13="x",IF('Option C'!$E13="Yes", 'Option C'!H13),0)</f>
        <v>0</v>
      </c>
      <c r="E26" s="519">
        <f>IF('Option C'!$B13="x",'ECM Options Lifecycle'!F31,0)</f>
        <v>0</v>
      </c>
      <c r="F26" s="519">
        <f>IF('Option C'!$B13="x",'ECM Options Lifecycle'!G31,0)</f>
        <v>0</v>
      </c>
      <c r="G26" s="520">
        <f>IF('Option C'!$B13="x",'ECM Options Lifecycle'!H31,0)</f>
        <v>0</v>
      </c>
      <c r="H26" s="521">
        <f>IF('Option C'!$B13="x",'ECM Options Lifecycle'!I31,0)</f>
        <v>0</v>
      </c>
      <c r="I26" s="522">
        <f>F26*H26</f>
        <v>0</v>
      </c>
      <c r="J26" s="523"/>
      <c r="K26" s="524"/>
      <c r="L26" s="525"/>
      <c r="M26" s="511">
        <f>'ECM Options Lifecycle'!N31</f>
        <v>0</v>
      </c>
      <c r="N26" s="526">
        <f>'Option C'!I12</f>
        <v>0</v>
      </c>
      <c r="O26" s="523"/>
      <c r="P26" s="526">
        <f>ROUNDUP(N26, 0)</f>
        <v>0</v>
      </c>
      <c r="Q26" s="527">
        <v>1</v>
      </c>
      <c r="R26" s="528"/>
      <c r="S26" s="516">
        <f>I26*Q26</f>
        <v>0</v>
      </c>
      <c r="T26" s="517">
        <f t="shared" ref="T26:AR26" si="20">IF(T$4&lt;$M26,0,IF($P26=0,0,IF(T$4=$M26,$S26,IF((T$4-$M26)/$P26=INT((T$4-$M26)/$P26),$S26,0))))</f>
        <v>0</v>
      </c>
      <c r="U26" s="517">
        <f t="shared" si="20"/>
        <v>0</v>
      </c>
      <c r="V26" s="517">
        <f t="shared" si="20"/>
        <v>0</v>
      </c>
      <c r="W26" s="517">
        <f t="shared" si="20"/>
        <v>0</v>
      </c>
      <c r="X26" s="517">
        <f t="shared" si="20"/>
        <v>0</v>
      </c>
      <c r="Y26" s="517">
        <f t="shared" si="20"/>
        <v>0</v>
      </c>
      <c r="Z26" s="517">
        <f t="shared" si="20"/>
        <v>0</v>
      </c>
      <c r="AA26" s="517">
        <f t="shared" si="20"/>
        <v>0</v>
      </c>
      <c r="AB26" s="517">
        <f t="shared" si="20"/>
        <v>0</v>
      </c>
      <c r="AC26" s="517">
        <f t="shared" si="20"/>
        <v>0</v>
      </c>
      <c r="AD26" s="517">
        <f t="shared" si="20"/>
        <v>0</v>
      </c>
      <c r="AE26" s="517">
        <f t="shared" si="20"/>
        <v>0</v>
      </c>
      <c r="AF26" s="517">
        <f t="shared" si="20"/>
        <v>0</v>
      </c>
      <c r="AG26" s="517">
        <f t="shared" si="20"/>
        <v>0</v>
      </c>
      <c r="AH26" s="517">
        <f t="shared" si="20"/>
        <v>0</v>
      </c>
      <c r="AI26" s="517">
        <f t="shared" si="20"/>
        <v>0</v>
      </c>
      <c r="AJ26" s="517">
        <f t="shared" si="20"/>
        <v>0</v>
      </c>
      <c r="AK26" s="517">
        <f t="shared" si="20"/>
        <v>0</v>
      </c>
      <c r="AL26" s="517">
        <f t="shared" si="20"/>
        <v>0</v>
      </c>
      <c r="AM26" s="517">
        <f t="shared" si="20"/>
        <v>0</v>
      </c>
      <c r="AN26" s="517">
        <f t="shared" si="20"/>
        <v>0</v>
      </c>
      <c r="AO26" s="517">
        <f t="shared" si="20"/>
        <v>0</v>
      </c>
      <c r="AP26" s="517">
        <f t="shared" si="20"/>
        <v>0</v>
      </c>
      <c r="AQ26" s="517">
        <f t="shared" si="20"/>
        <v>0</v>
      </c>
      <c r="AR26" s="517">
        <f t="shared" si="20"/>
        <v>0</v>
      </c>
      <c r="AS26" s="518">
        <f t="shared" si="1"/>
        <v>0</v>
      </c>
    </row>
    <row r="27" spans="1:45" ht="11.1" customHeight="1" thickBot="1" x14ac:dyDescent="0.25">
      <c r="A27" s="775"/>
      <c r="B27" s="503" t="s">
        <v>82</v>
      </c>
      <c r="C27" s="529"/>
      <c r="D27" s="530"/>
      <c r="E27" s="531"/>
      <c r="F27" s="531"/>
      <c r="G27" s="532"/>
      <c r="H27" s="533"/>
      <c r="I27" s="534"/>
      <c r="J27" s="535"/>
      <c r="K27" s="536"/>
      <c r="L27" s="537"/>
      <c r="M27" s="538"/>
      <c r="N27" s="535"/>
      <c r="O27" s="535"/>
      <c r="P27" s="538"/>
      <c r="Q27" s="539"/>
      <c r="R27" s="540"/>
      <c r="S27" s="541"/>
      <c r="T27" s="517">
        <f>T25-T26</f>
        <v>0</v>
      </c>
      <c r="U27" s="517">
        <f t="shared" ref="U27:AR27" si="21">U25-U26</f>
        <v>0</v>
      </c>
      <c r="V27" s="517">
        <f t="shared" si="21"/>
        <v>0</v>
      </c>
      <c r="W27" s="517">
        <f t="shared" si="21"/>
        <v>0</v>
      </c>
      <c r="X27" s="517">
        <f t="shared" si="21"/>
        <v>0</v>
      </c>
      <c r="Y27" s="517">
        <f t="shared" si="21"/>
        <v>0</v>
      </c>
      <c r="Z27" s="517">
        <f t="shared" si="21"/>
        <v>0</v>
      </c>
      <c r="AA27" s="517">
        <f t="shared" si="21"/>
        <v>0</v>
      </c>
      <c r="AB27" s="517">
        <f t="shared" si="21"/>
        <v>0</v>
      </c>
      <c r="AC27" s="517">
        <f t="shared" si="21"/>
        <v>0</v>
      </c>
      <c r="AD27" s="517">
        <f t="shared" si="21"/>
        <v>0</v>
      </c>
      <c r="AE27" s="517">
        <f t="shared" si="21"/>
        <v>0</v>
      </c>
      <c r="AF27" s="517">
        <f t="shared" si="21"/>
        <v>0</v>
      </c>
      <c r="AG27" s="517">
        <f t="shared" si="21"/>
        <v>0</v>
      </c>
      <c r="AH27" s="517">
        <f t="shared" si="21"/>
        <v>0</v>
      </c>
      <c r="AI27" s="517">
        <f t="shared" si="21"/>
        <v>0</v>
      </c>
      <c r="AJ27" s="517">
        <f t="shared" si="21"/>
        <v>0</v>
      </c>
      <c r="AK27" s="517">
        <f t="shared" si="21"/>
        <v>0</v>
      </c>
      <c r="AL27" s="517">
        <f t="shared" si="21"/>
        <v>0</v>
      </c>
      <c r="AM27" s="517">
        <f t="shared" si="21"/>
        <v>0</v>
      </c>
      <c r="AN27" s="517">
        <f t="shared" si="21"/>
        <v>0</v>
      </c>
      <c r="AO27" s="517">
        <f t="shared" si="21"/>
        <v>0</v>
      </c>
      <c r="AP27" s="517">
        <f t="shared" si="21"/>
        <v>0</v>
      </c>
      <c r="AQ27" s="517">
        <f t="shared" si="21"/>
        <v>0</v>
      </c>
      <c r="AR27" s="517">
        <f t="shared" si="21"/>
        <v>0</v>
      </c>
      <c r="AS27" s="518">
        <f t="shared" si="1"/>
        <v>0</v>
      </c>
    </row>
    <row r="28" spans="1:45" ht="15.95" customHeight="1" thickBot="1" x14ac:dyDescent="0.25">
      <c r="A28" s="775">
        <f>'Option C'!A14</f>
        <v>8</v>
      </c>
      <c r="B28" s="503" t="s">
        <v>80</v>
      </c>
      <c r="C28" s="504">
        <f>IF('Option C'!$B14="x",'Option C'!C14,0)</f>
        <v>0</v>
      </c>
      <c r="D28" s="504">
        <f>IF('Option C'!$B14="x",'Option C'!D14,0)</f>
        <v>0</v>
      </c>
      <c r="E28" s="544"/>
      <c r="F28" s="542">
        <f>IF('Option C'!$B14="x",'Option C'!J14,0)</f>
        <v>0</v>
      </c>
      <c r="G28" s="542">
        <f>IF('Option C'!$B14="x",'Option C'!K14,0)</f>
        <v>0</v>
      </c>
      <c r="H28" s="542">
        <f>IF('Option C'!$B14="x",'Option C'!L14,0)</f>
        <v>0</v>
      </c>
      <c r="I28" s="543">
        <f>IF('Option C'!$B14="x",'Option C'!M14,0)</f>
        <v>0</v>
      </c>
      <c r="J28" s="508"/>
      <c r="K28" s="509">
        <f>J28*(1+$K$5)</f>
        <v>0</v>
      </c>
      <c r="L28" s="510"/>
      <c r="M28" s="511">
        <f>'ECM Options Lifecycle'!N33</f>
        <v>0</v>
      </c>
      <c r="N28" s="512">
        <f>IF(D28=0,0,(VLOOKUP(D28,'Technology Inputs'!$D$44:$E$172,2,FALSE)))</f>
        <v>0</v>
      </c>
      <c r="O28" s="513"/>
      <c r="P28" s="512">
        <f>IF(D28=0,0,(ROUNDUP(VLOOKUP(D28,'Technology Inputs'!$D$44:$E$172,2,FALSE),0)))</f>
        <v>0</v>
      </c>
      <c r="Q28" s="514">
        <v>1</v>
      </c>
      <c r="R28" s="515"/>
      <c r="S28" s="516">
        <f>I28*Q28</f>
        <v>0</v>
      </c>
      <c r="T28" s="517">
        <f t="shared" ref="T28:AR28" si="22">IF(T$4&lt;$M28,0,IF($P28=0,0,IF(T$4=$M28,$S28,IF((T$4-$M28)/$P28=INT((T$4-$M28)/$P28),$S28,0))))-IF(T$4=$M28, $S28, 0)</f>
        <v>0</v>
      </c>
      <c r="U28" s="517">
        <f t="shared" si="22"/>
        <v>0</v>
      </c>
      <c r="V28" s="517">
        <f t="shared" si="22"/>
        <v>0</v>
      </c>
      <c r="W28" s="517">
        <f t="shared" si="22"/>
        <v>0</v>
      </c>
      <c r="X28" s="517">
        <f t="shared" si="22"/>
        <v>0</v>
      </c>
      <c r="Y28" s="517">
        <f t="shared" si="22"/>
        <v>0</v>
      </c>
      <c r="Z28" s="517">
        <f t="shared" si="22"/>
        <v>0</v>
      </c>
      <c r="AA28" s="517">
        <f t="shared" si="22"/>
        <v>0</v>
      </c>
      <c r="AB28" s="517">
        <f t="shared" si="22"/>
        <v>0</v>
      </c>
      <c r="AC28" s="517">
        <f t="shared" si="22"/>
        <v>0</v>
      </c>
      <c r="AD28" s="517">
        <f t="shared" si="22"/>
        <v>0</v>
      </c>
      <c r="AE28" s="517">
        <f t="shared" si="22"/>
        <v>0</v>
      </c>
      <c r="AF28" s="517">
        <f t="shared" si="22"/>
        <v>0</v>
      </c>
      <c r="AG28" s="517">
        <f t="shared" si="22"/>
        <v>0</v>
      </c>
      <c r="AH28" s="517">
        <f t="shared" si="22"/>
        <v>0</v>
      </c>
      <c r="AI28" s="517">
        <f t="shared" si="22"/>
        <v>0</v>
      </c>
      <c r="AJ28" s="517">
        <f t="shared" si="22"/>
        <v>0</v>
      </c>
      <c r="AK28" s="517">
        <f t="shared" si="22"/>
        <v>0</v>
      </c>
      <c r="AL28" s="517">
        <f t="shared" si="22"/>
        <v>0</v>
      </c>
      <c r="AM28" s="517">
        <f t="shared" si="22"/>
        <v>0</v>
      </c>
      <c r="AN28" s="517">
        <f t="shared" si="22"/>
        <v>0</v>
      </c>
      <c r="AO28" s="517">
        <f t="shared" si="22"/>
        <v>0</v>
      </c>
      <c r="AP28" s="517">
        <f t="shared" si="22"/>
        <v>0</v>
      </c>
      <c r="AQ28" s="517">
        <f t="shared" si="22"/>
        <v>0</v>
      </c>
      <c r="AR28" s="517">
        <f t="shared" si="22"/>
        <v>0</v>
      </c>
      <c r="AS28" s="518">
        <f t="shared" si="1"/>
        <v>0</v>
      </c>
    </row>
    <row r="29" spans="1:45" ht="14.45" customHeight="1" x14ac:dyDescent="0.2">
      <c r="A29" s="775"/>
      <c r="B29" s="503" t="s">
        <v>81</v>
      </c>
      <c r="C29" s="503">
        <f>IF('Option C'!$B14="x",IF('Option C'!$E14="Yes", 'Option C'!G14),0)</f>
        <v>0</v>
      </c>
      <c r="D29" s="503">
        <f>IF('Option C'!$B14="x",IF('Option C'!$E14="Yes", 'Option C'!H14),0)</f>
        <v>0</v>
      </c>
      <c r="E29" s="519">
        <f>IF('Option C'!$B14="x",'ECM Options Lifecycle'!F34,0)</f>
        <v>0</v>
      </c>
      <c r="F29" s="519">
        <f>IF('Option C'!$B14="x",'ECM Options Lifecycle'!G34,0)</f>
        <v>0</v>
      </c>
      <c r="G29" s="520">
        <f>IF('Option C'!$B14="x",'ECM Options Lifecycle'!H34,0)</f>
        <v>0</v>
      </c>
      <c r="H29" s="521">
        <f>IF('Option C'!$B14="x",'ECM Options Lifecycle'!I34,0)</f>
        <v>0</v>
      </c>
      <c r="I29" s="522">
        <f>F29*H29</f>
        <v>0</v>
      </c>
      <c r="J29" s="523"/>
      <c r="K29" s="524"/>
      <c r="L29" s="525"/>
      <c r="M29" s="511">
        <f>'ECM Options Lifecycle'!N34</f>
        <v>0</v>
      </c>
      <c r="N29" s="526">
        <f>'Option C'!I13</f>
        <v>0</v>
      </c>
      <c r="O29" s="523"/>
      <c r="P29" s="526">
        <f>ROUNDUP(N29, 0)</f>
        <v>0</v>
      </c>
      <c r="Q29" s="527">
        <v>1</v>
      </c>
      <c r="R29" s="528"/>
      <c r="S29" s="516">
        <f>I29*Q29</f>
        <v>0</v>
      </c>
      <c r="T29" s="517">
        <f t="shared" ref="T29:AR29" si="23">IF(T$4&lt;$M29,0,IF($P29=0,0,IF(T$4=$M29,$S29,IF((T$4-$M29)/$P29=INT((T$4-$M29)/$P29),$S29,0))))</f>
        <v>0</v>
      </c>
      <c r="U29" s="517">
        <f t="shared" si="23"/>
        <v>0</v>
      </c>
      <c r="V29" s="517">
        <f t="shared" si="23"/>
        <v>0</v>
      </c>
      <c r="W29" s="517">
        <f t="shared" si="23"/>
        <v>0</v>
      </c>
      <c r="X29" s="517">
        <f t="shared" si="23"/>
        <v>0</v>
      </c>
      <c r="Y29" s="517">
        <f t="shared" si="23"/>
        <v>0</v>
      </c>
      <c r="Z29" s="517">
        <f t="shared" si="23"/>
        <v>0</v>
      </c>
      <c r="AA29" s="517">
        <f t="shared" si="23"/>
        <v>0</v>
      </c>
      <c r="AB29" s="517">
        <f t="shared" si="23"/>
        <v>0</v>
      </c>
      <c r="AC29" s="517">
        <f t="shared" si="23"/>
        <v>0</v>
      </c>
      <c r="AD29" s="517">
        <f t="shared" si="23"/>
        <v>0</v>
      </c>
      <c r="AE29" s="517">
        <f t="shared" si="23"/>
        <v>0</v>
      </c>
      <c r="AF29" s="517">
        <f t="shared" si="23"/>
        <v>0</v>
      </c>
      <c r="AG29" s="517">
        <f t="shared" si="23"/>
        <v>0</v>
      </c>
      <c r="AH29" s="517">
        <f t="shared" si="23"/>
        <v>0</v>
      </c>
      <c r="AI29" s="517">
        <f t="shared" si="23"/>
        <v>0</v>
      </c>
      <c r="AJ29" s="517">
        <f t="shared" si="23"/>
        <v>0</v>
      </c>
      <c r="AK29" s="517">
        <f t="shared" si="23"/>
        <v>0</v>
      </c>
      <c r="AL29" s="517">
        <f t="shared" si="23"/>
        <v>0</v>
      </c>
      <c r="AM29" s="517">
        <f t="shared" si="23"/>
        <v>0</v>
      </c>
      <c r="AN29" s="517">
        <f t="shared" si="23"/>
        <v>0</v>
      </c>
      <c r="AO29" s="517">
        <f t="shared" si="23"/>
        <v>0</v>
      </c>
      <c r="AP29" s="517">
        <f t="shared" si="23"/>
        <v>0</v>
      </c>
      <c r="AQ29" s="517">
        <f t="shared" si="23"/>
        <v>0</v>
      </c>
      <c r="AR29" s="517">
        <f t="shared" si="23"/>
        <v>0</v>
      </c>
      <c r="AS29" s="518">
        <f t="shared" si="1"/>
        <v>0</v>
      </c>
    </row>
    <row r="30" spans="1:45" ht="11.1" customHeight="1" thickBot="1" x14ac:dyDescent="0.25">
      <c r="A30" s="775"/>
      <c r="B30" s="503" t="s">
        <v>82</v>
      </c>
      <c r="C30" s="529"/>
      <c r="D30" s="530"/>
      <c r="E30" s="531"/>
      <c r="F30" s="531"/>
      <c r="G30" s="532"/>
      <c r="H30" s="533"/>
      <c r="I30" s="534"/>
      <c r="J30" s="535"/>
      <c r="K30" s="536"/>
      <c r="L30" s="537"/>
      <c r="M30" s="538"/>
      <c r="N30" s="535"/>
      <c r="O30" s="535"/>
      <c r="P30" s="538"/>
      <c r="Q30" s="539"/>
      <c r="R30" s="540"/>
      <c r="S30" s="541"/>
      <c r="T30" s="517">
        <f>T28-T29</f>
        <v>0</v>
      </c>
      <c r="U30" s="517">
        <f t="shared" ref="U30:AR30" si="24">U28-U29</f>
        <v>0</v>
      </c>
      <c r="V30" s="517">
        <f t="shared" si="24"/>
        <v>0</v>
      </c>
      <c r="W30" s="517">
        <f t="shared" si="24"/>
        <v>0</v>
      </c>
      <c r="X30" s="517">
        <f t="shared" si="24"/>
        <v>0</v>
      </c>
      <c r="Y30" s="517">
        <f t="shared" si="24"/>
        <v>0</v>
      </c>
      <c r="Z30" s="517">
        <f t="shared" si="24"/>
        <v>0</v>
      </c>
      <c r="AA30" s="517">
        <f t="shared" si="24"/>
        <v>0</v>
      </c>
      <c r="AB30" s="517">
        <f t="shared" si="24"/>
        <v>0</v>
      </c>
      <c r="AC30" s="517">
        <f t="shared" si="24"/>
        <v>0</v>
      </c>
      <c r="AD30" s="517">
        <f t="shared" si="24"/>
        <v>0</v>
      </c>
      <c r="AE30" s="517">
        <f t="shared" si="24"/>
        <v>0</v>
      </c>
      <c r="AF30" s="517">
        <f t="shared" si="24"/>
        <v>0</v>
      </c>
      <c r="AG30" s="517">
        <f t="shared" si="24"/>
        <v>0</v>
      </c>
      <c r="AH30" s="517">
        <f t="shared" si="24"/>
        <v>0</v>
      </c>
      <c r="AI30" s="517">
        <f t="shared" si="24"/>
        <v>0</v>
      </c>
      <c r="AJ30" s="517">
        <f t="shared" si="24"/>
        <v>0</v>
      </c>
      <c r="AK30" s="517">
        <f t="shared" si="24"/>
        <v>0</v>
      </c>
      <c r="AL30" s="517">
        <f t="shared" si="24"/>
        <v>0</v>
      </c>
      <c r="AM30" s="517">
        <f t="shared" si="24"/>
        <v>0</v>
      </c>
      <c r="AN30" s="517">
        <f t="shared" si="24"/>
        <v>0</v>
      </c>
      <c r="AO30" s="517">
        <f t="shared" si="24"/>
        <v>0</v>
      </c>
      <c r="AP30" s="517">
        <f t="shared" si="24"/>
        <v>0</v>
      </c>
      <c r="AQ30" s="517">
        <f t="shared" si="24"/>
        <v>0</v>
      </c>
      <c r="AR30" s="517">
        <f t="shared" si="24"/>
        <v>0</v>
      </c>
      <c r="AS30" s="518">
        <f t="shared" si="1"/>
        <v>0</v>
      </c>
    </row>
    <row r="31" spans="1:45" ht="15.95" customHeight="1" thickBot="1" x14ac:dyDescent="0.25">
      <c r="A31" s="775">
        <f>'Option C'!A15</f>
        <v>9</v>
      </c>
      <c r="B31" s="503" t="s">
        <v>80</v>
      </c>
      <c r="C31" s="504">
        <f>IF('Option C'!$B15="x",'Option C'!C15,0)</f>
        <v>0</v>
      </c>
      <c r="D31" s="504">
        <f>IF('Option C'!$B15="x",'Option C'!D15,0)</f>
        <v>0</v>
      </c>
      <c r="E31" s="544"/>
      <c r="F31" s="542">
        <f>IF('Option C'!$B15="x",'Option C'!J15,0)</f>
        <v>0</v>
      </c>
      <c r="G31" s="542">
        <f>IF('Option C'!$B15="x",'Option C'!K15,0)</f>
        <v>0</v>
      </c>
      <c r="H31" s="542">
        <f>IF('Option C'!$B15="x",'Option C'!L15,0)</f>
        <v>0</v>
      </c>
      <c r="I31" s="543">
        <f>IF('Option C'!$B15="x",'Option C'!M15,0)</f>
        <v>0</v>
      </c>
      <c r="J31" s="508"/>
      <c r="K31" s="509">
        <f>J31*(1+$K$5)</f>
        <v>0</v>
      </c>
      <c r="L31" s="510"/>
      <c r="M31" s="511">
        <f>'ECM Options Lifecycle'!N36</f>
        <v>0</v>
      </c>
      <c r="N31" s="512">
        <f>IF(D31=0,0,(VLOOKUP(D31,'Technology Inputs'!$D$44:$E$172,2,FALSE)))</f>
        <v>0</v>
      </c>
      <c r="O31" s="513"/>
      <c r="P31" s="512">
        <f>IF(D31=0,0,(ROUNDUP(VLOOKUP(D31,'Technology Inputs'!$D$44:$E$172,2,FALSE),0)))</f>
        <v>0</v>
      </c>
      <c r="Q31" s="514">
        <v>1</v>
      </c>
      <c r="R31" s="515"/>
      <c r="S31" s="516">
        <f>I31*Q31</f>
        <v>0</v>
      </c>
      <c r="T31" s="517">
        <f t="shared" ref="T31:AR31" si="25">IF(T$4&lt;$M31,0,IF($P31=0,0,IF(T$4=$M31,$S31,IF((T$4-$M31)/$P31=INT((T$4-$M31)/$P31),$S31,0))))-IF(T$4=$M31, $S31, 0)</f>
        <v>0</v>
      </c>
      <c r="U31" s="517">
        <f t="shared" si="25"/>
        <v>0</v>
      </c>
      <c r="V31" s="517">
        <f t="shared" si="25"/>
        <v>0</v>
      </c>
      <c r="W31" s="517">
        <f t="shared" si="25"/>
        <v>0</v>
      </c>
      <c r="X31" s="517">
        <f t="shared" si="25"/>
        <v>0</v>
      </c>
      <c r="Y31" s="517">
        <f t="shared" si="25"/>
        <v>0</v>
      </c>
      <c r="Z31" s="517">
        <f t="shared" si="25"/>
        <v>0</v>
      </c>
      <c r="AA31" s="517">
        <f t="shared" si="25"/>
        <v>0</v>
      </c>
      <c r="AB31" s="517">
        <f t="shared" si="25"/>
        <v>0</v>
      </c>
      <c r="AC31" s="517">
        <f t="shared" si="25"/>
        <v>0</v>
      </c>
      <c r="AD31" s="517">
        <f t="shared" si="25"/>
        <v>0</v>
      </c>
      <c r="AE31" s="517">
        <f t="shared" si="25"/>
        <v>0</v>
      </c>
      <c r="AF31" s="517">
        <f t="shared" si="25"/>
        <v>0</v>
      </c>
      <c r="AG31" s="517">
        <f t="shared" si="25"/>
        <v>0</v>
      </c>
      <c r="AH31" s="517">
        <f t="shared" si="25"/>
        <v>0</v>
      </c>
      <c r="AI31" s="517">
        <f t="shared" si="25"/>
        <v>0</v>
      </c>
      <c r="AJ31" s="517">
        <f t="shared" si="25"/>
        <v>0</v>
      </c>
      <c r="AK31" s="517">
        <f t="shared" si="25"/>
        <v>0</v>
      </c>
      <c r="AL31" s="517">
        <f t="shared" si="25"/>
        <v>0</v>
      </c>
      <c r="AM31" s="517">
        <f t="shared" si="25"/>
        <v>0</v>
      </c>
      <c r="AN31" s="517">
        <f t="shared" si="25"/>
        <v>0</v>
      </c>
      <c r="AO31" s="517">
        <f t="shared" si="25"/>
        <v>0</v>
      </c>
      <c r="AP31" s="517">
        <f t="shared" si="25"/>
        <v>0</v>
      </c>
      <c r="AQ31" s="517">
        <f t="shared" si="25"/>
        <v>0</v>
      </c>
      <c r="AR31" s="517">
        <f t="shared" si="25"/>
        <v>0</v>
      </c>
      <c r="AS31" s="518">
        <f t="shared" si="1"/>
        <v>0</v>
      </c>
    </row>
    <row r="32" spans="1:45" ht="14.45" customHeight="1" x14ac:dyDescent="0.2">
      <c r="A32" s="775"/>
      <c r="B32" s="503" t="s">
        <v>81</v>
      </c>
      <c r="C32" s="503">
        <f>IF('Option C'!$B15="x",IF('Option C'!$E15="Yes", 'Option C'!G15),0)</f>
        <v>0</v>
      </c>
      <c r="D32" s="503">
        <f>IF('Option C'!$B15="x",IF('Option C'!$E15="Yes", 'Option C'!H15),0)</f>
        <v>0</v>
      </c>
      <c r="E32" s="519">
        <f>IF('Option C'!$B15="x",'ECM Options Lifecycle'!F37,0)</f>
        <v>0</v>
      </c>
      <c r="F32" s="519">
        <f>IF('Option C'!$B15="x",'ECM Options Lifecycle'!G37,0)</f>
        <v>0</v>
      </c>
      <c r="G32" s="520">
        <f>IF('Option C'!$B15="x",'ECM Options Lifecycle'!H37,0)</f>
        <v>0</v>
      </c>
      <c r="H32" s="521">
        <f>IF('Option C'!$B15="x",'ECM Options Lifecycle'!I37,0)</f>
        <v>0</v>
      </c>
      <c r="I32" s="522">
        <f>F32*H32</f>
        <v>0</v>
      </c>
      <c r="J32" s="523"/>
      <c r="K32" s="524"/>
      <c r="L32" s="525"/>
      <c r="M32" s="511">
        <f>'ECM Options Lifecycle'!N37</f>
        <v>0</v>
      </c>
      <c r="N32" s="526">
        <f>'Option C'!I14</f>
        <v>0</v>
      </c>
      <c r="O32" s="523"/>
      <c r="P32" s="526">
        <f>ROUNDUP(N32, 0)</f>
        <v>0</v>
      </c>
      <c r="Q32" s="527">
        <v>1</v>
      </c>
      <c r="R32" s="528"/>
      <c r="S32" s="516">
        <f>I32*Q32</f>
        <v>0</v>
      </c>
      <c r="T32" s="517">
        <f t="shared" ref="T32:AR32" si="26">IF(T$4&lt;$M32,0,IF($P32=0,0,IF(T$4=$M32,$S32,IF((T$4-$M32)/$P32=INT((T$4-$M32)/$P32),$S32,0))))</f>
        <v>0</v>
      </c>
      <c r="U32" s="517">
        <f t="shared" si="26"/>
        <v>0</v>
      </c>
      <c r="V32" s="517">
        <f t="shared" si="26"/>
        <v>0</v>
      </c>
      <c r="W32" s="517">
        <f t="shared" si="26"/>
        <v>0</v>
      </c>
      <c r="X32" s="517">
        <f t="shared" si="26"/>
        <v>0</v>
      </c>
      <c r="Y32" s="517">
        <f t="shared" si="26"/>
        <v>0</v>
      </c>
      <c r="Z32" s="517">
        <f t="shared" si="26"/>
        <v>0</v>
      </c>
      <c r="AA32" s="517">
        <f t="shared" si="26"/>
        <v>0</v>
      </c>
      <c r="AB32" s="517">
        <f t="shared" si="26"/>
        <v>0</v>
      </c>
      <c r="AC32" s="517">
        <f t="shared" si="26"/>
        <v>0</v>
      </c>
      <c r="AD32" s="517">
        <f t="shared" si="26"/>
        <v>0</v>
      </c>
      <c r="AE32" s="517">
        <f t="shared" si="26"/>
        <v>0</v>
      </c>
      <c r="AF32" s="517">
        <f t="shared" si="26"/>
        <v>0</v>
      </c>
      <c r="AG32" s="517">
        <f t="shared" si="26"/>
        <v>0</v>
      </c>
      <c r="AH32" s="517">
        <f t="shared" si="26"/>
        <v>0</v>
      </c>
      <c r="AI32" s="517">
        <f t="shared" si="26"/>
        <v>0</v>
      </c>
      <c r="AJ32" s="517">
        <f t="shared" si="26"/>
        <v>0</v>
      </c>
      <c r="AK32" s="517">
        <f t="shared" si="26"/>
        <v>0</v>
      </c>
      <c r="AL32" s="517">
        <f t="shared" si="26"/>
        <v>0</v>
      </c>
      <c r="AM32" s="517">
        <f t="shared" si="26"/>
        <v>0</v>
      </c>
      <c r="AN32" s="517">
        <f t="shared" si="26"/>
        <v>0</v>
      </c>
      <c r="AO32" s="517">
        <f t="shared" si="26"/>
        <v>0</v>
      </c>
      <c r="AP32" s="517">
        <f t="shared" si="26"/>
        <v>0</v>
      </c>
      <c r="AQ32" s="517">
        <f t="shared" si="26"/>
        <v>0</v>
      </c>
      <c r="AR32" s="517">
        <f t="shared" si="26"/>
        <v>0</v>
      </c>
      <c r="AS32" s="518">
        <f t="shared" si="1"/>
        <v>0</v>
      </c>
    </row>
    <row r="33" spans="1:45" ht="11.1" customHeight="1" thickBot="1" x14ac:dyDescent="0.25">
      <c r="A33" s="775"/>
      <c r="B33" s="503" t="s">
        <v>82</v>
      </c>
      <c r="C33" s="529"/>
      <c r="D33" s="530"/>
      <c r="E33" s="545"/>
      <c r="F33" s="545"/>
      <c r="G33" s="535"/>
      <c r="H33" s="546"/>
      <c r="I33" s="547"/>
      <c r="J33" s="535"/>
      <c r="K33" s="536"/>
      <c r="L33" s="537"/>
      <c r="M33" s="538"/>
      <c r="N33" s="535"/>
      <c r="O33" s="535"/>
      <c r="P33" s="538"/>
      <c r="Q33" s="539"/>
      <c r="R33" s="540"/>
      <c r="S33" s="541"/>
      <c r="T33" s="517">
        <f>T31-T32</f>
        <v>0</v>
      </c>
      <c r="U33" s="517">
        <f t="shared" ref="U33:AR33" si="27">U31-U32</f>
        <v>0</v>
      </c>
      <c r="V33" s="517">
        <f t="shared" si="27"/>
        <v>0</v>
      </c>
      <c r="W33" s="517">
        <f t="shared" si="27"/>
        <v>0</v>
      </c>
      <c r="X33" s="517">
        <f t="shared" si="27"/>
        <v>0</v>
      </c>
      <c r="Y33" s="517">
        <f t="shared" si="27"/>
        <v>0</v>
      </c>
      <c r="Z33" s="517">
        <f t="shared" si="27"/>
        <v>0</v>
      </c>
      <c r="AA33" s="517">
        <f t="shared" si="27"/>
        <v>0</v>
      </c>
      <c r="AB33" s="517">
        <f t="shared" si="27"/>
        <v>0</v>
      </c>
      <c r="AC33" s="517">
        <f t="shared" si="27"/>
        <v>0</v>
      </c>
      <c r="AD33" s="517">
        <f t="shared" si="27"/>
        <v>0</v>
      </c>
      <c r="AE33" s="517">
        <f t="shared" si="27"/>
        <v>0</v>
      </c>
      <c r="AF33" s="517">
        <f t="shared" si="27"/>
        <v>0</v>
      </c>
      <c r="AG33" s="517">
        <f t="shared" si="27"/>
        <v>0</v>
      </c>
      <c r="AH33" s="517">
        <f t="shared" si="27"/>
        <v>0</v>
      </c>
      <c r="AI33" s="517">
        <f t="shared" si="27"/>
        <v>0</v>
      </c>
      <c r="AJ33" s="517">
        <f t="shared" si="27"/>
        <v>0</v>
      </c>
      <c r="AK33" s="517">
        <f t="shared" si="27"/>
        <v>0</v>
      </c>
      <c r="AL33" s="517">
        <f t="shared" si="27"/>
        <v>0</v>
      </c>
      <c r="AM33" s="517">
        <f t="shared" si="27"/>
        <v>0</v>
      </c>
      <c r="AN33" s="517">
        <f t="shared" si="27"/>
        <v>0</v>
      </c>
      <c r="AO33" s="517">
        <f t="shared" si="27"/>
        <v>0</v>
      </c>
      <c r="AP33" s="517">
        <f t="shared" si="27"/>
        <v>0</v>
      </c>
      <c r="AQ33" s="517">
        <f t="shared" si="27"/>
        <v>0</v>
      </c>
      <c r="AR33" s="517">
        <f t="shared" si="27"/>
        <v>0</v>
      </c>
      <c r="AS33" s="518">
        <f t="shared" si="1"/>
        <v>0</v>
      </c>
    </row>
    <row r="34" spans="1:45" ht="11.1" customHeight="1" x14ac:dyDescent="0.2">
      <c r="C34" s="529"/>
      <c r="D34" s="529" t="s">
        <v>28</v>
      </c>
      <c r="E34" s="548"/>
      <c r="F34" s="548"/>
      <c r="G34" s="549"/>
      <c r="H34" s="550"/>
      <c r="I34" s="551"/>
      <c r="J34" s="552"/>
      <c r="K34" s="553"/>
      <c r="L34" s="554"/>
      <c r="M34" s="555"/>
      <c r="N34" s="555"/>
      <c r="O34" s="555"/>
      <c r="P34" s="556"/>
      <c r="Q34" s="528"/>
      <c r="R34" s="557"/>
      <c r="S34" s="558">
        <f>Q34*F34*K34</f>
        <v>0</v>
      </c>
      <c r="T34" s="517">
        <f t="shared" ref="T34:AR34" si="28">IF(T$4&lt;$M34,0,IF($P34=0,0,IF(T$4=$M34,$S34,IF((T$4-$M34)/$P34=INT((T$4-$M34)/$P34),$S34,0))))</f>
        <v>0</v>
      </c>
      <c r="U34" s="517">
        <f t="shared" si="28"/>
        <v>0</v>
      </c>
      <c r="V34" s="517">
        <f t="shared" si="28"/>
        <v>0</v>
      </c>
      <c r="W34" s="517">
        <f t="shared" si="28"/>
        <v>0</v>
      </c>
      <c r="X34" s="517">
        <f t="shared" si="28"/>
        <v>0</v>
      </c>
      <c r="Y34" s="517">
        <f t="shared" si="28"/>
        <v>0</v>
      </c>
      <c r="Z34" s="517">
        <f t="shared" si="28"/>
        <v>0</v>
      </c>
      <c r="AA34" s="517">
        <f t="shared" si="28"/>
        <v>0</v>
      </c>
      <c r="AB34" s="517">
        <f t="shared" si="28"/>
        <v>0</v>
      </c>
      <c r="AC34" s="517">
        <f t="shared" si="28"/>
        <v>0</v>
      </c>
      <c r="AD34" s="517">
        <f t="shared" si="28"/>
        <v>0</v>
      </c>
      <c r="AE34" s="517">
        <f t="shared" si="28"/>
        <v>0</v>
      </c>
      <c r="AF34" s="517">
        <f t="shared" si="28"/>
        <v>0</v>
      </c>
      <c r="AG34" s="517">
        <f t="shared" si="28"/>
        <v>0</v>
      </c>
      <c r="AH34" s="517">
        <f t="shared" si="28"/>
        <v>0</v>
      </c>
      <c r="AI34" s="517">
        <f t="shared" si="28"/>
        <v>0</v>
      </c>
      <c r="AJ34" s="517">
        <f t="shared" si="28"/>
        <v>0</v>
      </c>
      <c r="AK34" s="517">
        <f t="shared" si="28"/>
        <v>0</v>
      </c>
      <c r="AL34" s="517">
        <f t="shared" si="28"/>
        <v>0</v>
      </c>
      <c r="AM34" s="517">
        <f t="shared" si="28"/>
        <v>0</v>
      </c>
      <c r="AN34" s="517">
        <f t="shared" si="28"/>
        <v>0</v>
      </c>
      <c r="AO34" s="517">
        <f t="shared" si="28"/>
        <v>0</v>
      </c>
      <c r="AP34" s="517">
        <f t="shared" si="28"/>
        <v>0</v>
      </c>
      <c r="AQ34" s="517">
        <f t="shared" si="28"/>
        <v>0</v>
      </c>
      <c r="AR34" s="517">
        <f t="shared" si="28"/>
        <v>0</v>
      </c>
      <c r="AS34" s="518">
        <f t="shared" ref="AS34" si="29">SUM(T34:AR34)</f>
        <v>0</v>
      </c>
    </row>
    <row r="35" spans="1:45" ht="12.95" customHeight="1" thickBot="1" x14ac:dyDescent="0.25"/>
    <row r="36" spans="1:45" ht="12.95" customHeight="1" thickBot="1" x14ac:dyDescent="0.25">
      <c r="S36" s="561" t="s">
        <v>63</v>
      </c>
      <c r="T36" s="562">
        <f>T9+T12+T15+T18+T21+T24+T27+T30+T33</f>
        <v>0</v>
      </c>
      <c r="U36" s="562">
        <f t="shared" ref="U36:AS36" si="30">U9+U12+U15+U18+U21+U24+U27+U30+U33</f>
        <v>0</v>
      </c>
      <c r="V36" s="562">
        <f t="shared" si="30"/>
        <v>0</v>
      </c>
      <c r="W36" s="562">
        <f t="shared" si="30"/>
        <v>0</v>
      </c>
      <c r="X36" s="562">
        <f t="shared" si="30"/>
        <v>0</v>
      </c>
      <c r="Y36" s="562">
        <f t="shared" si="30"/>
        <v>0</v>
      </c>
      <c r="Z36" s="562">
        <f t="shared" si="30"/>
        <v>0</v>
      </c>
      <c r="AA36" s="562">
        <f t="shared" si="30"/>
        <v>0</v>
      </c>
      <c r="AB36" s="562">
        <f t="shared" si="30"/>
        <v>0</v>
      </c>
      <c r="AC36" s="562">
        <f t="shared" si="30"/>
        <v>0</v>
      </c>
      <c r="AD36" s="562">
        <f t="shared" si="30"/>
        <v>0</v>
      </c>
      <c r="AE36" s="562">
        <f t="shared" si="30"/>
        <v>0</v>
      </c>
      <c r="AF36" s="562">
        <f t="shared" si="30"/>
        <v>0</v>
      </c>
      <c r="AG36" s="562">
        <f t="shared" si="30"/>
        <v>0</v>
      </c>
      <c r="AH36" s="562">
        <f t="shared" si="30"/>
        <v>0</v>
      </c>
      <c r="AI36" s="562">
        <f t="shared" si="30"/>
        <v>0</v>
      </c>
      <c r="AJ36" s="562">
        <f t="shared" si="30"/>
        <v>0</v>
      </c>
      <c r="AK36" s="562">
        <f t="shared" si="30"/>
        <v>0</v>
      </c>
      <c r="AL36" s="562">
        <f t="shared" si="30"/>
        <v>0</v>
      </c>
      <c r="AM36" s="562">
        <f t="shared" si="30"/>
        <v>0</v>
      </c>
      <c r="AN36" s="562">
        <f t="shared" si="30"/>
        <v>0</v>
      </c>
      <c r="AO36" s="562">
        <f t="shared" si="30"/>
        <v>0</v>
      </c>
      <c r="AP36" s="562">
        <f t="shared" si="30"/>
        <v>0</v>
      </c>
      <c r="AQ36" s="562">
        <f t="shared" si="30"/>
        <v>0</v>
      </c>
      <c r="AR36" s="562">
        <f t="shared" si="30"/>
        <v>0</v>
      </c>
      <c r="AS36" s="562">
        <f t="shared" si="30"/>
        <v>0</v>
      </c>
    </row>
  </sheetData>
  <sheetProtection algorithmName="SHA-512" hashValue="/VTjozRdUYUBY9fV3LhAjn0qUQOmOKaO+RX3CixkyeYyCyw7MjGFjesYD1T857mIfzWqWLZFl54GcnAdMI06nA==" saltValue="WWHqCqVFLaz/WTPO9xKryw==" spinCount="100000" sheet="1" objects="1" scenarios="1"/>
  <autoFilter ref="C6:AS34" xr:uid="{84E8E926-F5A3-4965-BBDE-68BE248D23AE}"/>
  <mergeCells count="14">
    <mergeCell ref="A7:A9"/>
    <mergeCell ref="A28:A30"/>
    <mergeCell ref="A31:A33"/>
    <mergeCell ref="A10:A12"/>
    <mergeCell ref="A13:A15"/>
    <mergeCell ref="A16:A18"/>
    <mergeCell ref="A19:A21"/>
    <mergeCell ref="A22:A24"/>
    <mergeCell ref="A25:A27"/>
    <mergeCell ref="S4:S5"/>
    <mergeCell ref="Q4:Q5"/>
    <mergeCell ref="P4:P5"/>
    <mergeCell ref="M4:M5"/>
    <mergeCell ref="M3:S3"/>
  </mergeCells>
  <pageMargins left="0.59055119752883911" right="0" top="0.59055119752883911" bottom="0.59055119752883911" header="0.5" footer="0.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57102-9188-44C0-BD5F-D36CD51CE1E2}">
  <sheetPr codeName="Sheet2">
    <tabColor rgb="FFFF0000"/>
  </sheetPr>
  <dimension ref="A1:AL180"/>
  <sheetViews>
    <sheetView showGridLines="0" topLeftCell="A31" workbookViewId="0">
      <selection activeCell="F65" sqref="F65"/>
    </sheetView>
  </sheetViews>
  <sheetFormatPr defaultColWidth="0" defaultRowHeight="12.75" zeroHeight="1" x14ac:dyDescent="0.2"/>
  <cols>
    <col min="1" max="1" width="2.5703125" style="427" customWidth="1"/>
    <col min="2" max="2" width="3" style="427" bestFit="1" customWidth="1"/>
    <col min="3" max="3" width="50.5703125" style="427" customWidth="1"/>
    <col min="4" max="4" width="46.85546875" style="427" bestFit="1" customWidth="1"/>
    <col min="5" max="31" width="8.85546875" style="427" customWidth="1"/>
    <col min="32" max="16384" width="8.85546875" style="427" hidden="1"/>
  </cols>
  <sheetData>
    <row r="1" spans="1:30" ht="15" x14ac:dyDescent="0.2">
      <c r="C1" s="450"/>
      <c r="D1" s="450" t="s">
        <v>226</v>
      </c>
      <c r="E1" s="567">
        <f>'Project Data Input'!D10-'Project Data Input'!D8</f>
        <v>0</v>
      </c>
      <c r="F1" s="567">
        <f>E1+1</f>
        <v>1</v>
      </c>
      <c r="G1" s="567">
        <f t="shared" ref="G1:AD2" si="0">F1+1</f>
        <v>2</v>
      </c>
      <c r="H1" s="567">
        <f t="shared" si="0"/>
        <v>3</v>
      </c>
      <c r="I1" s="567">
        <f t="shared" si="0"/>
        <v>4</v>
      </c>
      <c r="J1" s="567">
        <f t="shared" si="0"/>
        <v>5</v>
      </c>
      <c r="K1" s="567">
        <f t="shared" si="0"/>
        <v>6</v>
      </c>
      <c r="L1" s="567">
        <f t="shared" si="0"/>
        <v>7</v>
      </c>
      <c r="M1" s="567">
        <f t="shared" si="0"/>
        <v>8</v>
      </c>
      <c r="N1" s="567">
        <f t="shared" si="0"/>
        <v>9</v>
      </c>
      <c r="O1" s="567">
        <f t="shared" si="0"/>
        <v>10</v>
      </c>
      <c r="P1" s="567">
        <f t="shared" si="0"/>
        <v>11</v>
      </c>
      <c r="Q1" s="567">
        <f t="shared" si="0"/>
        <v>12</v>
      </c>
      <c r="R1" s="567">
        <f t="shared" si="0"/>
        <v>13</v>
      </c>
      <c r="S1" s="567">
        <f t="shared" si="0"/>
        <v>14</v>
      </c>
      <c r="T1" s="567">
        <f t="shared" si="0"/>
        <v>15</v>
      </c>
      <c r="U1" s="567">
        <f t="shared" si="0"/>
        <v>16</v>
      </c>
      <c r="V1" s="567">
        <f t="shared" si="0"/>
        <v>17</v>
      </c>
      <c r="W1" s="567">
        <f t="shared" si="0"/>
        <v>18</v>
      </c>
      <c r="X1" s="567">
        <f t="shared" si="0"/>
        <v>19</v>
      </c>
      <c r="Y1" s="567">
        <f t="shared" si="0"/>
        <v>20</v>
      </c>
      <c r="Z1" s="567">
        <f t="shared" si="0"/>
        <v>21</v>
      </c>
      <c r="AA1" s="567">
        <f t="shared" si="0"/>
        <v>22</v>
      </c>
      <c r="AB1" s="567">
        <f t="shared" si="0"/>
        <v>23</v>
      </c>
      <c r="AC1" s="567">
        <f t="shared" si="0"/>
        <v>24</v>
      </c>
      <c r="AD1" s="567">
        <f t="shared" si="0"/>
        <v>25</v>
      </c>
    </row>
    <row r="2" spans="1:30" ht="15" x14ac:dyDescent="0.2">
      <c r="A2" s="568"/>
      <c r="B2" s="569"/>
      <c r="C2" s="570" t="s">
        <v>227</v>
      </c>
      <c r="D2" s="450" t="s">
        <v>118</v>
      </c>
      <c r="E2" s="567">
        <v>2022</v>
      </c>
      <c r="F2" s="567">
        <f>E2+1</f>
        <v>2023</v>
      </c>
      <c r="G2" s="567">
        <f t="shared" si="0"/>
        <v>2024</v>
      </c>
      <c r="H2" s="567">
        <f t="shared" si="0"/>
        <v>2025</v>
      </c>
      <c r="I2" s="567">
        <f t="shared" si="0"/>
        <v>2026</v>
      </c>
      <c r="J2" s="567">
        <f t="shared" si="0"/>
        <v>2027</v>
      </c>
      <c r="K2" s="567">
        <f t="shared" si="0"/>
        <v>2028</v>
      </c>
      <c r="L2" s="567">
        <f t="shared" si="0"/>
        <v>2029</v>
      </c>
      <c r="M2" s="567">
        <f t="shared" si="0"/>
        <v>2030</v>
      </c>
      <c r="N2" s="567">
        <f t="shared" si="0"/>
        <v>2031</v>
      </c>
      <c r="O2" s="567">
        <f t="shared" si="0"/>
        <v>2032</v>
      </c>
      <c r="P2" s="567">
        <f t="shared" si="0"/>
        <v>2033</v>
      </c>
      <c r="Q2" s="567">
        <f t="shared" si="0"/>
        <v>2034</v>
      </c>
      <c r="R2" s="567">
        <f t="shared" si="0"/>
        <v>2035</v>
      </c>
      <c r="S2" s="567">
        <f t="shared" si="0"/>
        <v>2036</v>
      </c>
      <c r="T2" s="567">
        <f t="shared" si="0"/>
        <v>2037</v>
      </c>
      <c r="U2" s="567">
        <f t="shared" si="0"/>
        <v>2038</v>
      </c>
      <c r="V2" s="567">
        <f t="shared" si="0"/>
        <v>2039</v>
      </c>
      <c r="W2" s="567">
        <f t="shared" si="0"/>
        <v>2040</v>
      </c>
      <c r="X2" s="567">
        <f t="shared" si="0"/>
        <v>2041</v>
      </c>
      <c r="Y2" s="567">
        <f t="shared" si="0"/>
        <v>2042</v>
      </c>
      <c r="Z2" s="567">
        <f t="shared" si="0"/>
        <v>2043</v>
      </c>
      <c r="AA2" s="567">
        <f t="shared" si="0"/>
        <v>2044</v>
      </c>
      <c r="AB2" s="567">
        <f t="shared" si="0"/>
        <v>2045</v>
      </c>
      <c r="AC2" s="567">
        <f t="shared" si="0"/>
        <v>2046</v>
      </c>
      <c r="AD2" s="567">
        <f t="shared" si="0"/>
        <v>2047</v>
      </c>
    </row>
    <row r="3" spans="1:30" x14ac:dyDescent="0.2">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row>
    <row r="4" spans="1:30" x14ac:dyDescent="0.2">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row>
    <row r="5" spans="1:30" ht="15" x14ac:dyDescent="0.2">
      <c r="B5" s="571"/>
      <c r="C5" s="572" t="s">
        <v>228</v>
      </c>
      <c r="D5" s="450" t="s">
        <v>229</v>
      </c>
      <c r="E5" s="573" t="s">
        <v>230</v>
      </c>
      <c r="F5" s="573" t="s">
        <v>231</v>
      </c>
      <c r="G5" s="573" t="s">
        <v>232</v>
      </c>
      <c r="H5" s="573" t="s">
        <v>233</v>
      </c>
      <c r="I5" s="573" t="s">
        <v>234</v>
      </c>
      <c r="J5" s="573" t="s">
        <v>235</v>
      </c>
      <c r="K5" s="573" t="s">
        <v>236</v>
      </c>
      <c r="L5" s="573" t="s">
        <v>237</v>
      </c>
      <c r="M5" s="573" t="s">
        <v>238</v>
      </c>
      <c r="N5" s="573" t="s">
        <v>239</v>
      </c>
      <c r="O5" s="573" t="s">
        <v>240</v>
      </c>
      <c r="P5" s="573" t="s">
        <v>241</v>
      </c>
      <c r="Q5" s="573" t="s">
        <v>242</v>
      </c>
      <c r="R5" s="573" t="s">
        <v>243</v>
      </c>
      <c r="S5" s="573" t="s">
        <v>244</v>
      </c>
      <c r="T5" s="573" t="s">
        <v>245</v>
      </c>
      <c r="U5" s="573" t="s">
        <v>246</v>
      </c>
      <c r="V5" s="573" t="s">
        <v>247</v>
      </c>
      <c r="W5" s="573" t="s">
        <v>248</v>
      </c>
      <c r="X5" s="573" t="s">
        <v>249</v>
      </c>
      <c r="Y5" s="573" t="s">
        <v>250</v>
      </c>
      <c r="Z5" s="573" t="s">
        <v>251</v>
      </c>
      <c r="AA5" s="573" t="s">
        <v>252</v>
      </c>
      <c r="AB5" s="573" t="s">
        <v>253</v>
      </c>
      <c r="AC5" s="573" t="s">
        <v>254</v>
      </c>
      <c r="AD5" s="573" t="s">
        <v>255</v>
      </c>
    </row>
    <row r="6" spans="1:30" x14ac:dyDescent="0.2">
      <c r="B6" s="574">
        <v>1</v>
      </c>
      <c r="C6" s="575" t="s">
        <v>23</v>
      </c>
      <c r="D6" s="450" t="s">
        <v>256</v>
      </c>
      <c r="E6" s="576">
        <v>0.21240484703418155</v>
      </c>
      <c r="F6" s="576">
        <v>0.20114645642689249</v>
      </c>
      <c r="G6" s="576">
        <v>0.18924904041835522</v>
      </c>
      <c r="H6" s="576">
        <v>0.17667632797501925</v>
      </c>
      <c r="I6" s="576">
        <v>0.16338998932220716</v>
      </c>
      <c r="J6" s="576">
        <v>0.14934951909012323</v>
      </c>
      <c r="K6" s="576">
        <v>0.1345121128272391</v>
      </c>
      <c r="L6" s="576">
        <v>0.11883253650458769</v>
      </c>
      <c r="M6" s="576">
        <v>0.10226298861313161</v>
      </c>
      <c r="N6" s="576">
        <v>9.1118709281026278E-2</v>
      </c>
      <c r="O6" s="577">
        <v>8.1188896331297347E-2</v>
      </c>
      <c r="P6" s="577">
        <v>7.2341201269262606E-2</v>
      </c>
      <c r="Q6" s="577">
        <v>6.4457698497652885E-2</v>
      </c>
      <c r="R6" s="577">
        <v>5.7433313557369317E-2</v>
      </c>
      <c r="S6" s="577">
        <v>5.1174422653319146E-2</v>
      </c>
      <c r="T6" s="577">
        <v>4.5597604799253656E-2</v>
      </c>
      <c r="U6" s="577">
        <v>4.0628529949698775E-2</v>
      </c>
      <c r="V6" s="577">
        <v>3.6200968299558323E-2</v>
      </c>
      <c r="W6" s="577">
        <v>3.2255907546941499E-2</v>
      </c>
      <c r="X6" s="577">
        <v>3.2255907546941499E-2</v>
      </c>
      <c r="Y6" s="577">
        <v>3.2255907546941499E-2</v>
      </c>
      <c r="Z6" s="577">
        <v>3.2255907546941499E-2</v>
      </c>
      <c r="AA6" s="577">
        <v>3.2255907546941499E-2</v>
      </c>
      <c r="AB6" s="577">
        <v>3.2255907546941499E-2</v>
      </c>
      <c r="AC6" s="577">
        <v>3.2255907546941499E-2</v>
      </c>
      <c r="AD6" s="576">
        <v>3.2255907546941499E-2</v>
      </c>
    </row>
    <row r="7" spans="1:30" x14ac:dyDescent="0.2">
      <c r="B7" s="574">
        <f>B6+1</f>
        <v>2</v>
      </c>
      <c r="C7" s="575" t="s">
        <v>24</v>
      </c>
      <c r="D7" s="450" t="s">
        <v>256</v>
      </c>
      <c r="E7" s="576">
        <v>0.18385000000000001</v>
      </c>
      <c r="F7" s="576">
        <v>0.18385000000000001</v>
      </c>
      <c r="G7" s="576">
        <v>0.18385000000000001</v>
      </c>
      <c r="H7" s="576">
        <v>0.18385000000000001</v>
      </c>
      <c r="I7" s="576">
        <v>0.18385000000000001</v>
      </c>
      <c r="J7" s="576">
        <v>0.18385000000000001</v>
      </c>
      <c r="K7" s="576">
        <v>0.18385000000000001</v>
      </c>
      <c r="L7" s="576">
        <v>0.18385000000000001</v>
      </c>
      <c r="M7" s="576">
        <v>0.18385000000000001</v>
      </c>
      <c r="N7" s="576">
        <v>0.18385000000000001</v>
      </c>
      <c r="O7" s="576">
        <v>0.18385000000000001</v>
      </c>
      <c r="P7" s="576">
        <v>0.18385000000000001</v>
      </c>
      <c r="Q7" s="576">
        <v>0.18385000000000001</v>
      </c>
      <c r="R7" s="576">
        <v>0.18385000000000001</v>
      </c>
      <c r="S7" s="576">
        <v>0.18385000000000001</v>
      </c>
      <c r="T7" s="576">
        <v>0.18385000000000001</v>
      </c>
      <c r="U7" s="576">
        <v>0.18385000000000001</v>
      </c>
      <c r="V7" s="576">
        <v>0.18385000000000001</v>
      </c>
      <c r="W7" s="576">
        <v>0.18385000000000001</v>
      </c>
      <c r="X7" s="576">
        <v>0.18385000000000001</v>
      </c>
      <c r="Y7" s="576">
        <v>0.18385000000000001</v>
      </c>
      <c r="Z7" s="576">
        <v>0.18385000000000001</v>
      </c>
      <c r="AA7" s="576">
        <v>0.18385000000000001</v>
      </c>
      <c r="AB7" s="576">
        <v>0.18385000000000001</v>
      </c>
      <c r="AC7" s="576">
        <v>0.18385000000000001</v>
      </c>
      <c r="AD7" s="576">
        <v>0.18385000000000001</v>
      </c>
    </row>
    <row r="8" spans="1:30" x14ac:dyDescent="0.2">
      <c r="B8" s="574">
        <f t="shared" ref="B8:B15" si="1">B7+1</f>
        <v>3</v>
      </c>
      <c r="C8" s="578" t="s">
        <v>257</v>
      </c>
      <c r="D8" s="450" t="s">
        <v>256</v>
      </c>
      <c r="E8" s="576">
        <v>0.25675999999999999</v>
      </c>
      <c r="F8" s="576">
        <v>0.25675999999999999</v>
      </c>
      <c r="G8" s="576">
        <v>0.25675999999999999</v>
      </c>
      <c r="H8" s="576">
        <v>0.25675999999999999</v>
      </c>
      <c r="I8" s="576">
        <v>0.25675999999999999</v>
      </c>
      <c r="J8" s="576">
        <v>0.25675999999999999</v>
      </c>
      <c r="K8" s="576">
        <v>0.25675999999999999</v>
      </c>
      <c r="L8" s="576">
        <v>0.25675999999999999</v>
      </c>
      <c r="M8" s="576">
        <v>0.25675999999999999</v>
      </c>
      <c r="N8" s="576">
        <v>0.25675999999999999</v>
      </c>
      <c r="O8" s="576">
        <v>0.25675999999999999</v>
      </c>
      <c r="P8" s="576">
        <v>0.25675999999999999</v>
      </c>
      <c r="Q8" s="576">
        <v>0.25675999999999999</v>
      </c>
      <c r="R8" s="576">
        <v>0.25675999999999999</v>
      </c>
      <c r="S8" s="576">
        <v>0.25675999999999999</v>
      </c>
      <c r="T8" s="576">
        <v>0.25675999999999999</v>
      </c>
      <c r="U8" s="576">
        <v>0.25675999999999999</v>
      </c>
      <c r="V8" s="576">
        <v>0.25675999999999999</v>
      </c>
      <c r="W8" s="576">
        <v>0.25675999999999999</v>
      </c>
      <c r="X8" s="576">
        <v>0.25675999999999999</v>
      </c>
      <c r="Y8" s="576">
        <v>0.25675999999999999</v>
      </c>
      <c r="Z8" s="576">
        <v>0.25675999999999999</v>
      </c>
      <c r="AA8" s="576">
        <v>0.25675999999999999</v>
      </c>
      <c r="AB8" s="576">
        <v>0.25675999999999999</v>
      </c>
      <c r="AC8" s="576">
        <v>0.25675999999999999</v>
      </c>
      <c r="AD8" s="576">
        <v>0.25675999999999999</v>
      </c>
    </row>
    <row r="9" spans="1:30" x14ac:dyDescent="0.2">
      <c r="B9" s="574">
        <f t="shared" si="1"/>
        <v>4</v>
      </c>
      <c r="C9" s="575" t="s">
        <v>26</v>
      </c>
      <c r="D9" s="450" t="s">
        <v>256</v>
      </c>
      <c r="E9" s="576">
        <v>0.26782</v>
      </c>
      <c r="F9" s="576">
        <v>0.26782</v>
      </c>
      <c r="G9" s="576">
        <v>0.26782</v>
      </c>
      <c r="H9" s="576">
        <v>0.26782</v>
      </c>
      <c r="I9" s="576">
        <v>0.26782</v>
      </c>
      <c r="J9" s="576">
        <v>0.26782</v>
      </c>
      <c r="K9" s="576">
        <v>0.26782</v>
      </c>
      <c r="L9" s="576">
        <v>0.26782</v>
      </c>
      <c r="M9" s="576">
        <v>0.26782</v>
      </c>
      <c r="N9" s="576">
        <v>0.26782</v>
      </c>
      <c r="O9" s="576">
        <v>0.26782</v>
      </c>
      <c r="P9" s="576">
        <v>0.26782</v>
      </c>
      <c r="Q9" s="576">
        <v>0.26782</v>
      </c>
      <c r="R9" s="576">
        <v>0.26782</v>
      </c>
      <c r="S9" s="576">
        <v>0.26782</v>
      </c>
      <c r="T9" s="576">
        <v>0.26782</v>
      </c>
      <c r="U9" s="576">
        <v>0.26782</v>
      </c>
      <c r="V9" s="576">
        <v>0.26782</v>
      </c>
      <c r="W9" s="576">
        <v>0.26782</v>
      </c>
      <c r="X9" s="576">
        <v>0.26782</v>
      </c>
      <c r="Y9" s="576">
        <v>0.26782</v>
      </c>
      <c r="Z9" s="576">
        <v>0.26782</v>
      </c>
      <c r="AA9" s="576">
        <v>0.26782</v>
      </c>
      <c r="AB9" s="576">
        <v>0.26782</v>
      </c>
      <c r="AC9" s="576">
        <v>0.26782</v>
      </c>
      <c r="AD9" s="576">
        <v>0.26782</v>
      </c>
    </row>
    <row r="10" spans="1:30" x14ac:dyDescent="0.2">
      <c r="B10" s="574">
        <f t="shared" si="1"/>
        <v>5</v>
      </c>
      <c r="C10" s="575" t="s">
        <v>27</v>
      </c>
      <c r="D10" s="450" t="s">
        <v>256</v>
      </c>
      <c r="E10" s="576">
        <v>0.24675</v>
      </c>
      <c r="F10" s="576">
        <v>0.24675</v>
      </c>
      <c r="G10" s="576">
        <v>0.24675</v>
      </c>
      <c r="H10" s="576">
        <v>0.24675</v>
      </c>
      <c r="I10" s="576">
        <v>0.24675</v>
      </c>
      <c r="J10" s="576">
        <v>0.24675</v>
      </c>
      <c r="K10" s="576">
        <v>0.24675</v>
      </c>
      <c r="L10" s="576">
        <v>0.24675</v>
      </c>
      <c r="M10" s="576">
        <v>0.24675</v>
      </c>
      <c r="N10" s="576">
        <v>0.24675</v>
      </c>
      <c r="O10" s="576">
        <v>0.24675</v>
      </c>
      <c r="P10" s="576">
        <v>0.24675</v>
      </c>
      <c r="Q10" s="576">
        <v>0.24675</v>
      </c>
      <c r="R10" s="576">
        <v>0.24675</v>
      </c>
      <c r="S10" s="576">
        <v>0.24675</v>
      </c>
      <c r="T10" s="576">
        <v>0.24675</v>
      </c>
      <c r="U10" s="576">
        <v>0.24675</v>
      </c>
      <c r="V10" s="576">
        <v>0.24675</v>
      </c>
      <c r="W10" s="576">
        <v>0.24675</v>
      </c>
      <c r="X10" s="576">
        <v>0.24675</v>
      </c>
      <c r="Y10" s="576">
        <v>0.24675</v>
      </c>
      <c r="Z10" s="576">
        <v>0.24675</v>
      </c>
      <c r="AA10" s="576">
        <v>0.24675</v>
      </c>
      <c r="AB10" s="576">
        <v>0.24675</v>
      </c>
      <c r="AC10" s="576">
        <v>0.24675</v>
      </c>
      <c r="AD10" s="576">
        <v>0.24675</v>
      </c>
    </row>
    <row r="11" spans="1:30" x14ac:dyDescent="0.2">
      <c r="B11" s="574">
        <f t="shared" si="1"/>
        <v>6</v>
      </c>
      <c r="C11" s="579" t="s">
        <v>258</v>
      </c>
      <c r="D11" s="450" t="s">
        <v>256</v>
      </c>
      <c r="E11" s="576">
        <v>0.33183000000000001</v>
      </c>
      <c r="F11" s="576">
        <v>0.33183000000000001</v>
      </c>
      <c r="G11" s="576">
        <v>0.33183000000000001</v>
      </c>
      <c r="H11" s="576">
        <v>0.33183000000000001</v>
      </c>
      <c r="I11" s="576">
        <v>0.33183000000000001</v>
      </c>
      <c r="J11" s="576">
        <v>0.33183000000000001</v>
      </c>
      <c r="K11" s="576">
        <v>0.33183000000000001</v>
      </c>
      <c r="L11" s="576">
        <v>0.33183000000000001</v>
      </c>
      <c r="M11" s="576">
        <v>0.33183000000000001</v>
      </c>
      <c r="N11" s="576">
        <v>0.33183000000000001</v>
      </c>
      <c r="O11" s="576">
        <v>0.33183000000000001</v>
      </c>
      <c r="P11" s="576">
        <v>0.33183000000000001</v>
      </c>
      <c r="Q11" s="576">
        <v>0.33183000000000001</v>
      </c>
      <c r="R11" s="576">
        <v>0.33183000000000001</v>
      </c>
      <c r="S11" s="576">
        <v>0.33183000000000001</v>
      </c>
      <c r="T11" s="576">
        <v>0.33183000000000001</v>
      </c>
      <c r="U11" s="576">
        <v>0.33183000000000001</v>
      </c>
      <c r="V11" s="576">
        <v>0.33183000000000001</v>
      </c>
      <c r="W11" s="576">
        <v>0.33183000000000001</v>
      </c>
      <c r="X11" s="576">
        <v>0.33183000000000001</v>
      </c>
      <c r="Y11" s="576">
        <v>0.33183000000000001</v>
      </c>
      <c r="Z11" s="576">
        <v>0.33183000000000001</v>
      </c>
      <c r="AA11" s="576">
        <v>0.33183000000000001</v>
      </c>
      <c r="AB11" s="576">
        <v>0.33183000000000001</v>
      </c>
      <c r="AC11" s="576">
        <v>0.33183000000000001</v>
      </c>
      <c r="AD11" s="576">
        <v>0.33183000000000001</v>
      </c>
    </row>
    <row r="12" spans="1:30" x14ac:dyDescent="0.2">
      <c r="B12" s="574">
        <f t="shared" si="1"/>
        <v>7</v>
      </c>
      <c r="C12" s="579" t="s">
        <v>259</v>
      </c>
      <c r="D12" s="450" t="s">
        <v>256</v>
      </c>
      <c r="E12" s="576">
        <v>0.21446999999999999</v>
      </c>
      <c r="F12" s="576">
        <v>0.21446999999999999</v>
      </c>
      <c r="G12" s="576">
        <v>0.21446999999999999</v>
      </c>
      <c r="H12" s="576">
        <v>0.21446999999999999</v>
      </c>
      <c r="I12" s="576">
        <v>0.21446999999999999</v>
      </c>
      <c r="J12" s="576">
        <v>0.21446999999999999</v>
      </c>
      <c r="K12" s="576">
        <v>0.21446999999999999</v>
      </c>
      <c r="L12" s="576">
        <v>0.21446999999999999</v>
      </c>
      <c r="M12" s="576">
        <v>0.21446999999999999</v>
      </c>
      <c r="N12" s="576">
        <v>0.21446999999999999</v>
      </c>
      <c r="O12" s="576">
        <v>0.21446999999999999</v>
      </c>
      <c r="P12" s="576">
        <v>0.21446999999999999</v>
      </c>
      <c r="Q12" s="576">
        <v>0.21446999999999999</v>
      </c>
      <c r="R12" s="576">
        <v>0.21446999999999999</v>
      </c>
      <c r="S12" s="576">
        <v>0.21446999999999999</v>
      </c>
      <c r="T12" s="576">
        <v>0.21446999999999999</v>
      </c>
      <c r="U12" s="576">
        <v>0.21446999999999999</v>
      </c>
      <c r="V12" s="576">
        <v>0.21446999999999999</v>
      </c>
      <c r="W12" s="576">
        <v>0.21446999999999999</v>
      </c>
      <c r="X12" s="576">
        <v>0.21446999999999999</v>
      </c>
      <c r="Y12" s="576">
        <v>0.21446999999999999</v>
      </c>
      <c r="Z12" s="576">
        <v>0.21446999999999999</v>
      </c>
      <c r="AA12" s="576">
        <v>0.21446999999999999</v>
      </c>
      <c r="AB12" s="576">
        <v>0.21446999999999999</v>
      </c>
      <c r="AC12" s="576">
        <v>0.21446999999999999</v>
      </c>
      <c r="AD12" s="576">
        <v>0.21446999999999999</v>
      </c>
    </row>
    <row r="13" spans="1:30" x14ac:dyDescent="0.2">
      <c r="B13" s="574">
        <f t="shared" si="1"/>
        <v>8</v>
      </c>
      <c r="C13" s="579" t="s">
        <v>260</v>
      </c>
      <c r="D13" s="450" t="s">
        <v>256</v>
      </c>
      <c r="E13" s="576">
        <v>3.7440000000000001E-2</v>
      </c>
      <c r="F13" s="576">
        <v>3.7440000000000001E-2</v>
      </c>
      <c r="G13" s="576">
        <v>3.7440000000000001E-2</v>
      </c>
      <c r="H13" s="576">
        <v>3.7440000000000001E-2</v>
      </c>
      <c r="I13" s="576">
        <v>3.7440000000000001E-2</v>
      </c>
      <c r="J13" s="576">
        <v>3.7440000000000001E-2</v>
      </c>
      <c r="K13" s="576">
        <v>3.7440000000000001E-2</v>
      </c>
      <c r="L13" s="576">
        <v>3.7440000000000001E-2</v>
      </c>
      <c r="M13" s="576">
        <v>3.7440000000000001E-2</v>
      </c>
      <c r="N13" s="576">
        <v>3.7440000000000001E-2</v>
      </c>
      <c r="O13" s="576">
        <v>3.7440000000000001E-2</v>
      </c>
      <c r="P13" s="576">
        <v>3.7440000000000001E-2</v>
      </c>
      <c r="Q13" s="576">
        <v>3.7440000000000001E-2</v>
      </c>
      <c r="R13" s="576">
        <v>3.7440000000000001E-2</v>
      </c>
      <c r="S13" s="576">
        <v>3.7440000000000001E-2</v>
      </c>
      <c r="T13" s="576">
        <v>3.7440000000000001E-2</v>
      </c>
      <c r="U13" s="576">
        <v>3.7440000000000001E-2</v>
      </c>
      <c r="V13" s="576">
        <v>3.7440000000000001E-2</v>
      </c>
      <c r="W13" s="576">
        <v>3.7440000000000001E-2</v>
      </c>
      <c r="X13" s="576">
        <v>3.7440000000000001E-2</v>
      </c>
      <c r="Y13" s="576">
        <v>3.7440000000000001E-2</v>
      </c>
      <c r="Z13" s="576">
        <v>3.7440000000000001E-2</v>
      </c>
      <c r="AA13" s="576">
        <v>3.7440000000000001E-2</v>
      </c>
      <c r="AB13" s="576">
        <v>3.7440000000000001E-2</v>
      </c>
      <c r="AC13" s="576">
        <v>3.7440000000000001E-2</v>
      </c>
      <c r="AD13" s="576">
        <v>3.7440000000000001E-2</v>
      </c>
    </row>
    <row r="14" spans="1:30" x14ac:dyDescent="0.2">
      <c r="B14" s="574">
        <f t="shared" si="1"/>
        <v>9</v>
      </c>
      <c r="C14" s="575" t="s">
        <v>261</v>
      </c>
      <c r="D14" s="450" t="s">
        <v>256</v>
      </c>
      <c r="E14" s="576">
        <v>7.92E-3</v>
      </c>
      <c r="F14" s="576">
        <v>7.92E-3</v>
      </c>
      <c r="G14" s="576">
        <v>7.92E-3</v>
      </c>
      <c r="H14" s="576">
        <v>7.92E-3</v>
      </c>
      <c r="I14" s="576">
        <v>7.92E-3</v>
      </c>
      <c r="J14" s="576">
        <v>7.92E-3</v>
      </c>
      <c r="K14" s="576">
        <v>7.92E-3</v>
      </c>
      <c r="L14" s="576">
        <v>7.92E-3</v>
      </c>
      <c r="M14" s="576">
        <v>7.92E-3</v>
      </c>
      <c r="N14" s="576">
        <v>7.92E-3</v>
      </c>
      <c r="O14" s="576">
        <v>7.92E-3</v>
      </c>
      <c r="P14" s="576">
        <v>7.92E-3</v>
      </c>
      <c r="Q14" s="576">
        <v>7.92E-3</v>
      </c>
      <c r="R14" s="576">
        <v>7.92E-3</v>
      </c>
      <c r="S14" s="576">
        <v>7.92E-3</v>
      </c>
      <c r="T14" s="576">
        <v>7.92E-3</v>
      </c>
      <c r="U14" s="576">
        <v>7.92E-3</v>
      </c>
      <c r="V14" s="576">
        <v>7.92E-3</v>
      </c>
      <c r="W14" s="576">
        <v>7.92E-3</v>
      </c>
      <c r="X14" s="576">
        <v>7.92E-3</v>
      </c>
      <c r="Y14" s="576">
        <v>7.92E-3</v>
      </c>
      <c r="Z14" s="576">
        <v>7.92E-3</v>
      </c>
      <c r="AA14" s="576">
        <v>7.92E-3</v>
      </c>
      <c r="AB14" s="576">
        <v>7.92E-3</v>
      </c>
      <c r="AC14" s="576">
        <v>7.92E-3</v>
      </c>
      <c r="AD14" s="576">
        <v>7.92E-3</v>
      </c>
    </row>
    <row r="15" spans="1:30" x14ac:dyDescent="0.2">
      <c r="B15" s="574">
        <f t="shared" si="1"/>
        <v>10</v>
      </c>
      <c r="C15" s="575" t="s">
        <v>262</v>
      </c>
      <c r="D15" s="450" t="s">
        <v>256</v>
      </c>
      <c r="E15" s="576">
        <v>2.4049999999999998E-2</v>
      </c>
      <c r="F15" s="576">
        <v>2.4049999999999998E-2</v>
      </c>
      <c r="G15" s="576">
        <v>2.4049999999999998E-2</v>
      </c>
      <c r="H15" s="576">
        <v>2.4049999999999998E-2</v>
      </c>
      <c r="I15" s="576">
        <v>2.4049999999999998E-2</v>
      </c>
      <c r="J15" s="576">
        <v>2.4049999999999998E-2</v>
      </c>
      <c r="K15" s="576">
        <v>2.4049999999999998E-2</v>
      </c>
      <c r="L15" s="576">
        <v>2.4049999999999998E-2</v>
      </c>
      <c r="M15" s="576">
        <v>2.4049999999999998E-2</v>
      </c>
      <c r="N15" s="576">
        <v>2.4049999999999998E-2</v>
      </c>
      <c r="O15" s="580">
        <v>2.4049999999999998E-2</v>
      </c>
      <c r="P15" s="580">
        <v>2.4049999999999998E-2</v>
      </c>
      <c r="Q15" s="580">
        <v>2.4049999999999998E-2</v>
      </c>
      <c r="R15" s="580">
        <v>2.4049999999999998E-2</v>
      </c>
      <c r="S15" s="580">
        <v>2.4049999999999998E-2</v>
      </c>
      <c r="T15" s="580">
        <v>2.4049999999999998E-2</v>
      </c>
      <c r="U15" s="580">
        <v>2.4049999999999998E-2</v>
      </c>
      <c r="V15" s="580">
        <v>2.4049999999999998E-2</v>
      </c>
      <c r="W15" s="580">
        <v>2.4049999999999998E-2</v>
      </c>
      <c r="X15" s="580">
        <v>2.4049999999999998E-2</v>
      </c>
      <c r="Y15" s="580">
        <v>2.4049999999999998E-2</v>
      </c>
      <c r="Z15" s="580">
        <v>2.4049999999999998E-2</v>
      </c>
      <c r="AA15" s="580">
        <v>2.4049999999999998E-2</v>
      </c>
      <c r="AB15" s="580">
        <v>2.4049999999999998E-2</v>
      </c>
      <c r="AC15" s="580">
        <v>2.4049999999999998E-2</v>
      </c>
      <c r="AD15" s="576">
        <v>2.4049999999999998E-2</v>
      </c>
    </row>
    <row r="16" spans="1:30" x14ac:dyDescent="0.2">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row>
    <row r="17" spans="2:38" ht="15" x14ac:dyDescent="0.2">
      <c r="B17" s="571"/>
      <c r="C17" s="572" t="s">
        <v>263</v>
      </c>
      <c r="D17" s="450"/>
      <c r="E17" s="581"/>
      <c r="F17" s="581"/>
      <c r="G17" s="581"/>
      <c r="H17" s="581"/>
      <c r="I17" s="581"/>
      <c r="J17" s="581"/>
      <c r="K17" s="581"/>
      <c r="L17" s="581"/>
      <c r="M17" s="581"/>
      <c r="N17" s="581"/>
      <c r="O17" s="581"/>
      <c r="P17" s="581"/>
      <c r="Q17" s="581"/>
      <c r="R17" s="581"/>
      <c r="S17" s="581"/>
      <c r="T17" s="581"/>
      <c r="U17" s="581"/>
      <c r="V17" s="581"/>
      <c r="W17" s="581"/>
      <c r="X17" s="581"/>
      <c r="Y17" s="582"/>
      <c r="Z17" s="582"/>
      <c r="AA17" s="582"/>
      <c r="AB17" s="582"/>
    </row>
    <row r="18" spans="2:38" x14ac:dyDescent="0.2">
      <c r="B18" s="574">
        <v>1</v>
      </c>
      <c r="C18" s="575" t="s">
        <v>23</v>
      </c>
      <c r="D18" s="450" t="s">
        <v>256</v>
      </c>
      <c r="E18" s="583">
        <v>1.0101641581628833</v>
      </c>
      <c r="F18" s="583">
        <v>1.0098090471783263</v>
      </c>
      <c r="G18" s="583">
        <v>1.0072987354046048</v>
      </c>
      <c r="H18" s="583">
        <v>1.018958101532365</v>
      </c>
      <c r="I18" s="583">
        <v>1.0276841613986836</v>
      </c>
      <c r="J18" s="583">
        <v>0.96288076857957416</v>
      </c>
      <c r="K18" s="583">
        <v>0.9871482916925437</v>
      </c>
      <c r="L18" s="583">
        <v>1.0249289367883132</v>
      </c>
      <c r="M18" s="583">
        <v>0.99569296032785615</v>
      </c>
      <c r="N18" s="583">
        <v>1</v>
      </c>
      <c r="O18" s="583">
        <v>1</v>
      </c>
      <c r="P18" s="583">
        <v>1</v>
      </c>
      <c r="Q18" s="583">
        <v>1</v>
      </c>
      <c r="R18" s="583">
        <v>1</v>
      </c>
      <c r="S18" s="583">
        <v>1</v>
      </c>
      <c r="T18" s="583">
        <v>1</v>
      </c>
      <c r="U18" s="583">
        <v>1</v>
      </c>
      <c r="V18" s="583">
        <v>1</v>
      </c>
      <c r="W18" s="583">
        <v>1</v>
      </c>
      <c r="X18" s="583">
        <v>1</v>
      </c>
      <c r="Y18" s="583">
        <v>1</v>
      </c>
      <c r="Z18" s="583">
        <v>1</v>
      </c>
      <c r="AA18" s="583">
        <v>1</v>
      </c>
      <c r="AB18" s="583">
        <v>1</v>
      </c>
      <c r="AC18" s="583">
        <v>1</v>
      </c>
      <c r="AD18" s="583">
        <v>1</v>
      </c>
      <c r="AE18" s="427">
        <v>1</v>
      </c>
      <c r="AF18" s="427">
        <v>1</v>
      </c>
      <c r="AG18" s="427">
        <v>1</v>
      </c>
      <c r="AH18" s="427">
        <v>1</v>
      </c>
      <c r="AI18" s="427">
        <v>1</v>
      </c>
      <c r="AJ18" s="427">
        <v>1</v>
      </c>
      <c r="AK18" s="427">
        <v>1</v>
      </c>
      <c r="AL18" s="427">
        <v>1</v>
      </c>
    </row>
    <row r="19" spans="2:38" x14ac:dyDescent="0.2">
      <c r="B19" s="574">
        <f>B18+1</f>
        <v>2</v>
      </c>
      <c r="C19" s="575" t="s">
        <v>24</v>
      </c>
      <c r="D19" s="450" t="s">
        <v>256</v>
      </c>
      <c r="E19" s="583">
        <v>1.0570619271983244</v>
      </c>
      <c r="F19" s="583">
        <v>1.0400901871961492</v>
      </c>
      <c r="G19" s="583">
        <v>1.050986359221044</v>
      </c>
      <c r="H19" s="583">
        <v>1.0488061115594505</v>
      </c>
      <c r="I19" s="583">
        <v>1.0128057188026482</v>
      </c>
      <c r="J19" s="583">
        <v>1.0236185657662247</v>
      </c>
      <c r="K19" s="583">
        <v>1.0124452625820841</v>
      </c>
      <c r="L19" s="583">
        <v>1.0227850304431096</v>
      </c>
      <c r="M19" s="583">
        <v>1.0119503015188682</v>
      </c>
      <c r="N19" s="583">
        <v>1</v>
      </c>
      <c r="O19" s="583">
        <v>1</v>
      </c>
      <c r="P19" s="583">
        <v>1</v>
      </c>
      <c r="Q19" s="583">
        <v>1</v>
      </c>
      <c r="R19" s="583">
        <v>1</v>
      </c>
      <c r="S19" s="583">
        <v>1</v>
      </c>
      <c r="T19" s="583">
        <v>1</v>
      </c>
      <c r="U19" s="583">
        <v>1</v>
      </c>
      <c r="V19" s="583">
        <v>1</v>
      </c>
      <c r="W19" s="583">
        <v>1</v>
      </c>
      <c r="X19" s="583">
        <v>1</v>
      </c>
      <c r="Y19" s="583">
        <v>1</v>
      </c>
      <c r="Z19" s="583">
        <v>1</v>
      </c>
      <c r="AA19" s="583">
        <v>1</v>
      </c>
      <c r="AB19" s="583">
        <v>1</v>
      </c>
      <c r="AC19" s="583">
        <v>1</v>
      </c>
      <c r="AD19" s="583">
        <v>1</v>
      </c>
      <c r="AE19" s="427">
        <v>1</v>
      </c>
      <c r="AF19" s="427">
        <v>1</v>
      </c>
      <c r="AG19" s="427">
        <v>1</v>
      </c>
      <c r="AH19" s="427">
        <v>1</v>
      </c>
      <c r="AI19" s="427">
        <v>1</v>
      </c>
      <c r="AJ19" s="427">
        <v>1</v>
      </c>
      <c r="AK19" s="427">
        <v>1</v>
      </c>
      <c r="AL19" s="427">
        <v>1</v>
      </c>
    </row>
    <row r="20" spans="2:38" x14ac:dyDescent="0.2">
      <c r="B20" s="574">
        <f t="shared" ref="B20:B27" si="2">B19+1</f>
        <v>3</v>
      </c>
      <c r="C20" s="578" t="s">
        <v>257</v>
      </c>
      <c r="D20" s="450" t="s">
        <v>256</v>
      </c>
      <c r="E20" s="583">
        <v>1.0113986940260344</v>
      </c>
      <c r="F20" s="583">
        <v>1.0105140657178757</v>
      </c>
      <c r="G20" s="583">
        <v>1.0104800288681042</v>
      </c>
      <c r="H20" s="583">
        <v>1.0103964952991944</v>
      </c>
      <c r="I20" s="583">
        <v>1.0192049887427661</v>
      </c>
      <c r="J20" s="583">
        <v>1.0101142743886213</v>
      </c>
      <c r="K20" s="583">
        <v>1.0100223219326472</v>
      </c>
      <c r="L20" s="583">
        <v>1.0184970137809626</v>
      </c>
      <c r="M20" s="583">
        <v>1.0097609713384343</v>
      </c>
      <c r="N20" s="583">
        <v>1.0013477621778337</v>
      </c>
      <c r="O20" s="583">
        <v>1.0013551579712658</v>
      </c>
      <c r="P20" s="583">
        <v>1.0013625842850036</v>
      </c>
      <c r="Q20" s="583">
        <v>1.0013700411346176</v>
      </c>
      <c r="R20" s="583">
        <v>1.0013775285343818</v>
      </c>
      <c r="S20" s="583">
        <v>1.00138504649726</v>
      </c>
      <c r="T20" s="583">
        <v>1.0013925950348961</v>
      </c>
      <c r="U20" s="583">
        <v>1.0014001741576</v>
      </c>
      <c r="V20" s="583">
        <v>1.001407783874338</v>
      </c>
      <c r="W20" s="583">
        <v>1.0014154241927204</v>
      </c>
      <c r="X20" s="583">
        <v>1.0014230951189904</v>
      </c>
      <c r="Y20" s="583">
        <v>1.0014230951189904</v>
      </c>
      <c r="Z20" s="583">
        <v>1.0014230951189904</v>
      </c>
      <c r="AA20" s="583">
        <v>1.0014230951189904</v>
      </c>
      <c r="AB20" s="583">
        <v>1.0014307966580116</v>
      </c>
      <c r="AC20" s="583">
        <v>1.0014307966580116</v>
      </c>
      <c r="AD20" s="583">
        <v>1.0014307966580116</v>
      </c>
      <c r="AE20" s="427">
        <v>1.0014385288132575</v>
      </c>
      <c r="AF20" s="427">
        <v>1.0014462915868001</v>
      </c>
      <c r="AG20" s="427">
        <v>1.0014540849792981</v>
      </c>
      <c r="AH20" s="427">
        <v>1.0014619089899863</v>
      </c>
      <c r="AI20" s="427">
        <v>1.0014697636166636</v>
      </c>
      <c r="AJ20" s="427">
        <v>1.0014776488556822</v>
      </c>
      <c r="AK20" s="427">
        <v>1.0014855647019378</v>
      </c>
      <c r="AL20" s="427">
        <v>1.0014935111488561</v>
      </c>
    </row>
    <row r="21" spans="2:38" x14ac:dyDescent="0.2">
      <c r="B21" s="574">
        <f t="shared" si="2"/>
        <v>4</v>
      </c>
      <c r="C21" s="575" t="s">
        <v>26</v>
      </c>
      <c r="D21" s="450" t="s">
        <v>256</v>
      </c>
      <c r="E21" s="583">
        <v>1.0113986940260344</v>
      </c>
      <c r="F21" s="583">
        <v>1.0105140657178757</v>
      </c>
      <c r="G21" s="583">
        <v>1.0104800288681042</v>
      </c>
      <c r="H21" s="583">
        <v>1.0103964952991944</v>
      </c>
      <c r="I21" s="583">
        <v>1.0192049887427661</v>
      </c>
      <c r="J21" s="583">
        <v>1.0101142743886213</v>
      </c>
      <c r="K21" s="583">
        <v>1.0100223219326472</v>
      </c>
      <c r="L21" s="583">
        <v>1.0184970137809626</v>
      </c>
      <c r="M21" s="583">
        <v>1.0097609713384343</v>
      </c>
      <c r="N21" s="583">
        <v>1.0013477621778337</v>
      </c>
      <c r="O21" s="583">
        <v>1.0013551579712658</v>
      </c>
      <c r="P21" s="583">
        <v>1.0013625842850036</v>
      </c>
      <c r="Q21" s="583">
        <v>1.0013700411346176</v>
      </c>
      <c r="R21" s="583">
        <v>1.0013775285343818</v>
      </c>
      <c r="S21" s="583">
        <v>1.00138504649726</v>
      </c>
      <c r="T21" s="583">
        <v>1.0013925950348961</v>
      </c>
      <c r="U21" s="583">
        <v>1.0014001741576</v>
      </c>
      <c r="V21" s="583">
        <v>1.001407783874338</v>
      </c>
      <c r="W21" s="583">
        <v>1.0014154241927204</v>
      </c>
      <c r="X21" s="583">
        <v>1.0014230951189904</v>
      </c>
      <c r="Y21" s="583">
        <v>1.0014230951189904</v>
      </c>
      <c r="Z21" s="583">
        <v>1.0014230951189904</v>
      </c>
      <c r="AA21" s="583">
        <v>1.0014230951189904</v>
      </c>
      <c r="AB21" s="583">
        <v>1.0014307966580116</v>
      </c>
      <c r="AC21" s="583">
        <v>1.0014307966580116</v>
      </c>
      <c r="AD21" s="583">
        <v>1.0014307966580116</v>
      </c>
      <c r="AE21" s="427">
        <v>1.0014385288132575</v>
      </c>
      <c r="AF21" s="427">
        <v>1.0014462915868001</v>
      </c>
      <c r="AG21" s="427">
        <v>1.0014540849792981</v>
      </c>
      <c r="AH21" s="427">
        <v>1.0014619089899863</v>
      </c>
      <c r="AI21" s="427">
        <v>1.0014697636166636</v>
      </c>
      <c r="AJ21" s="427">
        <v>1.0014776488556822</v>
      </c>
      <c r="AK21" s="427">
        <v>1.0014855647019378</v>
      </c>
      <c r="AL21" s="427">
        <v>1.0014935111488561</v>
      </c>
    </row>
    <row r="22" spans="2:38" x14ac:dyDescent="0.2">
      <c r="B22" s="574">
        <f t="shared" si="2"/>
        <v>5</v>
      </c>
      <c r="C22" s="575" t="s">
        <v>27</v>
      </c>
      <c r="D22" s="450" t="s">
        <v>256</v>
      </c>
      <c r="E22" s="583">
        <v>1.0113986940260344</v>
      </c>
      <c r="F22" s="583">
        <v>1.0105140657178757</v>
      </c>
      <c r="G22" s="583">
        <v>1.0104800288681042</v>
      </c>
      <c r="H22" s="583">
        <v>1.0103964952991944</v>
      </c>
      <c r="I22" s="583">
        <v>1.0192049887427661</v>
      </c>
      <c r="J22" s="583">
        <v>1.0101142743886213</v>
      </c>
      <c r="K22" s="583">
        <v>1.0100223219326472</v>
      </c>
      <c r="L22" s="583">
        <v>1.0184970137809626</v>
      </c>
      <c r="M22" s="583">
        <v>1.0097609713384343</v>
      </c>
      <c r="N22" s="583">
        <v>1.0013477621778337</v>
      </c>
      <c r="O22" s="583">
        <v>1.0013551579712658</v>
      </c>
      <c r="P22" s="583">
        <v>1.0013625842850036</v>
      </c>
      <c r="Q22" s="583">
        <v>1.0013700411346176</v>
      </c>
      <c r="R22" s="583">
        <v>1.0013775285343818</v>
      </c>
      <c r="S22" s="583">
        <v>1.00138504649726</v>
      </c>
      <c r="T22" s="583">
        <v>1.0013925950348961</v>
      </c>
      <c r="U22" s="583">
        <v>1.0014001741576</v>
      </c>
      <c r="V22" s="583">
        <v>1.001407783874338</v>
      </c>
      <c r="W22" s="583">
        <v>1.0014154241927204</v>
      </c>
      <c r="X22" s="583">
        <v>1.0014230951189904</v>
      </c>
      <c r="Y22" s="583">
        <v>1.0014230951189904</v>
      </c>
      <c r="Z22" s="583">
        <v>1.0014230951189904</v>
      </c>
      <c r="AA22" s="583">
        <v>1.0014230951189904</v>
      </c>
      <c r="AB22" s="583">
        <v>1.0014307966580116</v>
      </c>
      <c r="AC22" s="583">
        <v>1.0014307966580116</v>
      </c>
      <c r="AD22" s="583">
        <v>1.0014307966580116</v>
      </c>
      <c r="AE22" s="427">
        <v>1.0014385288132575</v>
      </c>
      <c r="AF22" s="427">
        <v>1.0014462915868001</v>
      </c>
      <c r="AG22" s="427">
        <v>1.0014540849792981</v>
      </c>
      <c r="AH22" s="427">
        <v>1.0014619089899863</v>
      </c>
      <c r="AI22" s="427">
        <v>1.0014697636166636</v>
      </c>
      <c r="AJ22" s="427">
        <v>1.0014776488556822</v>
      </c>
      <c r="AK22" s="427">
        <v>1.0014855647019378</v>
      </c>
      <c r="AL22" s="427">
        <v>1.0014935111488561</v>
      </c>
    </row>
    <row r="23" spans="2:38" x14ac:dyDescent="0.2">
      <c r="B23" s="574">
        <f t="shared" si="2"/>
        <v>6</v>
      </c>
      <c r="C23" s="579" t="s">
        <v>258</v>
      </c>
      <c r="D23" s="450" t="s">
        <v>256</v>
      </c>
      <c r="E23" s="583">
        <v>1.0113986940260344</v>
      </c>
      <c r="F23" s="583">
        <v>1.0105140657178757</v>
      </c>
      <c r="G23" s="583">
        <v>1.0104800288681042</v>
      </c>
      <c r="H23" s="583">
        <v>1.0103964952991944</v>
      </c>
      <c r="I23" s="583">
        <v>1.0192049887427661</v>
      </c>
      <c r="J23" s="583">
        <v>1.0101142743886213</v>
      </c>
      <c r="K23" s="583">
        <v>1.0100223219326472</v>
      </c>
      <c r="L23" s="583">
        <v>1.0184970137809626</v>
      </c>
      <c r="M23" s="583">
        <v>1.0097609713384343</v>
      </c>
      <c r="N23" s="583">
        <v>1.0013477621778337</v>
      </c>
      <c r="O23" s="583">
        <v>1.0013551579712658</v>
      </c>
      <c r="P23" s="583">
        <v>1.0013625842850036</v>
      </c>
      <c r="Q23" s="583">
        <v>1.0013700411346176</v>
      </c>
      <c r="R23" s="583">
        <v>1.0013775285343818</v>
      </c>
      <c r="S23" s="583">
        <v>1.00138504649726</v>
      </c>
      <c r="T23" s="583">
        <v>1.0013925950348961</v>
      </c>
      <c r="U23" s="583">
        <v>1.0014001741576</v>
      </c>
      <c r="V23" s="583">
        <v>1.001407783874338</v>
      </c>
      <c r="W23" s="583">
        <v>1.0014154241927204</v>
      </c>
      <c r="X23" s="583">
        <v>1.0014230951189904</v>
      </c>
      <c r="Y23" s="583">
        <v>1.0014230951189904</v>
      </c>
      <c r="Z23" s="583">
        <v>1.0014230951189904</v>
      </c>
      <c r="AA23" s="583">
        <v>1.0014230951189904</v>
      </c>
      <c r="AB23" s="583">
        <v>1.0014307966580116</v>
      </c>
      <c r="AC23" s="583">
        <v>1.0014307966580116</v>
      </c>
      <c r="AD23" s="583">
        <v>1.0014307966580116</v>
      </c>
      <c r="AE23" s="427">
        <v>1.0014385288132575</v>
      </c>
      <c r="AF23" s="427">
        <v>1.0014462915868001</v>
      </c>
      <c r="AG23" s="427">
        <v>1.0014540849792981</v>
      </c>
      <c r="AH23" s="427">
        <v>1.0014619089899863</v>
      </c>
      <c r="AI23" s="427">
        <v>1.0014697636166636</v>
      </c>
      <c r="AJ23" s="427">
        <v>1.0014776488556822</v>
      </c>
      <c r="AK23" s="427">
        <v>1.0014855647019378</v>
      </c>
      <c r="AL23" s="427">
        <v>1.0014935111488561</v>
      </c>
    </row>
    <row r="24" spans="2:38" x14ac:dyDescent="0.2">
      <c r="B24" s="574">
        <f t="shared" si="2"/>
        <v>7</v>
      </c>
      <c r="C24" s="579" t="s">
        <v>259</v>
      </c>
      <c r="D24" s="450" t="s">
        <v>256</v>
      </c>
      <c r="E24" s="583">
        <v>1.0113986940260344</v>
      </c>
      <c r="F24" s="583">
        <v>1.0105140657178757</v>
      </c>
      <c r="G24" s="583">
        <v>1.0104800288681042</v>
      </c>
      <c r="H24" s="583">
        <v>1.0103964952991944</v>
      </c>
      <c r="I24" s="583">
        <v>1.0192049887427661</v>
      </c>
      <c r="J24" s="583">
        <v>1.0101142743886213</v>
      </c>
      <c r="K24" s="583">
        <v>1.0100223219326472</v>
      </c>
      <c r="L24" s="583">
        <v>1.0184970137809626</v>
      </c>
      <c r="M24" s="583">
        <v>1.0097609713384343</v>
      </c>
      <c r="N24" s="583">
        <v>1.0013477621778337</v>
      </c>
      <c r="O24" s="583">
        <v>1.0013551579712658</v>
      </c>
      <c r="P24" s="583">
        <v>1.0013625842850036</v>
      </c>
      <c r="Q24" s="583">
        <v>1.0013700411346176</v>
      </c>
      <c r="R24" s="583">
        <v>1.0013775285343818</v>
      </c>
      <c r="S24" s="583">
        <v>1.00138504649726</v>
      </c>
      <c r="T24" s="583">
        <v>1.0013925950348961</v>
      </c>
      <c r="U24" s="583">
        <v>1.0014001741576</v>
      </c>
      <c r="V24" s="583">
        <v>1.001407783874338</v>
      </c>
      <c r="W24" s="583">
        <v>1.0014154241927204</v>
      </c>
      <c r="X24" s="583">
        <v>1.0014230951189904</v>
      </c>
      <c r="Y24" s="583">
        <v>1.0014230951189904</v>
      </c>
      <c r="Z24" s="583">
        <v>1.0014230951189904</v>
      </c>
      <c r="AA24" s="583">
        <v>1.0014230951189904</v>
      </c>
      <c r="AB24" s="583">
        <v>1.0014307966580116</v>
      </c>
      <c r="AC24" s="583">
        <v>1.0014307966580116</v>
      </c>
      <c r="AD24" s="583">
        <v>1.0014307966580116</v>
      </c>
      <c r="AE24" s="427">
        <v>1.0014385288132575</v>
      </c>
      <c r="AF24" s="427">
        <v>1.0014462915868001</v>
      </c>
      <c r="AG24" s="427">
        <v>1.0014540849792981</v>
      </c>
      <c r="AH24" s="427">
        <v>1.0014619089899863</v>
      </c>
      <c r="AI24" s="427">
        <v>1.0014697636166636</v>
      </c>
      <c r="AJ24" s="427">
        <v>1.0014776488556822</v>
      </c>
      <c r="AK24" s="427">
        <v>1.0014855647019378</v>
      </c>
      <c r="AL24" s="427">
        <v>1.0014935111488561</v>
      </c>
    </row>
    <row r="25" spans="2:38" x14ac:dyDescent="0.2">
      <c r="B25" s="574">
        <f t="shared" si="2"/>
        <v>8</v>
      </c>
      <c r="C25" s="579" t="s">
        <v>260</v>
      </c>
      <c r="D25" s="450" t="s">
        <v>256</v>
      </c>
      <c r="E25" s="583">
        <v>1.0113986940260344</v>
      </c>
      <c r="F25" s="583">
        <v>1.0105140657178757</v>
      </c>
      <c r="G25" s="583">
        <v>1.0104800288681042</v>
      </c>
      <c r="H25" s="583">
        <v>1.0103964952991944</v>
      </c>
      <c r="I25" s="583">
        <v>1.0192049887427661</v>
      </c>
      <c r="J25" s="583">
        <v>1.0101142743886213</v>
      </c>
      <c r="K25" s="583">
        <v>1.0100223219326472</v>
      </c>
      <c r="L25" s="583">
        <v>1.0184970137809626</v>
      </c>
      <c r="M25" s="583">
        <v>1.0097609713384343</v>
      </c>
      <c r="N25" s="583">
        <v>1.0013477621778337</v>
      </c>
      <c r="O25" s="583">
        <v>1.0013551579712658</v>
      </c>
      <c r="P25" s="583">
        <v>1.0013625842850036</v>
      </c>
      <c r="Q25" s="583">
        <v>1.0013700411346176</v>
      </c>
      <c r="R25" s="583">
        <v>1.0013775285343818</v>
      </c>
      <c r="S25" s="583">
        <v>1.00138504649726</v>
      </c>
      <c r="T25" s="583">
        <v>1.0013925950348961</v>
      </c>
      <c r="U25" s="583">
        <v>1.0014001741576</v>
      </c>
      <c r="V25" s="583">
        <v>1.001407783874338</v>
      </c>
      <c r="W25" s="583">
        <v>1.0014154241927204</v>
      </c>
      <c r="X25" s="583">
        <v>1.0014230951189904</v>
      </c>
      <c r="Y25" s="583">
        <v>1.0014230951189904</v>
      </c>
      <c r="Z25" s="583">
        <v>1.0014230951189904</v>
      </c>
      <c r="AA25" s="583">
        <v>1.0014230951189904</v>
      </c>
      <c r="AB25" s="583">
        <v>1.0014307966580116</v>
      </c>
      <c r="AC25" s="583">
        <v>1.0014307966580116</v>
      </c>
      <c r="AD25" s="583">
        <v>1.0014307966580116</v>
      </c>
      <c r="AE25" s="427">
        <v>1.0014385288132575</v>
      </c>
      <c r="AF25" s="427">
        <v>1.0014462915868001</v>
      </c>
      <c r="AG25" s="427">
        <v>1.0014540849792981</v>
      </c>
      <c r="AH25" s="427">
        <v>1.0014619089899863</v>
      </c>
      <c r="AI25" s="427">
        <v>1.0014697636166636</v>
      </c>
      <c r="AJ25" s="427">
        <v>1.0014776488556822</v>
      </c>
      <c r="AK25" s="427">
        <v>1.0014855647019378</v>
      </c>
      <c r="AL25" s="427">
        <v>1.0014935111488561</v>
      </c>
    </row>
    <row r="26" spans="2:38" x14ac:dyDescent="0.2">
      <c r="B26" s="574">
        <f t="shared" si="2"/>
        <v>9</v>
      </c>
      <c r="C26" s="575" t="s">
        <v>261</v>
      </c>
      <c r="D26" s="450" t="s">
        <v>256</v>
      </c>
      <c r="E26" s="583">
        <v>1.0113986940260344</v>
      </c>
      <c r="F26" s="583">
        <v>1.0105140657178757</v>
      </c>
      <c r="G26" s="583">
        <v>1.0104800288681042</v>
      </c>
      <c r="H26" s="583">
        <v>1.0103964952991944</v>
      </c>
      <c r="I26" s="583">
        <v>1.0192049887427661</v>
      </c>
      <c r="J26" s="583">
        <v>1.0101142743886213</v>
      </c>
      <c r="K26" s="583">
        <v>1.0100223219326472</v>
      </c>
      <c r="L26" s="583">
        <v>1.0184970137809626</v>
      </c>
      <c r="M26" s="583">
        <v>1.0097609713384343</v>
      </c>
      <c r="N26" s="583">
        <v>1.0013477621778337</v>
      </c>
      <c r="O26" s="583">
        <v>1.0013551579712658</v>
      </c>
      <c r="P26" s="583">
        <v>1.0013625842850036</v>
      </c>
      <c r="Q26" s="583">
        <v>1.0013700411346176</v>
      </c>
      <c r="R26" s="583">
        <v>1.0013775285343818</v>
      </c>
      <c r="S26" s="583">
        <v>1.00138504649726</v>
      </c>
      <c r="T26" s="583">
        <v>1.0013925950348961</v>
      </c>
      <c r="U26" s="583">
        <v>1.0014001741576</v>
      </c>
      <c r="V26" s="583">
        <v>1.001407783874338</v>
      </c>
      <c r="W26" s="583">
        <v>1.0014154241927204</v>
      </c>
      <c r="X26" s="583">
        <v>1.0014230951189904</v>
      </c>
      <c r="Y26" s="583">
        <v>1.0014230951189904</v>
      </c>
      <c r="Z26" s="583">
        <v>1.0014230951189904</v>
      </c>
      <c r="AA26" s="583">
        <v>1.0014230951189904</v>
      </c>
      <c r="AB26" s="583">
        <v>1.0014307966580116</v>
      </c>
      <c r="AC26" s="583">
        <v>1.0014307966580116</v>
      </c>
      <c r="AD26" s="583">
        <v>1.0014307966580116</v>
      </c>
      <c r="AE26" s="427">
        <v>1.0014385288132575</v>
      </c>
      <c r="AF26" s="427">
        <v>1.0014462915868001</v>
      </c>
      <c r="AG26" s="427">
        <v>1.0014540849792981</v>
      </c>
      <c r="AH26" s="427">
        <v>1.0014619089899863</v>
      </c>
      <c r="AI26" s="427">
        <v>1.0014697636166636</v>
      </c>
      <c r="AJ26" s="427">
        <v>1.0014776488556822</v>
      </c>
      <c r="AK26" s="427">
        <v>1.0014855647019378</v>
      </c>
      <c r="AL26" s="427">
        <v>1.0014935111488561</v>
      </c>
    </row>
    <row r="27" spans="2:38" x14ac:dyDescent="0.2">
      <c r="B27" s="574">
        <f t="shared" si="2"/>
        <v>10</v>
      </c>
      <c r="C27" s="575" t="s">
        <v>262</v>
      </c>
      <c r="D27" s="450" t="s">
        <v>256</v>
      </c>
      <c r="E27" s="583">
        <v>1.0113986940260344</v>
      </c>
      <c r="F27" s="583">
        <v>1.0105140657178757</v>
      </c>
      <c r="G27" s="583">
        <v>1.0104800288681042</v>
      </c>
      <c r="H27" s="583">
        <v>1.0103964952991944</v>
      </c>
      <c r="I27" s="583">
        <v>1.0192049887427661</v>
      </c>
      <c r="J27" s="583">
        <v>1.0101142743886213</v>
      </c>
      <c r="K27" s="583">
        <v>1.0100223219326472</v>
      </c>
      <c r="L27" s="583">
        <v>1.0184970137809626</v>
      </c>
      <c r="M27" s="583">
        <v>1.0097609713384343</v>
      </c>
      <c r="N27" s="583">
        <v>1.0013477621778337</v>
      </c>
      <c r="O27" s="583">
        <v>1.0013551579712658</v>
      </c>
      <c r="P27" s="583">
        <v>1.0013625842850036</v>
      </c>
      <c r="Q27" s="583">
        <v>1.0013700411346176</v>
      </c>
      <c r="R27" s="583">
        <v>1.0013775285343818</v>
      </c>
      <c r="S27" s="583">
        <v>1.00138504649726</v>
      </c>
      <c r="T27" s="583">
        <v>1.0013925950348961</v>
      </c>
      <c r="U27" s="583">
        <v>1.0014001741576</v>
      </c>
      <c r="V27" s="583">
        <v>1.001407783874338</v>
      </c>
      <c r="W27" s="583">
        <v>1.0014154241927204</v>
      </c>
      <c r="X27" s="583">
        <v>1.0014230951189904</v>
      </c>
      <c r="Y27" s="583">
        <v>1.0014230951189904</v>
      </c>
      <c r="Z27" s="583">
        <v>1.0014230951189904</v>
      </c>
      <c r="AA27" s="583">
        <v>1.0014230951189904</v>
      </c>
      <c r="AB27" s="583">
        <v>1.0014307966580116</v>
      </c>
      <c r="AC27" s="583">
        <v>1.0014307966580116</v>
      </c>
      <c r="AD27" s="583">
        <v>1.0014307966580116</v>
      </c>
      <c r="AE27" s="427">
        <v>1.0014385288132575</v>
      </c>
      <c r="AF27" s="427">
        <v>1.0014462915868001</v>
      </c>
      <c r="AG27" s="427">
        <v>1.0014540849792981</v>
      </c>
      <c r="AH27" s="427">
        <v>1.0014619089899863</v>
      </c>
      <c r="AI27" s="427">
        <v>1.0014697636166636</v>
      </c>
      <c r="AJ27" s="427">
        <v>1.0014776488556822</v>
      </c>
      <c r="AK27" s="427">
        <v>1.0014855647019378</v>
      </c>
      <c r="AL27" s="427">
        <v>1.0014935111488561</v>
      </c>
    </row>
    <row r="28" spans="2:38" x14ac:dyDescent="0.2">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row>
    <row r="29" spans="2:38" ht="15" x14ac:dyDescent="0.2">
      <c r="B29" s="571"/>
      <c r="C29" s="572" t="s">
        <v>264</v>
      </c>
      <c r="D29" s="450"/>
      <c r="E29" s="581"/>
      <c r="F29" s="581"/>
      <c r="G29" s="581"/>
      <c r="H29" s="581"/>
      <c r="I29" s="581"/>
      <c r="J29" s="581"/>
      <c r="K29" s="581"/>
      <c r="L29" s="581"/>
      <c r="M29" s="581"/>
      <c r="N29" s="581"/>
      <c r="O29" s="581"/>
      <c r="P29" s="581"/>
      <c r="Q29" s="581"/>
      <c r="R29" s="581"/>
      <c r="S29" s="581"/>
      <c r="T29" s="581"/>
      <c r="U29" s="581"/>
      <c r="V29" s="581"/>
      <c r="W29" s="581"/>
      <c r="X29" s="581"/>
      <c r="Y29" s="582"/>
      <c r="Z29" s="582"/>
      <c r="AA29" s="582"/>
      <c r="AB29" s="582"/>
    </row>
    <row r="30" spans="2:38" x14ac:dyDescent="0.2">
      <c r="B30" s="574">
        <v>1</v>
      </c>
      <c r="C30" s="575" t="s">
        <v>23</v>
      </c>
      <c r="D30" s="450" t="s">
        <v>265</v>
      </c>
      <c r="E30" s="584">
        <v>78.44615873200641</v>
      </c>
      <c r="F30" s="584">
        <v>79.711419356716192</v>
      </c>
      <c r="G30" s="584">
        <v>80.976679981425974</v>
      </c>
      <c r="H30" s="584">
        <v>82.241940606135756</v>
      </c>
      <c r="I30" s="584">
        <v>83.507201230845538</v>
      </c>
      <c r="J30" s="584">
        <v>84.772461855555321</v>
      </c>
      <c r="K30" s="584">
        <v>86.037722480265103</v>
      </c>
      <c r="L30" s="584">
        <v>87.302983104974885</v>
      </c>
      <c r="M30" s="584">
        <v>88.568243729684653</v>
      </c>
      <c r="N30" s="584">
        <v>96.792437790298237</v>
      </c>
      <c r="O30" s="584">
        <v>105.01663185091181</v>
      </c>
      <c r="P30" s="584">
        <v>113.24082591152539</v>
      </c>
      <c r="Q30" s="584">
        <v>121.46501997213896</v>
      </c>
      <c r="R30" s="584">
        <v>129.68921403275255</v>
      </c>
      <c r="S30" s="584">
        <v>137.91340809336612</v>
      </c>
      <c r="T30" s="584">
        <v>146.13760215397969</v>
      </c>
      <c r="U30" s="584">
        <v>154.36179621459326</v>
      </c>
      <c r="V30" s="584">
        <v>162.58599027520683</v>
      </c>
      <c r="W30" s="584">
        <v>170.81018433582042</v>
      </c>
      <c r="X30" s="584">
        <v>179.03437839643399</v>
      </c>
      <c r="Y30" s="584">
        <v>187.25857245704756</v>
      </c>
      <c r="Z30" s="584">
        <v>195.48276651766113</v>
      </c>
      <c r="AA30" s="584">
        <v>203.7069605782747</v>
      </c>
      <c r="AB30" s="584">
        <v>211.9311546388883</v>
      </c>
      <c r="AC30" s="584">
        <v>220.15534869950187</v>
      </c>
      <c r="AD30" s="584">
        <v>220.15534869950187</v>
      </c>
      <c r="AE30" s="585"/>
      <c r="AF30" s="585">
        <v>236.60373682072901</v>
      </c>
      <c r="AG30" s="585">
        <v>244.82793088134258</v>
      </c>
      <c r="AH30" s="585">
        <v>253.05212494195618</v>
      </c>
      <c r="AI30" s="585">
        <v>208</v>
      </c>
      <c r="AJ30" s="585">
        <v>216</v>
      </c>
      <c r="AK30" s="585">
        <v>223</v>
      </c>
      <c r="AL30" s="585">
        <v>231</v>
      </c>
    </row>
    <row r="31" spans="2:38" x14ac:dyDescent="0.2">
      <c r="B31" s="574">
        <f>B30+1</f>
        <v>2</v>
      </c>
      <c r="C31" s="575" t="s">
        <v>24</v>
      </c>
      <c r="D31" s="450" t="s">
        <v>265</v>
      </c>
      <c r="E31" s="584">
        <v>78.44615873200641</v>
      </c>
      <c r="F31" s="584">
        <v>79.711419356716192</v>
      </c>
      <c r="G31" s="584">
        <v>80.976679981425974</v>
      </c>
      <c r="H31" s="584">
        <v>82.241940606135756</v>
      </c>
      <c r="I31" s="584">
        <v>83.507201230845538</v>
      </c>
      <c r="J31" s="584">
        <v>84.772461855555321</v>
      </c>
      <c r="K31" s="584">
        <v>86.037722480265103</v>
      </c>
      <c r="L31" s="584">
        <v>87.302983104974885</v>
      </c>
      <c r="M31" s="584">
        <v>88.568243729684653</v>
      </c>
      <c r="N31" s="584">
        <v>96.792437790298237</v>
      </c>
      <c r="O31" s="584">
        <v>105.01663185091181</v>
      </c>
      <c r="P31" s="584">
        <v>113.24082591152539</v>
      </c>
      <c r="Q31" s="584">
        <v>121.46501997213896</v>
      </c>
      <c r="R31" s="584">
        <v>129.68921403275255</v>
      </c>
      <c r="S31" s="584">
        <v>137.91340809336612</v>
      </c>
      <c r="T31" s="584">
        <v>146.13760215397969</v>
      </c>
      <c r="U31" s="584">
        <v>154.36179621459326</v>
      </c>
      <c r="V31" s="584">
        <v>162.58599027520683</v>
      </c>
      <c r="W31" s="584">
        <v>170.81018433582042</v>
      </c>
      <c r="X31" s="584">
        <v>179.03437839643399</v>
      </c>
      <c r="Y31" s="584">
        <v>187.25857245704756</v>
      </c>
      <c r="Z31" s="584">
        <v>195.48276651766113</v>
      </c>
      <c r="AA31" s="584">
        <v>203.7069605782747</v>
      </c>
      <c r="AB31" s="584">
        <v>211.9311546388883</v>
      </c>
      <c r="AC31" s="584">
        <v>220.15534869950187</v>
      </c>
      <c r="AD31" s="584">
        <v>220.15534869950187</v>
      </c>
      <c r="AE31" s="585"/>
      <c r="AF31" s="585">
        <v>236.60373682072901</v>
      </c>
      <c r="AG31" s="585">
        <v>244.82793088134258</v>
      </c>
      <c r="AH31" s="585">
        <v>253.05212494195618</v>
      </c>
      <c r="AI31" s="585">
        <v>208</v>
      </c>
      <c r="AJ31" s="585">
        <v>216</v>
      </c>
      <c r="AK31" s="585">
        <v>223</v>
      </c>
      <c r="AL31" s="585">
        <v>231</v>
      </c>
    </row>
    <row r="32" spans="2:38" x14ac:dyDescent="0.2">
      <c r="B32" s="574">
        <f t="shared" ref="B32:B39" si="3">B31+1</f>
        <v>3</v>
      </c>
      <c r="C32" s="578" t="s">
        <v>257</v>
      </c>
      <c r="D32" s="450" t="s">
        <v>265</v>
      </c>
      <c r="E32" s="584">
        <v>78.44615873200641</v>
      </c>
      <c r="F32" s="584">
        <v>79.711419356716192</v>
      </c>
      <c r="G32" s="584">
        <v>80.976679981425974</v>
      </c>
      <c r="H32" s="584">
        <v>82.241940606135756</v>
      </c>
      <c r="I32" s="584">
        <v>83.507201230845538</v>
      </c>
      <c r="J32" s="584">
        <v>84.772461855555321</v>
      </c>
      <c r="K32" s="584">
        <v>86.037722480265103</v>
      </c>
      <c r="L32" s="584">
        <v>87.302983104974885</v>
      </c>
      <c r="M32" s="584">
        <v>88.568243729684653</v>
      </c>
      <c r="N32" s="584">
        <v>96.792437790298237</v>
      </c>
      <c r="O32" s="584">
        <v>105.01663185091181</v>
      </c>
      <c r="P32" s="584">
        <v>113.24082591152539</v>
      </c>
      <c r="Q32" s="584">
        <v>121.46501997213896</v>
      </c>
      <c r="R32" s="584">
        <v>129.68921403275255</v>
      </c>
      <c r="S32" s="584">
        <v>137.91340809336612</v>
      </c>
      <c r="T32" s="584">
        <v>146.13760215397969</v>
      </c>
      <c r="U32" s="584">
        <v>154.36179621459326</v>
      </c>
      <c r="V32" s="584">
        <v>162.58599027520683</v>
      </c>
      <c r="W32" s="584">
        <v>170.81018433582042</v>
      </c>
      <c r="X32" s="584">
        <v>179.03437839643399</v>
      </c>
      <c r="Y32" s="584">
        <v>187.25857245704756</v>
      </c>
      <c r="Z32" s="584">
        <v>195.48276651766113</v>
      </c>
      <c r="AA32" s="584">
        <v>203.7069605782747</v>
      </c>
      <c r="AB32" s="584">
        <v>211.9311546388883</v>
      </c>
      <c r="AC32" s="584">
        <v>220.15534869950187</v>
      </c>
      <c r="AD32" s="584">
        <v>220.15534869950187</v>
      </c>
      <c r="AF32" s="427">
        <v>236.60373682072901</v>
      </c>
      <c r="AG32" s="427">
        <v>244.82793088134258</v>
      </c>
      <c r="AH32" s="427">
        <v>253.05212494195618</v>
      </c>
    </row>
    <row r="33" spans="2:34" x14ac:dyDescent="0.2">
      <c r="B33" s="574">
        <f t="shared" si="3"/>
        <v>4</v>
      </c>
      <c r="C33" s="575" t="s">
        <v>26</v>
      </c>
      <c r="D33" s="450" t="s">
        <v>265</v>
      </c>
      <c r="E33" s="584">
        <v>78.44615873200641</v>
      </c>
      <c r="F33" s="584">
        <v>79.711419356716192</v>
      </c>
      <c r="G33" s="584">
        <v>80.976679981425974</v>
      </c>
      <c r="H33" s="584">
        <v>82.241940606135756</v>
      </c>
      <c r="I33" s="584">
        <v>83.507201230845538</v>
      </c>
      <c r="J33" s="584">
        <v>84.772461855555321</v>
      </c>
      <c r="K33" s="584">
        <v>86.037722480265103</v>
      </c>
      <c r="L33" s="584">
        <v>87.302983104974885</v>
      </c>
      <c r="M33" s="584">
        <v>88.568243729684653</v>
      </c>
      <c r="N33" s="584">
        <v>96.792437790298237</v>
      </c>
      <c r="O33" s="584">
        <v>105.01663185091181</v>
      </c>
      <c r="P33" s="584">
        <v>113.24082591152539</v>
      </c>
      <c r="Q33" s="584">
        <v>121.46501997213896</v>
      </c>
      <c r="R33" s="584">
        <v>129.68921403275255</v>
      </c>
      <c r="S33" s="584">
        <v>137.91340809336612</v>
      </c>
      <c r="T33" s="584">
        <v>146.13760215397969</v>
      </c>
      <c r="U33" s="584">
        <v>154.36179621459326</v>
      </c>
      <c r="V33" s="584">
        <v>162.58599027520683</v>
      </c>
      <c r="W33" s="584">
        <v>170.81018433582042</v>
      </c>
      <c r="X33" s="584">
        <v>179.03437839643399</v>
      </c>
      <c r="Y33" s="584">
        <v>187.25857245704756</v>
      </c>
      <c r="Z33" s="584">
        <v>195.48276651766113</v>
      </c>
      <c r="AA33" s="584">
        <v>203.7069605782747</v>
      </c>
      <c r="AB33" s="584">
        <v>211.9311546388883</v>
      </c>
      <c r="AC33" s="584">
        <v>220.15534869950187</v>
      </c>
      <c r="AD33" s="584">
        <v>220.15534869950187</v>
      </c>
      <c r="AF33" s="427">
        <v>236.60373682072901</v>
      </c>
      <c r="AG33" s="427">
        <v>244.82793088134258</v>
      </c>
      <c r="AH33" s="427">
        <v>253.05212494195618</v>
      </c>
    </row>
    <row r="34" spans="2:34" x14ac:dyDescent="0.2">
      <c r="B34" s="574">
        <f t="shared" si="3"/>
        <v>5</v>
      </c>
      <c r="C34" s="575" t="s">
        <v>27</v>
      </c>
      <c r="D34" s="450" t="s">
        <v>265</v>
      </c>
      <c r="E34" s="584">
        <v>78.44615873200641</v>
      </c>
      <c r="F34" s="584">
        <v>79.711419356716192</v>
      </c>
      <c r="G34" s="584">
        <v>80.976679981425974</v>
      </c>
      <c r="H34" s="584">
        <v>82.241940606135756</v>
      </c>
      <c r="I34" s="584">
        <v>83.507201230845538</v>
      </c>
      <c r="J34" s="584">
        <v>84.772461855555321</v>
      </c>
      <c r="K34" s="584">
        <v>86.037722480265103</v>
      </c>
      <c r="L34" s="584">
        <v>87.302983104974885</v>
      </c>
      <c r="M34" s="584">
        <v>88.568243729684653</v>
      </c>
      <c r="N34" s="584">
        <v>96.792437790298237</v>
      </c>
      <c r="O34" s="584">
        <v>105.01663185091181</v>
      </c>
      <c r="P34" s="584">
        <v>113.24082591152539</v>
      </c>
      <c r="Q34" s="584">
        <v>121.46501997213896</v>
      </c>
      <c r="R34" s="584">
        <v>129.68921403275255</v>
      </c>
      <c r="S34" s="584">
        <v>137.91340809336612</v>
      </c>
      <c r="T34" s="584">
        <v>146.13760215397969</v>
      </c>
      <c r="U34" s="584">
        <v>154.36179621459326</v>
      </c>
      <c r="V34" s="584">
        <v>162.58599027520683</v>
      </c>
      <c r="W34" s="584">
        <v>170.81018433582042</v>
      </c>
      <c r="X34" s="584">
        <v>179.03437839643399</v>
      </c>
      <c r="Y34" s="584">
        <v>187.25857245704756</v>
      </c>
      <c r="Z34" s="584">
        <v>195.48276651766113</v>
      </c>
      <c r="AA34" s="584">
        <v>203.7069605782747</v>
      </c>
      <c r="AB34" s="584">
        <v>211.9311546388883</v>
      </c>
      <c r="AC34" s="584">
        <v>220.15534869950187</v>
      </c>
      <c r="AD34" s="584">
        <v>220.15534869950187</v>
      </c>
      <c r="AF34" s="427">
        <v>236.60373682072901</v>
      </c>
      <c r="AG34" s="427">
        <v>244.82793088134258</v>
      </c>
      <c r="AH34" s="427">
        <v>253.05212494195618</v>
      </c>
    </row>
    <row r="35" spans="2:34" x14ac:dyDescent="0.2">
      <c r="B35" s="574">
        <f t="shared" si="3"/>
        <v>6</v>
      </c>
      <c r="C35" s="579" t="s">
        <v>258</v>
      </c>
      <c r="D35" s="450" t="s">
        <v>265</v>
      </c>
      <c r="E35" s="584">
        <v>78.44615873200641</v>
      </c>
      <c r="F35" s="584">
        <v>79.711419356716192</v>
      </c>
      <c r="G35" s="584">
        <v>80.976679981425974</v>
      </c>
      <c r="H35" s="584">
        <v>82.241940606135756</v>
      </c>
      <c r="I35" s="584">
        <v>83.507201230845538</v>
      </c>
      <c r="J35" s="584">
        <v>84.772461855555321</v>
      </c>
      <c r="K35" s="584">
        <v>86.037722480265103</v>
      </c>
      <c r="L35" s="584">
        <v>87.302983104974885</v>
      </c>
      <c r="M35" s="584">
        <v>88.568243729684653</v>
      </c>
      <c r="N35" s="584">
        <v>96.792437790298237</v>
      </c>
      <c r="O35" s="584">
        <v>105.01663185091181</v>
      </c>
      <c r="P35" s="584">
        <v>113.24082591152539</v>
      </c>
      <c r="Q35" s="584">
        <v>121.46501997213896</v>
      </c>
      <c r="R35" s="584">
        <v>129.68921403275255</v>
      </c>
      <c r="S35" s="584">
        <v>137.91340809336612</v>
      </c>
      <c r="T35" s="584">
        <v>146.13760215397969</v>
      </c>
      <c r="U35" s="584">
        <v>154.36179621459326</v>
      </c>
      <c r="V35" s="584">
        <v>162.58599027520683</v>
      </c>
      <c r="W35" s="584">
        <v>170.81018433582042</v>
      </c>
      <c r="X35" s="584">
        <v>179.03437839643399</v>
      </c>
      <c r="Y35" s="584">
        <v>187.25857245704756</v>
      </c>
      <c r="Z35" s="584">
        <v>195.48276651766113</v>
      </c>
      <c r="AA35" s="584">
        <v>203.7069605782747</v>
      </c>
      <c r="AB35" s="584">
        <v>211.9311546388883</v>
      </c>
      <c r="AC35" s="584">
        <v>220.15534869950187</v>
      </c>
      <c r="AD35" s="584">
        <v>220.15534869950187</v>
      </c>
      <c r="AF35" s="427">
        <v>236.60373682072901</v>
      </c>
      <c r="AG35" s="427">
        <v>244.82793088134258</v>
      </c>
      <c r="AH35" s="427">
        <v>253.05212494195618</v>
      </c>
    </row>
    <row r="36" spans="2:34" x14ac:dyDescent="0.2">
      <c r="B36" s="574">
        <f t="shared" si="3"/>
        <v>7</v>
      </c>
      <c r="C36" s="579" t="s">
        <v>259</v>
      </c>
      <c r="D36" s="450" t="s">
        <v>265</v>
      </c>
      <c r="E36" s="584">
        <v>78.44615873200641</v>
      </c>
      <c r="F36" s="584">
        <v>79.711419356716192</v>
      </c>
      <c r="G36" s="584">
        <v>80.976679981425974</v>
      </c>
      <c r="H36" s="584">
        <v>82.241940606135756</v>
      </c>
      <c r="I36" s="584">
        <v>83.507201230845538</v>
      </c>
      <c r="J36" s="584">
        <v>84.772461855555321</v>
      </c>
      <c r="K36" s="584">
        <v>86.037722480265103</v>
      </c>
      <c r="L36" s="584">
        <v>87.302983104974885</v>
      </c>
      <c r="M36" s="584">
        <v>88.568243729684653</v>
      </c>
      <c r="N36" s="584">
        <v>96.792437790298237</v>
      </c>
      <c r="O36" s="584">
        <v>105.01663185091181</v>
      </c>
      <c r="P36" s="584">
        <v>113.24082591152539</v>
      </c>
      <c r="Q36" s="584">
        <v>121.46501997213896</v>
      </c>
      <c r="R36" s="584">
        <v>129.68921403275255</v>
      </c>
      <c r="S36" s="584">
        <v>137.91340809336612</v>
      </c>
      <c r="T36" s="584">
        <v>146.13760215397969</v>
      </c>
      <c r="U36" s="584">
        <v>154.36179621459326</v>
      </c>
      <c r="V36" s="584">
        <v>162.58599027520683</v>
      </c>
      <c r="W36" s="584">
        <v>170.81018433582042</v>
      </c>
      <c r="X36" s="584">
        <v>179.03437839643399</v>
      </c>
      <c r="Y36" s="584">
        <v>187.25857245704756</v>
      </c>
      <c r="Z36" s="584">
        <v>195.48276651766113</v>
      </c>
      <c r="AA36" s="584">
        <v>203.7069605782747</v>
      </c>
      <c r="AB36" s="584">
        <v>211.9311546388883</v>
      </c>
      <c r="AC36" s="584">
        <v>220.15534869950187</v>
      </c>
      <c r="AD36" s="584">
        <v>220.15534869950187</v>
      </c>
      <c r="AF36" s="427">
        <v>236.60373682072901</v>
      </c>
      <c r="AG36" s="427">
        <v>244.82793088134258</v>
      </c>
      <c r="AH36" s="427">
        <v>253.05212494195618</v>
      </c>
    </row>
    <row r="37" spans="2:34" x14ac:dyDescent="0.2">
      <c r="B37" s="574">
        <f t="shared" si="3"/>
        <v>8</v>
      </c>
      <c r="C37" s="579" t="s">
        <v>260</v>
      </c>
      <c r="D37" s="450" t="s">
        <v>265</v>
      </c>
      <c r="E37" s="584">
        <v>78.44615873200641</v>
      </c>
      <c r="F37" s="584">
        <v>79.711419356716192</v>
      </c>
      <c r="G37" s="584">
        <v>80.976679981425974</v>
      </c>
      <c r="H37" s="584">
        <v>82.241940606135756</v>
      </c>
      <c r="I37" s="584">
        <v>83.507201230845538</v>
      </c>
      <c r="J37" s="584">
        <v>84.772461855555321</v>
      </c>
      <c r="K37" s="584">
        <v>86.037722480265103</v>
      </c>
      <c r="L37" s="584">
        <v>87.302983104974885</v>
      </c>
      <c r="M37" s="584">
        <v>88.568243729684653</v>
      </c>
      <c r="N37" s="584">
        <v>96.792437790298237</v>
      </c>
      <c r="O37" s="584">
        <v>105.01663185091181</v>
      </c>
      <c r="P37" s="584">
        <v>113.24082591152539</v>
      </c>
      <c r="Q37" s="584">
        <v>121.46501997213896</v>
      </c>
      <c r="R37" s="584">
        <v>129.68921403275255</v>
      </c>
      <c r="S37" s="584">
        <v>137.91340809336612</v>
      </c>
      <c r="T37" s="584">
        <v>146.13760215397969</v>
      </c>
      <c r="U37" s="584">
        <v>154.36179621459326</v>
      </c>
      <c r="V37" s="584">
        <v>162.58599027520683</v>
      </c>
      <c r="W37" s="584">
        <v>170.81018433582042</v>
      </c>
      <c r="X37" s="584">
        <v>179.03437839643399</v>
      </c>
      <c r="Y37" s="584">
        <v>187.25857245704756</v>
      </c>
      <c r="Z37" s="584">
        <v>195.48276651766113</v>
      </c>
      <c r="AA37" s="584">
        <v>203.7069605782747</v>
      </c>
      <c r="AB37" s="584">
        <v>211.9311546388883</v>
      </c>
      <c r="AC37" s="584">
        <v>220.15534869950187</v>
      </c>
      <c r="AD37" s="584">
        <v>220.15534869950187</v>
      </c>
      <c r="AF37" s="427">
        <v>236.60373682072901</v>
      </c>
      <c r="AG37" s="427">
        <v>244.82793088134258</v>
      </c>
      <c r="AH37" s="427">
        <v>253.05212494195618</v>
      </c>
    </row>
    <row r="38" spans="2:34" x14ac:dyDescent="0.2">
      <c r="B38" s="574">
        <f t="shared" si="3"/>
        <v>9</v>
      </c>
      <c r="C38" s="575" t="s">
        <v>261</v>
      </c>
      <c r="D38" s="450" t="s">
        <v>265</v>
      </c>
      <c r="E38" s="584">
        <v>78.44615873200641</v>
      </c>
      <c r="F38" s="584">
        <v>79.711419356716192</v>
      </c>
      <c r="G38" s="584">
        <v>80.976679981425974</v>
      </c>
      <c r="H38" s="584">
        <v>82.241940606135756</v>
      </c>
      <c r="I38" s="584">
        <v>83.507201230845538</v>
      </c>
      <c r="J38" s="584">
        <v>84.772461855555321</v>
      </c>
      <c r="K38" s="584">
        <v>86.037722480265103</v>
      </c>
      <c r="L38" s="584">
        <v>87.302983104974885</v>
      </c>
      <c r="M38" s="584">
        <v>88.568243729684653</v>
      </c>
      <c r="N38" s="584">
        <v>96.792437790298237</v>
      </c>
      <c r="O38" s="584">
        <v>105.01663185091181</v>
      </c>
      <c r="P38" s="584">
        <v>113.24082591152539</v>
      </c>
      <c r="Q38" s="584">
        <v>121.46501997213896</v>
      </c>
      <c r="R38" s="584">
        <v>129.68921403275255</v>
      </c>
      <c r="S38" s="584">
        <v>137.91340809336612</v>
      </c>
      <c r="T38" s="584">
        <v>146.13760215397969</v>
      </c>
      <c r="U38" s="584">
        <v>154.36179621459326</v>
      </c>
      <c r="V38" s="584">
        <v>162.58599027520683</v>
      </c>
      <c r="W38" s="584">
        <v>170.81018433582042</v>
      </c>
      <c r="X38" s="584">
        <v>179.03437839643399</v>
      </c>
      <c r="Y38" s="584">
        <v>187.25857245704756</v>
      </c>
      <c r="Z38" s="584">
        <v>195.48276651766113</v>
      </c>
      <c r="AA38" s="584">
        <v>203.7069605782747</v>
      </c>
      <c r="AB38" s="584">
        <v>211.9311546388883</v>
      </c>
      <c r="AC38" s="584">
        <v>220.15534869950187</v>
      </c>
      <c r="AD38" s="584">
        <v>220.15534869950187</v>
      </c>
      <c r="AF38" s="427">
        <v>236.60373682072901</v>
      </c>
      <c r="AG38" s="427">
        <v>244.82793088134258</v>
      </c>
      <c r="AH38" s="427">
        <v>253.05212494195618</v>
      </c>
    </row>
    <row r="39" spans="2:34" x14ac:dyDescent="0.2">
      <c r="B39" s="574">
        <f t="shared" si="3"/>
        <v>10</v>
      </c>
      <c r="C39" s="575" t="s">
        <v>262</v>
      </c>
      <c r="D39" s="450" t="s">
        <v>265</v>
      </c>
      <c r="E39" s="584">
        <v>78.44615873200641</v>
      </c>
      <c r="F39" s="584">
        <v>79.711419356716192</v>
      </c>
      <c r="G39" s="584">
        <v>80.976679981425974</v>
      </c>
      <c r="H39" s="584">
        <v>82.241940606135756</v>
      </c>
      <c r="I39" s="584">
        <v>83.507201230845538</v>
      </c>
      <c r="J39" s="584">
        <v>84.772461855555321</v>
      </c>
      <c r="K39" s="584">
        <v>86.037722480265103</v>
      </c>
      <c r="L39" s="584">
        <v>87.302983104974885</v>
      </c>
      <c r="M39" s="584">
        <v>88.568243729684653</v>
      </c>
      <c r="N39" s="584">
        <v>96.792437790298237</v>
      </c>
      <c r="O39" s="584">
        <v>105.01663185091181</v>
      </c>
      <c r="P39" s="584">
        <v>113.24082591152539</v>
      </c>
      <c r="Q39" s="584">
        <v>121.46501997213896</v>
      </c>
      <c r="R39" s="584">
        <v>129.68921403275255</v>
      </c>
      <c r="S39" s="584">
        <v>137.91340809336612</v>
      </c>
      <c r="T39" s="584">
        <v>146.13760215397969</v>
      </c>
      <c r="U39" s="584">
        <v>154.36179621459326</v>
      </c>
      <c r="V39" s="584">
        <v>162.58599027520683</v>
      </c>
      <c r="W39" s="584">
        <v>170.81018433582042</v>
      </c>
      <c r="X39" s="584">
        <v>179.03437839643399</v>
      </c>
      <c r="Y39" s="584">
        <v>187.25857245704756</v>
      </c>
      <c r="Z39" s="584">
        <v>195.48276651766113</v>
      </c>
      <c r="AA39" s="584">
        <v>203.7069605782747</v>
      </c>
      <c r="AB39" s="584">
        <v>211.9311546388883</v>
      </c>
      <c r="AC39" s="584">
        <v>220.15534869950187</v>
      </c>
      <c r="AD39" s="584">
        <v>220.15534869950187</v>
      </c>
      <c r="AF39" s="427">
        <v>236.60373682072901</v>
      </c>
      <c r="AG39" s="427">
        <v>244.82793088134258</v>
      </c>
      <c r="AH39" s="427">
        <v>253.05212494195618</v>
      </c>
    </row>
    <row r="40" spans="2:34" x14ac:dyDescent="0.2">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row>
    <row r="41" spans="2:34" x14ac:dyDescent="0.2">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row>
    <row r="42" spans="2:34" ht="13.5" thickBot="1" x14ac:dyDescent="0.25">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row>
    <row r="43" spans="2:34" ht="75.75" thickBot="1" x14ac:dyDescent="0.25">
      <c r="C43" s="586" t="s">
        <v>266</v>
      </c>
      <c r="D43" s="587" t="s">
        <v>267</v>
      </c>
      <c r="E43" s="588" t="s">
        <v>268</v>
      </c>
      <c r="F43" s="450"/>
      <c r="G43" s="450"/>
      <c r="H43" s="589" t="s">
        <v>269</v>
      </c>
      <c r="I43" s="450"/>
      <c r="J43" s="450"/>
      <c r="L43" s="590" t="s">
        <v>270</v>
      </c>
      <c r="M43" s="450"/>
      <c r="O43" s="590" t="s">
        <v>271</v>
      </c>
      <c r="P43" s="450"/>
      <c r="Q43" s="450"/>
      <c r="R43" s="450"/>
      <c r="S43" s="450"/>
      <c r="T43" s="450"/>
      <c r="U43" s="450"/>
      <c r="V43" s="450"/>
      <c r="W43" s="450"/>
      <c r="X43" s="450"/>
      <c r="Y43" s="450"/>
      <c r="Z43" s="450"/>
      <c r="AA43" s="450"/>
      <c r="AB43" s="450"/>
      <c r="AC43" s="450"/>
    </row>
    <row r="44" spans="2:34" x14ac:dyDescent="0.2">
      <c r="C44" s="591" t="s">
        <v>272</v>
      </c>
      <c r="D44" s="592" t="s">
        <v>273</v>
      </c>
      <c r="E44" s="593">
        <v>6.84</v>
      </c>
      <c r="F44" s="450"/>
      <c r="G44" s="450"/>
      <c r="H44" s="594" t="s">
        <v>272</v>
      </c>
      <c r="I44" s="450"/>
      <c r="J44" s="450"/>
      <c r="K44" s="450" t="s">
        <v>274</v>
      </c>
      <c r="L44" s="594" t="s">
        <v>275</v>
      </c>
      <c r="M44" s="450"/>
      <c r="O44" s="594" t="s">
        <v>145</v>
      </c>
      <c r="P44" s="450"/>
      <c r="Q44" s="450"/>
      <c r="R44" s="450"/>
      <c r="S44" s="450"/>
      <c r="T44" s="450"/>
      <c r="U44" s="450"/>
      <c r="V44" s="450"/>
      <c r="W44" s="450"/>
      <c r="X44" s="450"/>
      <c r="Y44" s="450"/>
      <c r="Z44" s="450"/>
      <c r="AA44" s="450"/>
      <c r="AB44" s="450"/>
      <c r="AC44" s="450"/>
    </row>
    <row r="45" spans="2:34" x14ac:dyDescent="0.2">
      <c r="C45" s="595" t="s">
        <v>276</v>
      </c>
      <c r="D45" s="596" t="s">
        <v>277</v>
      </c>
      <c r="E45" s="597">
        <v>13.5</v>
      </c>
      <c r="F45" s="450"/>
      <c r="G45" s="450"/>
      <c r="H45" s="594" t="s">
        <v>278</v>
      </c>
      <c r="I45" s="450"/>
      <c r="J45" s="450"/>
      <c r="K45" s="450" t="s">
        <v>279</v>
      </c>
      <c r="L45" s="594" t="s">
        <v>149</v>
      </c>
      <c r="M45" s="450"/>
      <c r="O45" s="594"/>
      <c r="P45" s="450"/>
      <c r="Q45" s="450"/>
      <c r="R45" s="450"/>
      <c r="S45" s="450"/>
      <c r="T45" s="450"/>
      <c r="U45" s="450"/>
      <c r="V45" s="450"/>
      <c r="W45" s="450"/>
      <c r="X45" s="450"/>
      <c r="Y45" s="450"/>
      <c r="Z45" s="450"/>
      <c r="AA45" s="450"/>
      <c r="AB45" s="450"/>
      <c r="AC45" s="450"/>
    </row>
    <row r="46" spans="2:34" x14ac:dyDescent="0.2">
      <c r="C46" s="595" t="s">
        <v>276</v>
      </c>
      <c r="D46" s="596" t="s">
        <v>280</v>
      </c>
      <c r="E46" s="597">
        <v>6.84</v>
      </c>
      <c r="F46" s="450"/>
      <c r="G46" s="450"/>
      <c r="H46" s="594" t="s">
        <v>281</v>
      </c>
      <c r="I46" s="450"/>
      <c r="J46" s="450"/>
      <c r="K46" s="450" t="s">
        <v>282</v>
      </c>
      <c r="L46" s="594" t="s">
        <v>196</v>
      </c>
      <c r="M46" s="450"/>
      <c r="O46" s="594" t="s">
        <v>283</v>
      </c>
      <c r="P46" s="450"/>
      <c r="Q46" s="450"/>
      <c r="R46" s="450"/>
      <c r="S46" s="450"/>
      <c r="T46" s="450"/>
      <c r="U46" s="450"/>
      <c r="V46" s="450"/>
      <c r="W46" s="450"/>
      <c r="X46" s="450"/>
      <c r="Y46" s="450"/>
      <c r="Z46" s="450"/>
      <c r="AA46" s="450"/>
      <c r="AB46" s="450"/>
      <c r="AC46" s="450"/>
    </row>
    <row r="47" spans="2:34" x14ac:dyDescent="0.2">
      <c r="C47" s="595" t="s">
        <v>276</v>
      </c>
      <c r="D47" s="596" t="s">
        <v>284</v>
      </c>
      <c r="E47" s="597">
        <v>7.22</v>
      </c>
      <c r="F47" s="450"/>
      <c r="G47" s="450"/>
      <c r="H47" s="594" t="s">
        <v>285</v>
      </c>
      <c r="I47" s="450"/>
      <c r="J47" s="450"/>
      <c r="K47" s="450"/>
      <c r="M47" s="450"/>
      <c r="O47" s="594" t="s">
        <v>286</v>
      </c>
      <c r="P47" s="450"/>
      <c r="Q47" s="450"/>
      <c r="R47" s="450"/>
      <c r="S47" s="450"/>
      <c r="T47" s="450"/>
      <c r="U47" s="450"/>
      <c r="V47" s="450"/>
      <c r="W47" s="450"/>
      <c r="X47" s="450"/>
      <c r="Y47" s="450"/>
      <c r="Z47" s="450"/>
      <c r="AA47" s="450"/>
      <c r="AB47" s="450"/>
      <c r="AC47" s="450"/>
    </row>
    <row r="48" spans="2:34" x14ac:dyDescent="0.2">
      <c r="C48" s="598" t="s">
        <v>276</v>
      </c>
      <c r="D48" s="599" t="s">
        <v>287</v>
      </c>
      <c r="E48" s="597">
        <v>14.44</v>
      </c>
      <c r="F48" s="450"/>
      <c r="G48" s="450"/>
      <c r="H48" s="594" t="s">
        <v>288</v>
      </c>
      <c r="I48" s="450"/>
      <c r="J48" s="450"/>
      <c r="K48" s="450"/>
      <c r="M48" s="450"/>
      <c r="O48" s="594" t="s">
        <v>289</v>
      </c>
      <c r="P48" s="450"/>
      <c r="Q48" s="450"/>
      <c r="R48" s="450"/>
      <c r="S48" s="450"/>
      <c r="T48" s="450"/>
      <c r="U48" s="450"/>
      <c r="V48" s="450"/>
      <c r="W48" s="450"/>
      <c r="X48" s="450"/>
      <c r="Y48" s="450"/>
      <c r="Z48" s="450"/>
      <c r="AA48" s="450"/>
      <c r="AB48" s="450"/>
      <c r="AC48" s="450"/>
    </row>
    <row r="49" spans="3:29" x14ac:dyDescent="0.2">
      <c r="C49" s="598"/>
      <c r="D49" s="599" t="s">
        <v>290</v>
      </c>
      <c r="E49" s="600">
        <v>10.83</v>
      </c>
      <c r="F49" s="450"/>
      <c r="G49" s="450"/>
      <c r="H49" s="594" t="s">
        <v>291</v>
      </c>
      <c r="I49" s="450"/>
      <c r="J49" s="450"/>
      <c r="K49" s="450"/>
      <c r="M49" s="450"/>
      <c r="O49" s="594" t="s">
        <v>292</v>
      </c>
      <c r="P49" s="450"/>
      <c r="Q49" s="450"/>
      <c r="R49" s="450"/>
      <c r="S49" s="450"/>
      <c r="T49" s="450"/>
      <c r="U49" s="450"/>
      <c r="V49" s="450"/>
      <c r="W49" s="450"/>
      <c r="X49" s="450"/>
      <c r="Y49" s="450"/>
      <c r="Z49" s="450"/>
      <c r="AA49" s="450"/>
      <c r="AB49" s="450"/>
      <c r="AC49" s="450"/>
    </row>
    <row r="50" spans="3:29" ht="13.5" thickBot="1" x14ac:dyDescent="0.25">
      <c r="C50" s="601" t="s">
        <v>276</v>
      </c>
      <c r="D50" s="602" t="s">
        <v>293</v>
      </c>
      <c r="E50" s="603">
        <v>10.83</v>
      </c>
      <c r="F50" s="450"/>
      <c r="G50" s="450"/>
      <c r="H50" s="594" t="s">
        <v>294</v>
      </c>
      <c r="I50" s="450"/>
      <c r="J50" s="450"/>
      <c r="K50" s="450"/>
      <c r="M50" s="450"/>
      <c r="O50" s="594" t="s">
        <v>295</v>
      </c>
      <c r="P50" s="450"/>
      <c r="Q50" s="450"/>
      <c r="R50" s="450"/>
      <c r="S50" s="450"/>
      <c r="T50" s="450"/>
      <c r="U50" s="450"/>
      <c r="V50" s="450"/>
      <c r="W50" s="450"/>
      <c r="X50" s="450"/>
      <c r="Y50" s="450"/>
      <c r="Z50" s="450"/>
      <c r="AA50" s="450"/>
      <c r="AB50" s="450"/>
      <c r="AC50" s="450"/>
    </row>
    <row r="51" spans="3:29" x14ac:dyDescent="0.2">
      <c r="C51" s="591" t="s">
        <v>296</v>
      </c>
      <c r="D51" s="592" t="s">
        <v>297</v>
      </c>
      <c r="E51" s="593">
        <v>9</v>
      </c>
      <c r="F51" s="450"/>
      <c r="G51" s="450"/>
      <c r="H51" s="594" t="s">
        <v>298</v>
      </c>
      <c r="I51" s="450"/>
      <c r="J51" s="450"/>
      <c r="K51" s="450"/>
      <c r="M51" s="450"/>
      <c r="O51" s="594" t="s">
        <v>299</v>
      </c>
      <c r="P51" s="450"/>
      <c r="Q51" s="450"/>
      <c r="R51" s="450"/>
      <c r="S51" s="450"/>
      <c r="T51" s="450"/>
      <c r="U51" s="450"/>
      <c r="V51" s="450"/>
      <c r="W51" s="450"/>
      <c r="X51" s="450"/>
      <c r="Y51" s="450"/>
      <c r="Z51" s="450"/>
      <c r="AA51" s="450"/>
      <c r="AB51" s="450"/>
      <c r="AC51" s="450"/>
    </row>
    <row r="52" spans="3:29" x14ac:dyDescent="0.2">
      <c r="C52" s="595" t="s">
        <v>276</v>
      </c>
      <c r="D52" s="596" t="s">
        <v>300</v>
      </c>
      <c r="E52" s="597">
        <v>6.84</v>
      </c>
      <c r="F52" s="450"/>
      <c r="G52" s="450"/>
      <c r="H52" s="594" t="s">
        <v>301</v>
      </c>
      <c r="I52" s="450"/>
      <c r="J52" s="450"/>
      <c r="K52" s="450"/>
      <c r="M52" s="450"/>
      <c r="O52" s="594" t="s">
        <v>302</v>
      </c>
      <c r="P52" s="450"/>
      <c r="Q52" s="450"/>
      <c r="R52" s="450"/>
      <c r="S52" s="450"/>
      <c r="T52" s="450"/>
      <c r="U52" s="450"/>
      <c r="V52" s="450"/>
      <c r="W52" s="450"/>
      <c r="X52" s="450"/>
      <c r="Y52" s="450"/>
      <c r="Z52" s="450"/>
      <c r="AA52" s="450"/>
      <c r="AB52" s="450"/>
      <c r="AC52" s="450"/>
    </row>
    <row r="53" spans="3:29" ht="13.5" thickBot="1" x14ac:dyDescent="0.25">
      <c r="C53" s="601" t="s">
        <v>276</v>
      </c>
      <c r="D53" s="602" t="s">
        <v>303</v>
      </c>
      <c r="E53" s="603">
        <v>8.4208754827908177</v>
      </c>
      <c r="F53" s="450"/>
      <c r="G53" s="450"/>
      <c r="H53" s="594" t="s">
        <v>304</v>
      </c>
      <c r="I53" s="450"/>
      <c r="J53" s="450"/>
      <c r="K53" s="450"/>
      <c r="M53" s="450"/>
      <c r="O53" s="594" t="s">
        <v>305</v>
      </c>
      <c r="P53" s="450"/>
      <c r="Q53" s="450"/>
      <c r="R53" s="450"/>
      <c r="S53" s="450"/>
      <c r="T53" s="450"/>
      <c r="U53" s="450"/>
      <c r="V53" s="450"/>
      <c r="W53" s="450"/>
      <c r="X53" s="450"/>
      <c r="Y53" s="450"/>
      <c r="Z53" s="450"/>
      <c r="AA53" s="450"/>
      <c r="AB53" s="450"/>
      <c r="AC53" s="450"/>
    </row>
    <row r="54" spans="3:29" x14ac:dyDescent="0.2">
      <c r="C54" s="591" t="s">
        <v>306</v>
      </c>
      <c r="D54" s="592" t="s">
        <v>307</v>
      </c>
      <c r="E54" s="593">
        <v>7.6</v>
      </c>
      <c r="F54" s="450"/>
      <c r="G54" s="450"/>
      <c r="H54" s="594" t="s">
        <v>308</v>
      </c>
      <c r="I54" s="450"/>
      <c r="J54" s="450"/>
      <c r="K54" s="450"/>
      <c r="M54" s="450"/>
      <c r="O54" s="594" t="s">
        <v>309</v>
      </c>
      <c r="P54" s="450"/>
      <c r="Q54" s="450"/>
      <c r="R54" s="450"/>
      <c r="S54" s="450"/>
      <c r="T54" s="450"/>
      <c r="U54" s="450"/>
      <c r="V54" s="450"/>
      <c r="W54" s="450"/>
      <c r="X54" s="450"/>
      <c r="Y54" s="450"/>
      <c r="Z54" s="450"/>
      <c r="AA54" s="450"/>
      <c r="AB54" s="450"/>
      <c r="AC54" s="450"/>
    </row>
    <row r="55" spans="3:29" x14ac:dyDescent="0.2">
      <c r="C55" s="595" t="s">
        <v>276</v>
      </c>
      <c r="D55" s="604" t="s">
        <v>310</v>
      </c>
      <c r="E55" s="605">
        <v>11.4</v>
      </c>
      <c r="F55" s="450"/>
      <c r="G55" s="450"/>
      <c r="H55" s="594" t="s">
        <v>311</v>
      </c>
      <c r="I55" s="450"/>
      <c r="J55" s="450"/>
      <c r="K55" s="450"/>
      <c r="M55" s="450"/>
      <c r="O55" s="594" t="s">
        <v>312</v>
      </c>
      <c r="P55" s="450"/>
      <c r="Q55" s="450"/>
      <c r="R55" s="450"/>
      <c r="S55" s="450"/>
      <c r="T55" s="450"/>
      <c r="U55" s="450"/>
      <c r="V55" s="450"/>
      <c r="W55" s="450"/>
      <c r="X55" s="450"/>
      <c r="Y55" s="450"/>
      <c r="Z55" s="450"/>
      <c r="AA55" s="450"/>
      <c r="AB55" s="450"/>
      <c r="AC55" s="450"/>
    </row>
    <row r="56" spans="3:29" x14ac:dyDescent="0.2">
      <c r="C56" s="606" t="s">
        <v>276</v>
      </c>
      <c r="D56" s="596" t="s">
        <v>313</v>
      </c>
      <c r="E56" s="597">
        <v>15.2</v>
      </c>
      <c r="F56" s="450"/>
      <c r="G56" s="450"/>
      <c r="H56" s="594" t="s">
        <v>314</v>
      </c>
      <c r="I56" s="450"/>
      <c r="J56" s="450"/>
      <c r="K56" s="450"/>
      <c r="M56" s="450"/>
      <c r="O56" s="594" t="s">
        <v>315</v>
      </c>
      <c r="P56" s="450"/>
      <c r="Q56" s="450"/>
      <c r="R56" s="450"/>
      <c r="S56" s="450"/>
      <c r="T56" s="450"/>
      <c r="U56" s="450"/>
      <c r="V56" s="450"/>
      <c r="W56" s="450"/>
      <c r="X56" s="450"/>
      <c r="Y56" s="450"/>
      <c r="Z56" s="450"/>
      <c r="AA56" s="450"/>
      <c r="AB56" s="450"/>
      <c r="AC56" s="450"/>
    </row>
    <row r="57" spans="3:29" ht="13.5" thickBot="1" x14ac:dyDescent="0.25">
      <c r="C57" s="607"/>
      <c r="D57" s="608" t="s">
        <v>316</v>
      </c>
      <c r="E57" s="609">
        <v>30</v>
      </c>
      <c r="F57" s="450"/>
      <c r="G57" s="450"/>
      <c r="H57" s="594" t="s">
        <v>317</v>
      </c>
      <c r="I57" s="450"/>
      <c r="J57" s="450"/>
      <c r="K57" s="450"/>
      <c r="M57" s="450"/>
      <c r="O57" s="594" t="s">
        <v>318</v>
      </c>
      <c r="P57" s="450"/>
      <c r="Q57" s="450"/>
      <c r="R57" s="450"/>
      <c r="S57" s="450"/>
      <c r="T57" s="450"/>
      <c r="U57" s="450"/>
      <c r="V57" s="450"/>
      <c r="W57" s="450"/>
      <c r="X57" s="450"/>
      <c r="Y57" s="450"/>
      <c r="Z57" s="450"/>
      <c r="AA57" s="450"/>
      <c r="AB57" s="450"/>
      <c r="AC57" s="450"/>
    </row>
    <row r="58" spans="3:29" ht="13.5" thickBot="1" x14ac:dyDescent="0.25">
      <c r="C58" s="610" t="s">
        <v>285</v>
      </c>
      <c r="D58" s="611" t="s">
        <v>319</v>
      </c>
      <c r="E58" s="612">
        <v>14.44</v>
      </c>
      <c r="F58" s="450"/>
      <c r="G58" s="450"/>
      <c r="H58" s="594" t="s">
        <v>320</v>
      </c>
      <c r="I58" s="450"/>
      <c r="J58" s="450"/>
      <c r="K58" s="450"/>
      <c r="M58" s="450"/>
      <c r="O58" s="594" t="s">
        <v>321</v>
      </c>
      <c r="P58" s="450"/>
      <c r="Q58" s="450"/>
      <c r="R58" s="450"/>
      <c r="S58" s="450"/>
      <c r="T58" s="450"/>
      <c r="U58" s="450"/>
      <c r="V58" s="450"/>
      <c r="W58" s="450"/>
      <c r="X58" s="450"/>
      <c r="Y58" s="450"/>
      <c r="Z58" s="450"/>
      <c r="AA58" s="450"/>
      <c r="AB58" s="450"/>
      <c r="AC58" s="450"/>
    </row>
    <row r="59" spans="3:29" x14ac:dyDescent="0.2">
      <c r="C59" s="613" t="s">
        <v>322</v>
      </c>
      <c r="D59" s="613" t="s">
        <v>323</v>
      </c>
      <c r="E59" s="614">
        <v>7.2</v>
      </c>
      <c r="F59" s="450"/>
      <c r="G59" s="450"/>
      <c r="H59" s="594" t="s">
        <v>324</v>
      </c>
      <c r="I59" s="450"/>
      <c r="J59" s="450"/>
      <c r="K59" s="450"/>
      <c r="M59" s="450"/>
      <c r="O59" s="594" t="s">
        <v>325</v>
      </c>
      <c r="P59" s="450"/>
      <c r="Q59" s="450"/>
      <c r="R59" s="450"/>
      <c r="S59" s="450"/>
      <c r="T59" s="450"/>
      <c r="U59" s="450"/>
      <c r="V59" s="450"/>
      <c r="W59" s="450"/>
      <c r="X59" s="450"/>
      <c r="Y59" s="450"/>
      <c r="Z59" s="450"/>
      <c r="AA59" s="450"/>
      <c r="AB59" s="450"/>
      <c r="AC59" s="450"/>
    </row>
    <row r="60" spans="3:29" x14ac:dyDescent="0.2">
      <c r="C60" s="595" t="s">
        <v>276</v>
      </c>
      <c r="D60" s="596" t="s">
        <v>326</v>
      </c>
      <c r="E60" s="597">
        <v>7.2</v>
      </c>
      <c r="F60" s="450"/>
      <c r="G60" s="450"/>
      <c r="H60" s="594" t="s">
        <v>327</v>
      </c>
      <c r="I60" s="450"/>
      <c r="J60" s="450"/>
      <c r="K60" s="450"/>
      <c r="M60" s="450"/>
      <c r="O60" s="594" t="s">
        <v>328</v>
      </c>
      <c r="P60" s="450"/>
      <c r="Q60" s="450"/>
      <c r="R60" s="450"/>
      <c r="S60" s="450"/>
      <c r="T60" s="450"/>
      <c r="U60" s="450"/>
      <c r="V60" s="450"/>
      <c r="W60" s="450"/>
      <c r="X60" s="450"/>
      <c r="Y60" s="450"/>
      <c r="Z60" s="450"/>
      <c r="AA60" s="450"/>
      <c r="AB60" s="450"/>
      <c r="AC60" s="450"/>
    </row>
    <row r="61" spans="3:29" x14ac:dyDescent="0.2">
      <c r="C61" s="595" t="s">
        <v>276</v>
      </c>
      <c r="D61" s="596" t="s">
        <v>329</v>
      </c>
      <c r="E61" s="597">
        <v>9</v>
      </c>
      <c r="F61" s="450"/>
      <c r="G61" s="450"/>
      <c r="H61" s="594" t="s">
        <v>330</v>
      </c>
      <c r="I61" s="450"/>
      <c r="J61" s="450"/>
      <c r="K61" s="450"/>
      <c r="M61" s="450"/>
      <c r="O61" s="594" t="s">
        <v>331</v>
      </c>
      <c r="P61" s="450"/>
      <c r="Q61" s="450"/>
      <c r="R61" s="450"/>
      <c r="S61" s="450"/>
      <c r="T61" s="450"/>
      <c r="U61" s="450"/>
      <c r="V61" s="450"/>
      <c r="W61" s="450"/>
      <c r="X61" s="450"/>
      <c r="Y61" s="450"/>
      <c r="Z61" s="450"/>
      <c r="AA61" s="450"/>
      <c r="AB61" s="450"/>
      <c r="AC61" s="450"/>
    </row>
    <row r="62" spans="3:29" x14ac:dyDescent="0.2">
      <c r="C62" s="595" t="s">
        <v>276</v>
      </c>
      <c r="D62" s="596" t="s">
        <v>332</v>
      </c>
      <c r="E62" s="597">
        <v>9</v>
      </c>
      <c r="F62" s="450"/>
      <c r="G62" s="450"/>
      <c r="H62" s="594" t="s">
        <v>333</v>
      </c>
      <c r="I62" s="450"/>
      <c r="J62" s="450"/>
      <c r="K62" s="450"/>
      <c r="M62" s="450"/>
      <c r="O62" s="594" t="s">
        <v>334</v>
      </c>
      <c r="P62" s="450"/>
      <c r="Q62" s="450"/>
      <c r="R62" s="450"/>
      <c r="S62" s="450"/>
      <c r="T62" s="450"/>
      <c r="U62" s="450"/>
      <c r="V62" s="450"/>
      <c r="W62" s="450"/>
      <c r="X62" s="450"/>
      <c r="Y62" s="450"/>
      <c r="Z62" s="450"/>
      <c r="AA62" s="450"/>
      <c r="AB62" s="450"/>
      <c r="AC62" s="450"/>
    </row>
    <row r="63" spans="3:29" x14ac:dyDescent="0.2">
      <c r="C63" s="595" t="s">
        <v>276</v>
      </c>
      <c r="D63" s="596" t="s">
        <v>335</v>
      </c>
      <c r="E63" s="597">
        <v>13.68</v>
      </c>
      <c r="F63" s="450"/>
      <c r="G63" s="450"/>
      <c r="H63" s="594" t="s">
        <v>336</v>
      </c>
      <c r="I63" s="450"/>
      <c r="J63" s="450"/>
      <c r="K63" s="450"/>
      <c r="M63" s="450"/>
      <c r="O63" s="594" t="s">
        <v>197</v>
      </c>
      <c r="P63" s="450"/>
      <c r="Q63" s="450"/>
      <c r="R63" s="450"/>
      <c r="S63" s="450"/>
      <c r="T63" s="450"/>
      <c r="U63" s="450"/>
      <c r="V63" s="450"/>
      <c r="W63" s="450"/>
      <c r="X63" s="450"/>
      <c r="Y63" s="450"/>
      <c r="Z63" s="450"/>
      <c r="AA63" s="450"/>
      <c r="AB63" s="450"/>
      <c r="AC63" s="450"/>
    </row>
    <row r="64" spans="3:29" x14ac:dyDescent="0.2">
      <c r="C64" s="595" t="s">
        <v>276</v>
      </c>
      <c r="D64" s="596" t="s">
        <v>337</v>
      </c>
      <c r="E64" s="597">
        <v>13.68</v>
      </c>
      <c r="F64" s="450"/>
      <c r="G64" s="450"/>
      <c r="H64" s="594" t="s">
        <v>338</v>
      </c>
      <c r="I64" s="450"/>
      <c r="J64" s="450"/>
      <c r="K64" s="450"/>
      <c r="M64" s="450"/>
      <c r="O64" s="594" t="s">
        <v>339</v>
      </c>
      <c r="P64" s="450"/>
      <c r="Q64" s="450"/>
      <c r="R64" s="450"/>
      <c r="S64" s="450"/>
      <c r="T64" s="450"/>
      <c r="U64" s="450"/>
      <c r="V64" s="450"/>
      <c r="W64" s="450"/>
      <c r="X64" s="450"/>
      <c r="Y64" s="450"/>
      <c r="Z64" s="450"/>
      <c r="AA64" s="450"/>
      <c r="AB64" s="450"/>
      <c r="AC64" s="450"/>
    </row>
    <row r="65" spans="3:29" x14ac:dyDescent="0.2">
      <c r="C65" s="595" t="s">
        <v>276</v>
      </c>
      <c r="D65" s="596" t="s">
        <v>340</v>
      </c>
      <c r="E65" s="597">
        <v>10.83</v>
      </c>
      <c r="F65" s="450"/>
      <c r="G65" s="450"/>
      <c r="H65" s="594" t="s">
        <v>341</v>
      </c>
      <c r="I65" s="450"/>
      <c r="J65" s="450"/>
      <c r="K65" s="450"/>
      <c r="M65" s="450"/>
      <c r="O65" s="594" t="s">
        <v>342</v>
      </c>
      <c r="P65" s="450"/>
      <c r="Q65" s="450"/>
      <c r="R65" s="450"/>
      <c r="S65" s="450"/>
      <c r="T65" s="450"/>
      <c r="U65" s="450"/>
      <c r="V65" s="450"/>
      <c r="W65" s="450"/>
      <c r="X65" s="450"/>
      <c r="Y65" s="450"/>
      <c r="Z65" s="450"/>
      <c r="AA65" s="450"/>
      <c r="AB65" s="450"/>
      <c r="AC65" s="450"/>
    </row>
    <row r="66" spans="3:29" x14ac:dyDescent="0.2">
      <c r="C66" s="595" t="s">
        <v>276</v>
      </c>
      <c r="D66" s="596" t="s">
        <v>343</v>
      </c>
      <c r="E66" s="597">
        <v>7.2</v>
      </c>
      <c r="F66" s="450"/>
      <c r="G66" s="450"/>
      <c r="H66" s="594" t="s">
        <v>344</v>
      </c>
      <c r="I66" s="450"/>
      <c r="J66" s="450"/>
      <c r="K66" s="450"/>
      <c r="M66" s="450"/>
      <c r="O66" s="594" t="s">
        <v>345</v>
      </c>
      <c r="P66" s="450"/>
      <c r="Q66" s="450"/>
      <c r="R66" s="450"/>
      <c r="S66" s="450"/>
      <c r="T66" s="450"/>
      <c r="U66" s="450"/>
      <c r="V66" s="450"/>
      <c r="W66" s="450"/>
      <c r="X66" s="450"/>
      <c r="Y66" s="450"/>
      <c r="Z66" s="450"/>
      <c r="AA66" s="450"/>
      <c r="AB66" s="450"/>
      <c r="AC66" s="450"/>
    </row>
    <row r="67" spans="3:29" x14ac:dyDescent="0.2">
      <c r="C67" s="595" t="s">
        <v>276</v>
      </c>
      <c r="D67" s="596" t="s">
        <v>346</v>
      </c>
      <c r="E67" s="597">
        <v>4.5</v>
      </c>
      <c r="F67" s="450"/>
      <c r="G67" s="450"/>
      <c r="H67" s="594" t="s">
        <v>347</v>
      </c>
      <c r="I67" s="450"/>
      <c r="J67" s="450"/>
      <c r="K67" s="450"/>
      <c r="M67" s="450"/>
      <c r="O67" s="594" t="s">
        <v>348</v>
      </c>
      <c r="P67" s="450"/>
      <c r="Q67" s="450"/>
      <c r="R67" s="450"/>
      <c r="S67" s="450"/>
      <c r="T67" s="450"/>
      <c r="U67" s="450"/>
      <c r="V67" s="450"/>
      <c r="W67" s="450"/>
      <c r="X67" s="450"/>
      <c r="Y67" s="450"/>
      <c r="Z67" s="450"/>
      <c r="AA67" s="450"/>
      <c r="AB67" s="450"/>
      <c r="AC67" s="450"/>
    </row>
    <row r="68" spans="3:29" x14ac:dyDescent="0.2">
      <c r="C68" s="595" t="s">
        <v>276</v>
      </c>
      <c r="D68" s="596" t="s">
        <v>349</v>
      </c>
      <c r="E68" s="597">
        <v>4</v>
      </c>
      <c r="F68" s="450"/>
      <c r="G68" s="450"/>
      <c r="H68" s="594" t="s">
        <v>350</v>
      </c>
      <c r="I68" s="450"/>
      <c r="J68" s="450"/>
      <c r="K68" s="450"/>
      <c r="M68" s="450"/>
      <c r="O68" s="594" t="s">
        <v>351</v>
      </c>
      <c r="P68" s="450"/>
      <c r="Q68" s="450"/>
      <c r="R68" s="450"/>
      <c r="S68" s="450"/>
      <c r="T68" s="450"/>
      <c r="U68" s="450"/>
      <c r="V68" s="450"/>
      <c r="W68" s="450"/>
      <c r="X68" s="450"/>
      <c r="Y68" s="450"/>
      <c r="Z68" s="450"/>
      <c r="AA68" s="450"/>
      <c r="AB68" s="450"/>
      <c r="AC68" s="450"/>
    </row>
    <row r="69" spans="3:29" x14ac:dyDescent="0.2">
      <c r="C69" s="595" t="s">
        <v>276</v>
      </c>
      <c r="D69" s="596" t="s">
        <v>352</v>
      </c>
      <c r="E69" s="597">
        <v>9</v>
      </c>
      <c r="F69" s="450"/>
      <c r="G69" s="450"/>
      <c r="H69" s="594" t="s">
        <v>353</v>
      </c>
      <c r="I69" s="450"/>
      <c r="J69" s="450"/>
      <c r="K69" s="450"/>
      <c r="M69" s="450"/>
      <c r="O69" s="594" t="s">
        <v>354</v>
      </c>
      <c r="P69" s="450"/>
      <c r="Q69" s="450"/>
      <c r="R69" s="450"/>
      <c r="S69" s="450"/>
      <c r="T69" s="450"/>
      <c r="U69" s="450"/>
      <c r="V69" s="450"/>
      <c r="W69" s="450"/>
      <c r="X69" s="450"/>
      <c r="Y69" s="450"/>
      <c r="Z69" s="450"/>
      <c r="AA69" s="450"/>
      <c r="AB69" s="450"/>
      <c r="AC69" s="450"/>
    </row>
    <row r="70" spans="3:29" x14ac:dyDescent="0.2">
      <c r="C70" s="595" t="s">
        <v>276</v>
      </c>
      <c r="D70" s="596" t="s">
        <v>355</v>
      </c>
      <c r="E70" s="597">
        <v>18</v>
      </c>
      <c r="F70" s="450"/>
      <c r="G70" s="450"/>
      <c r="H70" s="594" t="s">
        <v>356</v>
      </c>
      <c r="I70" s="450"/>
      <c r="J70" s="450"/>
      <c r="K70" s="450"/>
      <c r="M70" s="450"/>
      <c r="O70" s="594" t="s">
        <v>357</v>
      </c>
      <c r="P70" s="450"/>
      <c r="Q70" s="450"/>
      <c r="R70" s="450"/>
      <c r="S70" s="450"/>
      <c r="T70" s="450"/>
      <c r="U70" s="450"/>
      <c r="V70" s="450"/>
      <c r="W70" s="450"/>
      <c r="X70" s="450"/>
      <c r="Y70" s="450"/>
      <c r="Z70" s="450"/>
      <c r="AA70" s="450"/>
      <c r="AB70" s="450"/>
      <c r="AC70" s="450"/>
    </row>
    <row r="71" spans="3:29" ht="13.5" thickBot="1" x14ac:dyDescent="0.25">
      <c r="C71" s="615" t="s">
        <v>276</v>
      </c>
      <c r="D71" s="616" t="s">
        <v>358</v>
      </c>
      <c r="E71" s="617">
        <v>9</v>
      </c>
      <c r="F71" s="450"/>
      <c r="G71" s="450"/>
      <c r="H71" s="594" t="s">
        <v>359</v>
      </c>
      <c r="I71" s="450"/>
      <c r="J71" s="450"/>
      <c r="K71" s="450"/>
      <c r="M71" s="450"/>
      <c r="O71" s="594" t="s">
        <v>360</v>
      </c>
      <c r="P71" s="450"/>
      <c r="Q71" s="450"/>
      <c r="R71" s="450"/>
      <c r="S71" s="450"/>
      <c r="T71" s="450"/>
      <c r="U71" s="450"/>
      <c r="V71" s="450"/>
      <c r="W71" s="450"/>
      <c r="X71" s="450"/>
      <c r="Y71" s="450"/>
      <c r="Z71" s="450"/>
      <c r="AA71" s="450"/>
      <c r="AB71" s="450"/>
      <c r="AC71" s="450"/>
    </row>
    <row r="72" spans="3:29" x14ac:dyDescent="0.2">
      <c r="C72" s="618" t="s">
        <v>291</v>
      </c>
      <c r="D72" s="591" t="s">
        <v>361</v>
      </c>
      <c r="E72" s="593">
        <v>6.84</v>
      </c>
      <c r="F72" s="450"/>
      <c r="G72" s="450"/>
      <c r="H72" s="594" t="s">
        <v>362</v>
      </c>
      <c r="I72" s="450"/>
      <c r="J72" s="450"/>
      <c r="K72" s="450"/>
      <c r="M72" s="450"/>
      <c r="O72" s="594" t="s">
        <v>363</v>
      </c>
      <c r="P72" s="450"/>
      <c r="Q72" s="450"/>
      <c r="R72" s="450"/>
      <c r="S72" s="450"/>
      <c r="T72" s="450"/>
      <c r="U72" s="450"/>
      <c r="V72" s="450"/>
      <c r="W72" s="450"/>
      <c r="X72" s="450"/>
      <c r="Y72" s="450"/>
      <c r="Z72" s="450"/>
      <c r="AA72" s="450"/>
      <c r="AB72" s="450"/>
      <c r="AC72" s="450"/>
    </row>
    <row r="73" spans="3:29" x14ac:dyDescent="0.2">
      <c r="C73" s="619"/>
      <c r="D73" s="595" t="s">
        <v>364</v>
      </c>
      <c r="E73" s="597">
        <v>8.2079999999999984</v>
      </c>
      <c r="F73" s="450"/>
      <c r="G73" s="450"/>
      <c r="H73" s="450"/>
      <c r="I73" s="450"/>
      <c r="J73" s="450"/>
      <c r="K73" s="450"/>
      <c r="M73" s="450"/>
      <c r="O73" s="594" t="s">
        <v>365</v>
      </c>
      <c r="P73" s="450"/>
      <c r="Q73" s="450"/>
      <c r="R73" s="450"/>
      <c r="S73" s="450"/>
      <c r="T73" s="450"/>
      <c r="U73" s="450"/>
      <c r="V73" s="450"/>
      <c r="W73" s="450"/>
      <c r="X73" s="450"/>
      <c r="Y73" s="450"/>
      <c r="Z73" s="450"/>
      <c r="AA73" s="450"/>
      <c r="AB73" s="450"/>
      <c r="AC73" s="450"/>
    </row>
    <row r="74" spans="3:29" x14ac:dyDescent="0.2">
      <c r="C74" s="619"/>
      <c r="D74" s="595" t="s">
        <v>366</v>
      </c>
      <c r="E74" s="597">
        <v>14.44</v>
      </c>
      <c r="F74" s="450"/>
      <c r="G74" s="450"/>
      <c r="I74" s="450"/>
      <c r="J74" s="450"/>
      <c r="K74" s="450"/>
      <c r="M74" s="450"/>
      <c r="O74" s="594" t="s">
        <v>367</v>
      </c>
      <c r="P74" s="450"/>
      <c r="Q74" s="450"/>
      <c r="R74" s="450"/>
      <c r="S74" s="450"/>
      <c r="T74" s="450"/>
      <c r="U74" s="450"/>
      <c r="V74" s="450"/>
      <c r="W74" s="450"/>
      <c r="X74" s="450"/>
      <c r="Y74" s="450"/>
      <c r="Z74" s="450"/>
      <c r="AA74" s="450"/>
      <c r="AB74" s="450"/>
      <c r="AC74" s="450"/>
    </row>
    <row r="75" spans="3:29" x14ac:dyDescent="0.2">
      <c r="C75" s="619" t="s">
        <v>276</v>
      </c>
      <c r="D75" s="595" t="s">
        <v>368</v>
      </c>
      <c r="E75" s="597">
        <v>13.68</v>
      </c>
      <c r="F75" s="450"/>
      <c r="G75" s="450"/>
      <c r="I75" s="450"/>
      <c r="J75" s="450"/>
      <c r="K75" s="450"/>
      <c r="M75" s="450"/>
      <c r="O75" s="594" t="s">
        <v>369</v>
      </c>
      <c r="P75" s="450"/>
      <c r="Q75" s="450"/>
      <c r="R75" s="450"/>
      <c r="S75" s="450"/>
      <c r="T75" s="450"/>
      <c r="U75" s="450"/>
      <c r="V75" s="450"/>
      <c r="W75" s="450"/>
      <c r="X75" s="450"/>
      <c r="Y75" s="450"/>
      <c r="Z75" s="450"/>
      <c r="AA75" s="450"/>
      <c r="AB75" s="450"/>
      <c r="AC75" s="450"/>
    </row>
    <row r="76" spans="3:29" ht="13.5" thickBot="1" x14ac:dyDescent="0.25">
      <c r="C76" s="620" t="s">
        <v>276</v>
      </c>
      <c r="D76" s="601" t="s">
        <v>370</v>
      </c>
      <c r="E76" s="603">
        <v>13.68</v>
      </c>
      <c r="F76" s="450"/>
      <c r="G76" s="450"/>
      <c r="I76" s="450"/>
      <c r="J76" s="450"/>
      <c r="K76" s="450"/>
      <c r="M76" s="450"/>
      <c r="O76" s="594" t="s">
        <v>371</v>
      </c>
      <c r="P76" s="450"/>
      <c r="Q76" s="450"/>
      <c r="R76" s="450"/>
      <c r="S76" s="450"/>
      <c r="T76" s="450"/>
      <c r="U76" s="450"/>
      <c r="V76" s="450"/>
      <c r="W76" s="450"/>
      <c r="X76" s="450"/>
      <c r="Y76" s="450"/>
      <c r="Z76" s="450"/>
      <c r="AA76" s="450"/>
      <c r="AB76" s="450"/>
      <c r="AC76" s="450"/>
    </row>
    <row r="77" spans="3:29" ht="13.5" thickBot="1" x14ac:dyDescent="0.25">
      <c r="C77" s="621" t="s">
        <v>372</v>
      </c>
      <c r="D77" s="622" t="s">
        <v>373</v>
      </c>
      <c r="E77" s="623">
        <v>8.2100000000000009</v>
      </c>
      <c r="F77" s="450"/>
      <c r="G77" s="450"/>
      <c r="I77" s="450"/>
      <c r="J77" s="450"/>
      <c r="K77" s="450"/>
      <c r="M77" s="450"/>
      <c r="O77" s="594" t="s">
        <v>374</v>
      </c>
      <c r="P77" s="450"/>
      <c r="Q77" s="450"/>
      <c r="R77" s="450"/>
      <c r="S77" s="450"/>
      <c r="T77" s="450"/>
      <c r="U77" s="450"/>
      <c r="V77" s="450"/>
      <c r="W77" s="450"/>
      <c r="X77" s="450"/>
      <c r="Y77" s="450"/>
      <c r="Z77" s="450"/>
      <c r="AA77" s="450"/>
      <c r="AB77" s="450"/>
      <c r="AC77" s="450"/>
    </row>
    <row r="78" spans="3:29" x14ac:dyDescent="0.2">
      <c r="C78" s="591" t="s">
        <v>375</v>
      </c>
      <c r="D78" s="592" t="s">
        <v>376</v>
      </c>
      <c r="E78" s="593">
        <v>15.2</v>
      </c>
      <c r="F78" s="450"/>
      <c r="G78" s="450"/>
      <c r="I78" s="450"/>
      <c r="J78" s="450"/>
      <c r="K78" s="450"/>
      <c r="M78" s="450"/>
      <c r="O78" s="450"/>
      <c r="P78" s="450"/>
      <c r="Q78" s="450"/>
      <c r="R78" s="450"/>
      <c r="S78" s="450"/>
      <c r="T78" s="450"/>
      <c r="U78" s="450"/>
      <c r="V78" s="450"/>
      <c r="W78" s="450"/>
      <c r="X78" s="450"/>
      <c r="Y78" s="450"/>
      <c r="Z78" s="450"/>
      <c r="AA78" s="450"/>
      <c r="AB78" s="450"/>
      <c r="AC78" s="450"/>
    </row>
    <row r="79" spans="3:29" ht="13.5" thickBot="1" x14ac:dyDescent="0.25">
      <c r="C79" s="598" t="s">
        <v>276</v>
      </c>
      <c r="D79" s="599" t="s">
        <v>377</v>
      </c>
      <c r="E79" s="600">
        <v>15.2</v>
      </c>
      <c r="F79" s="450"/>
      <c r="G79" s="450"/>
      <c r="I79" s="450"/>
      <c r="J79" s="450"/>
      <c r="K79" s="450"/>
      <c r="M79" s="450"/>
      <c r="O79" s="450"/>
      <c r="P79" s="450"/>
      <c r="Q79" s="450"/>
      <c r="R79" s="450"/>
      <c r="S79" s="450"/>
      <c r="T79" s="450"/>
      <c r="U79" s="450"/>
      <c r="V79" s="450"/>
      <c r="W79" s="450"/>
      <c r="X79" s="450"/>
      <c r="Y79" s="450"/>
      <c r="Z79" s="450"/>
      <c r="AA79" s="450"/>
      <c r="AB79" s="450"/>
      <c r="AC79" s="450"/>
    </row>
    <row r="80" spans="3:29" x14ac:dyDescent="0.2">
      <c r="C80" s="618" t="s">
        <v>301</v>
      </c>
      <c r="D80" s="591" t="s">
        <v>378</v>
      </c>
      <c r="E80" s="593">
        <v>28.5</v>
      </c>
      <c r="F80" s="450"/>
      <c r="G80" s="450"/>
      <c r="I80" s="450"/>
      <c r="J80" s="450"/>
      <c r="K80" s="450"/>
      <c r="M80" s="450"/>
      <c r="O80" s="450"/>
      <c r="P80" s="450"/>
      <c r="Q80" s="450"/>
      <c r="R80" s="450"/>
      <c r="S80" s="450"/>
      <c r="T80" s="450"/>
      <c r="U80" s="450"/>
      <c r="V80" s="450"/>
      <c r="W80" s="450"/>
      <c r="X80" s="450"/>
      <c r="Y80" s="450"/>
      <c r="Z80" s="450"/>
      <c r="AA80" s="450"/>
      <c r="AB80" s="450"/>
      <c r="AC80" s="450"/>
    </row>
    <row r="81" spans="3:29" x14ac:dyDescent="0.2">
      <c r="C81" s="624"/>
      <c r="D81" s="607" t="s">
        <v>379</v>
      </c>
      <c r="E81" s="625">
        <v>10.83</v>
      </c>
      <c r="F81" s="450"/>
      <c r="G81" s="450"/>
      <c r="I81" s="450"/>
      <c r="J81" s="450"/>
      <c r="K81" s="450"/>
      <c r="M81" s="450"/>
      <c r="O81" s="450"/>
      <c r="P81" s="450"/>
      <c r="Q81" s="450"/>
      <c r="R81" s="450"/>
      <c r="S81" s="450"/>
      <c r="T81" s="450"/>
      <c r="U81" s="450"/>
      <c r="V81" s="450"/>
      <c r="W81" s="450"/>
      <c r="X81" s="450"/>
      <c r="Y81" s="450"/>
      <c r="Z81" s="450"/>
      <c r="AA81" s="450"/>
      <c r="AB81" s="450"/>
      <c r="AC81" s="450"/>
    </row>
    <row r="82" spans="3:29" x14ac:dyDescent="0.2">
      <c r="C82" s="624"/>
      <c r="D82" s="607" t="s">
        <v>380</v>
      </c>
      <c r="E82" s="625">
        <v>16.72</v>
      </c>
      <c r="F82" s="450"/>
      <c r="G82" s="450"/>
      <c r="I82" s="450"/>
      <c r="J82" s="450"/>
      <c r="K82" s="450"/>
      <c r="M82" s="450"/>
      <c r="O82" s="450"/>
      <c r="P82" s="450"/>
      <c r="Q82" s="450"/>
      <c r="R82" s="450"/>
      <c r="S82" s="450"/>
      <c r="T82" s="450"/>
      <c r="U82" s="450"/>
      <c r="V82" s="450"/>
      <c r="W82" s="450"/>
      <c r="X82" s="450"/>
      <c r="Y82" s="450"/>
      <c r="Z82" s="450"/>
      <c r="AA82" s="450"/>
      <c r="AB82" s="450"/>
      <c r="AC82" s="450"/>
    </row>
    <row r="83" spans="3:29" x14ac:dyDescent="0.2">
      <c r="C83" s="624"/>
      <c r="D83" s="607" t="s">
        <v>381</v>
      </c>
      <c r="E83" s="625">
        <v>16.72</v>
      </c>
      <c r="F83" s="450"/>
      <c r="G83" s="450"/>
      <c r="I83" s="450"/>
      <c r="J83" s="450"/>
      <c r="K83" s="450"/>
      <c r="M83" s="450"/>
      <c r="O83" s="450"/>
      <c r="P83" s="450"/>
      <c r="Q83" s="450"/>
      <c r="R83" s="450"/>
      <c r="S83" s="450"/>
      <c r="T83" s="450"/>
      <c r="U83" s="450"/>
      <c r="V83" s="450"/>
      <c r="W83" s="450"/>
      <c r="X83" s="450"/>
      <c r="Y83" s="450"/>
      <c r="Z83" s="450"/>
      <c r="AA83" s="450"/>
      <c r="AB83" s="450"/>
      <c r="AC83" s="450"/>
    </row>
    <row r="84" spans="3:29" x14ac:dyDescent="0.2">
      <c r="C84" s="619" t="s">
        <v>276</v>
      </c>
      <c r="D84" s="595" t="s">
        <v>382</v>
      </c>
      <c r="E84" s="597">
        <v>10.83</v>
      </c>
      <c r="F84" s="450"/>
      <c r="G84" s="450"/>
      <c r="I84" s="450"/>
      <c r="J84" s="450"/>
      <c r="K84" s="450"/>
      <c r="M84" s="450"/>
      <c r="O84" s="450"/>
      <c r="P84" s="450"/>
      <c r="Q84" s="450"/>
      <c r="R84" s="450"/>
      <c r="S84" s="450"/>
      <c r="T84" s="450"/>
      <c r="U84" s="450"/>
      <c r="V84" s="450"/>
      <c r="W84" s="450"/>
      <c r="X84" s="450"/>
      <c r="Y84" s="450"/>
      <c r="Z84" s="450"/>
      <c r="AA84" s="450"/>
      <c r="AB84" s="450"/>
      <c r="AC84" s="450"/>
    </row>
    <row r="85" spans="3:29" x14ac:dyDescent="0.2">
      <c r="C85" s="619" t="s">
        <v>276</v>
      </c>
      <c r="D85" s="595" t="s">
        <v>383</v>
      </c>
      <c r="E85" s="597">
        <v>9.5</v>
      </c>
      <c r="F85" s="450"/>
      <c r="G85" s="450"/>
      <c r="I85" s="450"/>
      <c r="J85" s="450"/>
      <c r="K85" s="450"/>
      <c r="M85" s="450"/>
      <c r="O85" s="450"/>
      <c r="P85" s="450"/>
      <c r="Q85" s="450"/>
      <c r="R85" s="450"/>
      <c r="S85" s="450"/>
      <c r="T85" s="450"/>
      <c r="U85" s="450"/>
      <c r="V85" s="450"/>
      <c r="W85" s="450"/>
      <c r="X85" s="450"/>
      <c r="Y85" s="450"/>
      <c r="Z85" s="450"/>
      <c r="AA85" s="450"/>
      <c r="AB85" s="450"/>
      <c r="AC85" s="450"/>
    </row>
    <row r="86" spans="3:29" x14ac:dyDescent="0.2">
      <c r="C86" s="619" t="s">
        <v>276</v>
      </c>
      <c r="D86" s="595" t="s">
        <v>384</v>
      </c>
      <c r="E86" s="597">
        <v>6.84</v>
      </c>
      <c r="F86" s="450"/>
      <c r="G86" s="450"/>
      <c r="I86" s="450"/>
      <c r="J86" s="450"/>
      <c r="K86" s="450"/>
      <c r="M86" s="450"/>
      <c r="O86" s="450"/>
      <c r="P86" s="450"/>
      <c r="Q86" s="450"/>
      <c r="R86" s="450"/>
      <c r="S86" s="450"/>
      <c r="T86" s="450"/>
      <c r="U86" s="450"/>
      <c r="V86" s="450"/>
      <c r="W86" s="450"/>
      <c r="X86" s="450"/>
      <c r="Y86" s="450"/>
      <c r="Z86" s="450"/>
      <c r="AA86" s="450"/>
      <c r="AB86" s="450"/>
      <c r="AC86" s="450"/>
    </row>
    <row r="87" spans="3:29" x14ac:dyDescent="0.2">
      <c r="C87" s="619" t="s">
        <v>276</v>
      </c>
      <c r="D87" s="595" t="s">
        <v>385</v>
      </c>
      <c r="E87" s="597">
        <v>15.2</v>
      </c>
      <c r="F87" s="450"/>
      <c r="G87" s="450"/>
      <c r="I87" s="450"/>
      <c r="J87" s="450"/>
      <c r="K87" s="450"/>
      <c r="M87" s="450"/>
      <c r="O87" s="450"/>
      <c r="P87" s="450"/>
      <c r="Q87" s="450"/>
      <c r="R87" s="450"/>
      <c r="S87" s="450"/>
      <c r="T87" s="450"/>
      <c r="U87" s="450"/>
      <c r="V87" s="450"/>
      <c r="W87" s="450"/>
      <c r="X87" s="450"/>
      <c r="Y87" s="450"/>
      <c r="Z87" s="450"/>
      <c r="AA87" s="450"/>
      <c r="AB87" s="450"/>
      <c r="AC87" s="450"/>
    </row>
    <row r="88" spans="3:29" x14ac:dyDescent="0.2">
      <c r="C88" s="619" t="s">
        <v>276</v>
      </c>
      <c r="D88" s="595" t="s">
        <v>386</v>
      </c>
      <c r="E88" s="597">
        <v>6.84</v>
      </c>
      <c r="F88" s="450"/>
      <c r="G88" s="450"/>
      <c r="I88" s="450"/>
      <c r="J88" s="450"/>
      <c r="K88" s="450"/>
      <c r="M88" s="450"/>
      <c r="O88" s="450"/>
      <c r="P88" s="450"/>
      <c r="Q88" s="450"/>
      <c r="R88" s="450"/>
      <c r="S88" s="450"/>
      <c r="T88" s="450"/>
      <c r="U88" s="450"/>
      <c r="V88" s="450"/>
      <c r="W88" s="450"/>
      <c r="X88" s="450"/>
      <c r="Y88" s="450"/>
      <c r="Z88" s="450"/>
      <c r="AA88" s="450"/>
      <c r="AB88" s="450"/>
      <c r="AC88" s="450"/>
    </row>
    <row r="89" spans="3:29" x14ac:dyDescent="0.2">
      <c r="C89" s="619" t="s">
        <v>276</v>
      </c>
      <c r="D89" s="595" t="s">
        <v>387</v>
      </c>
      <c r="E89" s="597">
        <v>11.88</v>
      </c>
      <c r="F89" s="450"/>
      <c r="G89" s="450"/>
      <c r="I89" s="450"/>
      <c r="J89" s="450"/>
      <c r="K89" s="450"/>
      <c r="M89" s="450"/>
      <c r="O89" s="450"/>
      <c r="P89" s="450"/>
      <c r="Q89" s="450"/>
      <c r="R89" s="450"/>
      <c r="S89" s="450"/>
      <c r="T89" s="450"/>
      <c r="U89" s="450"/>
      <c r="V89" s="450"/>
      <c r="W89" s="450"/>
      <c r="X89" s="450"/>
      <c r="Y89" s="450"/>
      <c r="Z89" s="450"/>
      <c r="AA89" s="450"/>
      <c r="AB89" s="450"/>
      <c r="AC89" s="450"/>
    </row>
    <row r="90" spans="3:29" x14ac:dyDescent="0.2">
      <c r="C90" s="619" t="s">
        <v>276</v>
      </c>
      <c r="D90" s="595" t="s">
        <v>388</v>
      </c>
      <c r="E90" s="597">
        <v>7.92</v>
      </c>
      <c r="F90" s="450"/>
      <c r="G90" s="450"/>
      <c r="I90" s="450"/>
      <c r="J90" s="450"/>
      <c r="K90" s="450"/>
      <c r="M90" s="450"/>
      <c r="O90" s="450"/>
      <c r="P90" s="450"/>
      <c r="Q90" s="450"/>
      <c r="R90" s="450"/>
      <c r="S90" s="450"/>
      <c r="T90" s="450"/>
      <c r="U90" s="450"/>
      <c r="V90" s="450"/>
      <c r="W90" s="450"/>
      <c r="X90" s="450"/>
      <c r="Y90" s="450"/>
      <c r="Z90" s="450"/>
      <c r="AA90" s="450"/>
      <c r="AB90" s="450"/>
      <c r="AC90" s="450"/>
    </row>
    <row r="91" spans="3:29" x14ac:dyDescent="0.2">
      <c r="C91" s="619" t="s">
        <v>276</v>
      </c>
      <c r="D91" s="595" t="s">
        <v>389</v>
      </c>
      <c r="E91" s="597">
        <v>28.5</v>
      </c>
      <c r="F91" s="450"/>
      <c r="G91" s="450"/>
      <c r="I91" s="450"/>
      <c r="J91" s="450"/>
      <c r="K91" s="450"/>
      <c r="M91" s="450"/>
      <c r="O91" s="450"/>
      <c r="P91" s="450"/>
      <c r="Q91" s="450"/>
      <c r="R91" s="450"/>
      <c r="S91" s="450"/>
      <c r="T91" s="450"/>
      <c r="U91" s="450"/>
      <c r="V91" s="450"/>
      <c r="W91" s="450"/>
      <c r="X91" s="450"/>
      <c r="Y91" s="450"/>
      <c r="Z91" s="450"/>
      <c r="AA91" s="450"/>
      <c r="AB91" s="450"/>
      <c r="AC91" s="450"/>
    </row>
    <row r="92" spans="3:29" x14ac:dyDescent="0.2">
      <c r="C92" s="619" t="s">
        <v>276</v>
      </c>
      <c r="D92" s="595" t="s">
        <v>390</v>
      </c>
      <c r="E92" s="597">
        <v>15.2</v>
      </c>
      <c r="F92" s="450"/>
      <c r="G92" s="450"/>
      <c r="I92" s="450"/>
      <c r="J92" s="450"/>
      <c r="K92" s="450"/>
      <c r="M92" s="450"/>
      <c r="O92" s="450"/>
      <c r="P92" s="450"/>
      <c r="Q92" s="450"/>
      <c r="R92" s="450"/>
      <c r="S92" s="450"/>
      <c r="T92" s="450"/>
      <c r="U92" s="450"/>
      <c r="V92" s="450"/>
      <c r="W92" s="450"/>
      <c r="X92" s="450"/>
      <c r="Y92" s="450"/>
      <c r="Z92" s="450"/>
      <c r="AA92" s="450"/>
      <c r="AB92" s="450"/>
      <c r="AC92" s="450"/>
    </row>
    <row r="93" spans="3:29" ht="13.5" thickBot="1" x14ac:dyDescent="0.25">
      <c r="C93" s="626" t="s">
        <v>276</v>
      </c>
      <c r="D93" s="598" t="s">
        <v>391</v>
      </c>
      <c r="E93" s="600">
        <v>18</v>
      </c>
      <c r="F93" s="450"/>
      <c r="G93" s="450"/>
      <c r="I93" s="450"/>
      <c r="J93" s="450"/>
      <c r="K93" s="450"/>
      <c r="M93" s="450"/>
      <c r="O93" s="450"/>
      <c r="P93" s="450"/>
      <c r="Q93" s="450"/>
      <c r="R93" s="450"/>
      <c r="S93" s="450"/>
      <c r="T93" s="450"/>
      <c r="U93" s="450"/>
      <c r="V93" s="450"/>
      <c r="W93" s="450"/>
      <c r="X93" s="450"/>
      <c r="Y93" s="450"/>
      <c r="Z93" s="450"/>
      <c r="AA93" s="450"/>
      <c r="AB93" s="450"/>
      <c r="AC93" s="450"/>
    </row>
    <row r="94" spans="3:29" x14ac:dyDescent="0.2">
      <c r="C94" s="591" t="s">
        <v>392</v>
      </c>
      <c r="D94" s="591" t="s">
        <v>393</v>
      </c>
      <c r="E94" s="593">
        <v>14</v>
      </c>
      <c r="F94" s="450"/>
      <c r="G94" s="450"/>
      <c r="I94" s="450"/>
      <c r="J94" s="450"/>
      <c r="K94" s="450"/>
      <c r="M94" s="450"/>
      <c r="O94" s="450"/>
      <c r="P94" s="450"/>
      <c r="Q94" s="450"/>
      <c r="R94" s="450"/>
      <c r="S94" s="450"/>
      <c r="T94" s="450"/>
      <c r="U94" s="450"/>
      <c r="V94" s="450"/>
      <c r="W94" s="450"/>
      <c r="X94" s="450"/>
      <c r="Y94" s="450"/>
      <c r="Z94" s="450"/>
      <c r="AA94" s="450"/>
      <c r="AB94" s="450"/>
      <c r="AC94" s="450"/>
    </row>
    <row r="95" spans="3:29" x14ac:dyDescent="0.2">
      <c r="C95" s="607"/>
      <c r="D95" s="627" t="s">
        <v>394</v>
      </c>
      <c r="E95" s="625">
        <v>9.5</v>
      </c>
      <c r="F95" s="450"/>
      <c r="G95" s="450"/>
      <c r="I95" s="450"/>
      <c r="J95" s="450"/>
      <c r="K95" s="450"/>
      <c r="M95" s="450"/>
      <c r="O95" s="450"/>
      <c r="P95" s="450"/>
      <c r="Q95" s="450"/>
      <c r="R95" s="450"/>
      <c r="S95" s="450"/>
      <c r="T95" s="450"/>
      <c r="U95" s="450"/>
      <c r="V95" s="450"/>
      <c r="W95" s="450"/>
      <c r="X95" s="450"/>
      <c r="Y95" s="450"/>
      <c r="Z95" s="450"/>
      <c r="AA95" s="450"/>
      <c r="AB95" s="450"/>
      <c r="AC95" s="450"/>
    </row>
    <row r="96" spans="3:29" x14ac:dyDescent="0.2">
      <c r="C96" s="598" t="s">
        <v>276</v>
      </c>
      <c r="D96" s="599" t="s">
        <v>395</v>
      </c>
      <c r="E96" s="600">
        <v>18</v>
      </c>
      <c r="F96" s="450"/>
      <c r="G96" s="450"/>
      <c r="I96" s="450"/>
      <c r="J96" s="450"/>
      <c r="K96" s="450"/>
      <c r="M96" s="450"/>
      <c r="O96" s="450"/>
      <c r="P96" s="450"/>
      <c r="Q96" s="450"/>
      <c r="R96" s="450"/>
      <c r="S96" s="450"/>
      <c r="T96" s="450"/>
      <c r="U96" s="450"/>
      <c r="V96" s="450"/>
      <c r="W96" s="450"/>
      <c r="X96" s="450"/>
      <c r="Y96" s="450"/>
      <c r="Z96" s="450"/>
      <c r="AA96" s="450"/>
      <c r="AB96" s="450"/>
      <c r="AC96" s="450"/>
    </row>
    <row r="97" spans="3:29" x14ac:dyDescent="0.2">
      <c r="C97" s="598"/>
      <c r="D97" s="599" t="s">
        <v>396</v>
      </c>
      <c r="E97" s="600">
        <v>11</v>
      </c>
      <c r="F97" s="450"/>
      <c r="G97" s="450"/>
      <c r="I97" s="450"/>
      <c r="J97" s="450"/>
      <c r="K97" s="450"/>
      <c r="M97" s="450"/>
      <c r="O97" s="450"/>
      <c r="P97" s="450"/>
      <c r="Q97" s="450"/>
      <c r="R97" s="450"/>
      <c r="S97" s="450"/>
      <c r="T97" s="450"/>
      <c r="U97" s="450"/>
      <c r="V97" s="450"/>
      <c r="W97" s="450"/>
      <c r="X97" s="450"/>
      <c r="Y97" s="450"/>
      <c r="Z97" s="450"/>
      <c r="AA97" s="450"/>
      <c r="AB97" s="450"/>
      <c r="AC97" s="450"/>
    </row>
    <row r="98" spans="3:29" ht="13.5" thickBot="1" x14ac:dyDescent="0.25">
      <c r="C98" s="601" t="s">
        <v>276</v>
      </c>
      <c r="D98" s="602" t="s">
        <v>397</v>
      </c>
      <c r="E98" s="603">
        <v>9.5039999999999978</v>
      </c>
      <c r="F98" s="450"/>
      <c r="G98" s="450"/>
      <c r="I98" s="450"/>
      <c r="J98" s="450"/>
      <c r="K98" s="450"/>
      <c r="M98" s="450"/>
      <c r="O98" s="450"/>
      <c r="P98" s="450"/>
      <c r="Q98" s="450"/>
      <c r="R98" s="450"/>
      <c r="S98" s="450"/>
      <c r="T98" s="450"/>
      <c r="U98" s="450"/>
      <c r="V98" s="450"/>
      <c r="W98" s="450"/>
      <c r="X98" s="450"/>
      <c r="Y98" s="450"/>
      <c r="Z98" s="450"/>
      <c r="AA98" s="450"/>
      <c r="AB98" s="450"/>
      <c r="AC98" s="450"/>
    </row>
    <row r="99" spans="3:29" x14ac:dyDescent="0.2">
      <c r="C99" s="613" t="s">
        <v>398</v>
      </c>
      <c r="D99" s="628" t="s">
        <v>399</v>
      </c>
      <c r="E99" s="614">
        <v>10.8</v>
      </c>
      <c r="F99" s="450"/>
      <c r="G99" s="450"/>
      <c r="I99" s="450"/>
      <c r="J99" s="450"/>
      <c r="K99" s="450"/>
      <c r="M99" s="450"/>
      <c r="O99" s="450"/>
      <c r="P99" s="450"/>
      <c r="Q99" s="450"/>
      <c r="R99" s="450"/>
      <c r="S99" s="450"/>
      <c r="T99" s="450"/>
      <c r="U99" s="450"/>
      <c r="V99" s="450"/>
      <c r="W99" s="450"/>
      <c r="X99" s="450"/>
      <c r="Y99" s="450"/>
      <c r="Z99" s="450"/>
      <c r="AA99" s="450"/>
      <c r="AB99" s="450"/>
      <c r="AC99" s="450"/>
    </row>
    <row r="100" spans="3:29" x14ac:dyDescent="0.2">
      <c r="C100" s="595"/>
      <c r="D100" s="596" t="s">
        <v>400</v>
      </c>
      <c r="E100" s="597">
        <v>8.1</v>
      </c>
      <c r="F100" s="450"/>
      <c r="G100" s="450"/>
      <c r="I100" s="450"/>
      <c r="J100" s="450"/>
      <c r="K100" s="450"/>
      <c r="M100" s="450"/>
      <c r="O100" s="450"/>
      <c r="P100" s="450"/>
      <c r="Q100" s="450"/>
      <c r="R100" s="450"/>
      <c r="S100" s="450"/>
      <c r="T100" s="450"/>
      <c r="U100" s="450"/>
      <c r="V100" s="450"/>
      <c r="W100" s="450"/>
      <c r="X100" s="450"/>
      <c r="Y100" s="450"/>
      <c r="Z100" s="450"/>
      <c r="AA100" s="450"/>
      <c r="AB100" s="450"/>
      <c r="AC100" s="450"/>
    </row>
    <row r="101" spans="3:29" ht="13.5" thickBot="1" x14ac:dyDescent="0.25">
      <c r="C101" s="615"/>
      <c r="D101" s="616" t="s">
        <v>401</v>
      </c>
      <c r="E101" s="617">
        <v>10.3</v>
      </c>
      <c r="F101" s="450"/>
      <c r="G101" s="450"/>
      <c r="I101" s="450"/>
      <c r="J101" s="450"/>
      <c r="K101" s="450"/>
      <c r="M101" s="450"/>
      <c r="O101" s="450"/>
      <c r="P101" s="450"/>
      <c r="Q101" s="450"/>
      <c r="R101" s="450"/>
      <c r="S101" s="450"/>
      <c r="T101" s="450"/>
      <c r="U101" s="450"/>
      <c r="V101" s="450"/>
      <c r="W101" s="450"/>
      <c r="X101" s="450"/>
      <c r="Y101" s="450"/>
      <c r="Z101" s="450"/>
      <c r="AA101" s="450"/>
      <c r="AB101" s="450"/>
      <c r="AC101" s="450"/>
    </row>
    <row r="102" spans="3:29" x14ac:dyDescent="0.2">
      <c r="C102" s="591" t="s">
        <v>402</v>
      </c>
      <c r="D102" s="592" t="s">
        <v>403</v>
      </c>
      <c r="E102" s="593">
        <v>30</v>
      </c>
      <c r="F102" s="450"/>
      <c r="G102" s="450"/>
      <c r="I102" s="450"/>
      <c r="J102" s="450"/>
      <c r="K102" s="450"/>
      <c r="M102" s="450"/>
      <c r="O102" s="450"/>
      <c r="P102" s="450"/>
      <c r="Q102" s="450"/>
      <c r="R102" s="450"/>
      <c r="S102" s="450"/>
      <c r="T102" s="450"/>
      <c r="U102" s="450"/>
      <c r="V102" s="450"/>
      <c r="W102" s="450"/>
      <c r="X102" s="450"/>
      <c r="Y102" s="450"/>
      <c r="Z102" s="450"/>
      <c r="AA102" s="450"/>
      <c r="AB102" s="450"/>
      <c r="AC102" s="450"/>
    </row>
    <row r="103" spans="3:29" x14ac:dyDescent="0.2">
      <c r="C103" s="598"/>
      <c r="D103" s="599" t="s">
        <v>404</v>
      </c>
      <c r="E103" s="600">
        <v>28</v>
      </c>
      <c r="F103" s="450"/>
      <c r="G103" s="450"/>
      <c r="I103" s="450"/>
      <c r="J103" s="450"/>
      <c r="K103" s="450"/>
      <c r="M103" s="450"/>
      <c r="O103" s="450"/>
      <c r="P103" s="450"/>
      <c r="Q103" s="450"/>
      <c r="R103" s="450"/>
      <c r="S103" s="450"/>
      <c r="T103" s="450"/>
      <c r="U103" s="450"/>
      <c r="V103" s="450"/>
      <c r="W103" s="450"/>
      <c r="X103" s="450"/>
      <c r="Y103" s="450"/>
      <c r="Z103" s="450"/>
      <c r="AA103" s="450"/>
      <c r="AB103" s="450"/>
      <c r="AC103" s="450"/>
    </row>
    <row r="104" spans="3:29" x14ac:dyDescent="0.2">
      <c r="C104" s="595" t="s">
        <v>276</v>
      </c>
      <c r="D104" s="596" t="s">
        <v>405</v>
      </c>
      <c r="E104" s="597">
        <v>30</v>
      </c>
      <c r="F104" s="450"/>
      <c r="G104" s="450"/>
      <c r="I104" s="450"/>
      <c r="J104" s="450"/>
      <c r="K104" s="450"/>
      <c r="M104" s="450"/>
      <c r="O104" s="450"/>
      <c r="P104" s="450"/>
      <c r="Q104" s="450"/>
      <c r="R104" s="450"/>
      <c r="S104" s="450"/>
      <c r="T104" s="450"/>
      <c r="U104" s="450"/>
      <c r="V104" s="450"/>
      <c r="W104" s="450"/>
      <c r="X104" s="450"/>
      <c r="Y104" s="450"/>
      <c r="Z104" s="450"/>
      <c r="AA104" s="450"/>
      <c r="AB104" s="450"/>
      <c r="AC104" s="450"/>
    </row>
    <row r="105" spans="3:29" x14ac:dyDescent="0.2">
      <c r="C105" s="595" t="s">
        <v>276</v>
      </c>
      <c r="D105" s="596" t="s">
        <v>406</v>
      </c>
      <c r="E105" s="597">
        <v>27</v>
      </c>
      <c r="F105" s="450"/>
      <c r="G105" s="450"/>
      <c r="I105" s="450"/>
      <c r="J105" s="450"/>
      <c r="K105" s="450"/>
      <c r="M105" s="450"/>
      <c r="O105" s="450"/>
      <c r="P105" s="450"/>
      <c r="Q105" s="450"/>
      <c r="R105" s="450"/>
      <c r="S105" s="450"/>
      <c r="T105" s="450"/>
      <c r="U105" s="450"/>
      <c r="V105" s="450"/>
      <c r="W105" s="450"/>
      <c r="X105" s="450"/>
      <c r="Y105" s="450"/>
      <c r="Z105" s="450"/>
      <c r="AA105" s="450"/>
      <c r="AB105" s="450"/>
      <c r="AC105" s="450"/>
    </row>
    <row r="106" spans="3:29" x14ac:dyDescent="0.2">
      <c r="C106" s="595" t="s">
        <v>276</v>
      </c>
      <c r="D106" s="596" t="s">
        <v>407</v>
      </c>
      <c r="E106" s="597">
        <v>8</v>
      </c>
      <c r="F106" s="450"/>
      <c r="G106" s="450"/>
      <c r="I106" s="450"/>
      <c r="J106" s="450"/>
      <c r="K106" s="450"/>
      <c r="L106" s="450"/>
      <c r="M106" s="450"/>
      <c r="O106" s="450"/>
      <c r="P106" s="450"/>
      <c r="Q106" s="450"/>
      <c r="R106" s="450"/>
      <c r="S106" s="450"/>
      <c r="T106" s="450"/>
      <c r="U106" s="450"/>
      <c r="V106" s="450"/>
      <c r="W106" s="450"/>
      <c r="X106" s="450"/>
      <c r="Y106" s="450"/>
      <c r="Z106" s="450"/>
      <c r="AA106" s="450"/>
      <c r="AB106" s="450"/>
      <c r="AC106" s="450"/>
    </row>
    <row r="107" spans="3:29" x14ac:dyDescent="0.2">
      <c r="C107" s="595" t="s">
        <v>276</v>
      </c>
      <c r="D107" s="596" t="s">
        <v>408</v>
      </c>
      <c r="E107" s="597">
        <v>30</v>
      </c>
      <c r="F107" s="450"/>
      <c r="G107" s="450"/>
      <c r="I107" s="450"/>
      <c r="J107" s="450"/>
      <c r="K107" s="450"/>
      <c r="L107" s="450"/>
      <c r="M107" s="450"/>
      <c r="O107" s="450"/>
      <c r="P107" s="450"/>
      <c r="Q107" s="450"/>
      <c r="R107" s="450"/>
      <c r="S107" s="450"/>
      <c r="T107" s="450"/>
      <c r="U107" s="450"/>
      <c r="V107" s="450"/>
      <c r="W107" s="450"/>
      <c r="X107" s="450"/>
      <c r="Y107" s="450"/>
      <c r="Z107" s="450"/>
      <c r="AA107" s="450"/>
      <c r="AB107" s="450"/>
      <c r="AC107" s="450"/>
    </row>
    <row r="108" spans="3:29" ht="13.5" thickBot="1" x14ac:dyDescent="0.25">
      <c r="C108" s="601" t="s">
        <v>276</v>
      </c>
      <c r="D108" s="602" t="s">
        <v>409</v>
      </c>
      <c r="E108" s="603">
        <v>7.92</v>
      </c>
      <c r="F108" s="450"/>
      <c r="G108" s="450"/>
      <c r="I108" s="450"/>
      <c r="J108" s="450"/>
      <c r="K108" s="450"/>
      <c r="L108" s="450"/>
      <c r="M108" s="450"/>
      <c r="O108" s="450"/>
      <c r="P108" s="450"/>
      <c r="Q108" s="450"/>
      <c r="R108" s="450"/>
      <c r="S108" s="450"/>
      <c r="T108" s="450"/>
      <c r="U108" s="450"/>
      <c r="V108" s="450"/>
      <c r="W108" s="450"/>
      <c r="X108" s="450"/>
      <c r="Y108" s="450"/>
      <c r="Z108" s="450"/>
      <c r="AA108" s="450"/>
      <c r="AB108" s="450"/>
      <c r="AC108" s="450"/>
    </row>
    <row r="109" spans="3:29" ht="13.5" thickBot="1" x14ac:dyDescent="0.25">
      <c r="C109" s="610" t="s">
        <v>410</v>
      </c>
      <c r="D109" s="611" t="s">
        <v>410</v>
      </c>
      <c r="E109" s="612">
        <v>29.25</v>
      </c>
      <c r="F109" s="450"/>
      <c r="G109" s="450"/>
      <c r="I109" s="450"/>
      <c r="J109" s="450"/>
      <c r="K109" s="450"/>
      <c r="L109" s="450"/>
      <c r="M109" s="450"/>
      <c r="O109" s="450"/>
      <c r="P109" s="450"/>
      <c r="Q109" s="450"/>
      <c r="R109" s="450"/>
      <c r="S109" s="450"/>
      <c r="T109" s="450"/>
      <c r="U109" s="450"/>
      <c r="V109" s="450"/>
      <c r="W109" s="450"/>
      <c r="X109" s="450"/>
      <c r="Y109" s="450"/>
      <c r="Z109" s="450"/>
      <c r="AA109" s="450"/>
      <c r="AB109" s="450"/>
      <c r="AC109" s="450"/>
    </row>
    <row r="110" spans="3:29" x14ac:dyDescent="0.2">
      <c r="C110" s="591" t="s">
        <v>411</v>
      </c>
      <c r="D110" s="592" t="s">
        <v>412</v>
      </c>
      <c r="E110" s="593">
        <v>9</v>
      </c>
      <c r="F110" s="450"/>
      <c r="G110" s="450"/>
      <c r="I110" s="450"/>
      <c r="J110" s="450"/>
      <c r="K110" s="450"/>
      <c r="L110" s="450"/>
      <c r="M110" s="450"/>
      <c r="O110" s="450"/>
      <c r="P110" s="450"/>
      <c r="Q110" s="450"/>
      <c r="R110" s="450"/>
      <c r="S110" s="450"/>
      <c r="T110" s="450"/>
      <c r="U110" s="450"/>
      <c r="V110" s="450"/>
      <c r="W110" s="450"/>
      <c r="X110" s="450"/>
      <c r="Y110" s="450"/>
      <c r="Z110" s="450"/>
      <c r="AA110" s="450"/>
      <c r="AB110" s="450"/>
      <c r="AC110" s="450"/>
    </row>
    <row r="111" spans="3:29" ht="13.5" thickBot="1" x14ac:dyDescent="0.25">
      <c r="C111" s="601" t="s">
        <v>276</v>
      </c>
      <c r="D111" s="602" t="s">
        <v>413</v>
      </c>
      <c r="E111" s="603">
        <v>22.5</v>
      </c>
      <c r="F111" s="450"/>
      <c r="G111" s="450"/>
      <c r="I111" s="450"/>
      <c r="J111" s="450"/>
      <c r="K111" s="450"/>
      <c r="L111" s="450"/>
      <c r="M111" s="450"/>
      <c r="O111" s="450"/>
      <c r="P111" s="450"/>
      <c r="Q111" s="450"/>
      <c r="R111" s="450"/>
      <c r="S111" s="450"/>
      <c r="T111" s="450"/>
      <c r="U111" s="450"/>
      <c r="V111" s="450"/>
      <c r="W111" s="450"/>
      <c r="X111" s="450"/>
      <c r="Y111" s="450"/>
      <c r="Z111" s="450"/>
      <c r="AA111" s="450"/>
      <c r="AB111" s="450"/>
      <c r="AC111" s="450"/>
    </row>
    <row r="112" spans="3:29" x14ac:dyDescent="0.2">
      <c r="C112" s="591" t="s">
        <v>414</v>
      </c>
      <c r="D112" s="592" t="s">
        <v>415</v>
      </c>
      <c r="E112" s="593">
        <v>11.4</v>
      </c>
      <c r="F112" s="450"/>
      <c r="G112" s="450"/>
      <c r="I112" s="450"/>
      <c r="J112" s="450"/>
      <c r="K112" s="450"/>
      <c r="L112" s="450"/>
      <c r="M112" s="450"/>
      <c r="O112" s="450"/>
      <c r="P112" s="450"/>
      <c r="Q112" s="450"/>
      <c r="R112" s="450"/>
      <c r="S112" s="450"/>
      <c r="T112" s="450"/>
      <c r="U112" s="450"/>
      <c r="V112" s="450"/>
      <c r="W112" s="450"/>
      <c r="X112" s="450"/>
      <c r="Y112" s="450"/>
      <c r="Z112" s="450"/>
      <c r="AA112" s="450"/>
      <c r="AB112" s="450"/>
      <c r="AC112" s="450"/>
    </row>
    <row r="113" spans="3:29" x14ac:dyDescent="0.2">
      <c r="C113" s="595" t="s">
        <v>276</v>
      </c>
      <c r="D113" s="596" t="s">
        <v>416</v>
      </c>
      <c r="E113" s="597">
        <v>10.83</v>
      </c>
      <c r="F113" s="450"/>
      <c r="G113" s="450"/>
      <c r="I113" s="450"/>
      <c r="J113" s="450"/>
      <c r="K113" s="450"/>
      <c r="L113" s="450"/>
      <c r="M113" s="450"/>
      <c r="O113" s="450"/>
      <c r="P113" s="450"/>
      <c r="Q113" s="450"/>
      <c r="R113" s="450"/>
      <c r="S113" s="450"/>
      <c r="T113" s="450"/>
      <c r="U113" s="450"/>
      <c r="V113" s="450"/>
      <c r="W113" s="450"/>
      <c r="X113" s="450"/>
      <c r="Y113" s="450"/>
      <c r="Z113" s="450"/>
      <c r="AA113" s="450"/>
      <c r="AB113" s="450"/>
      <c r="AC113" s="450"/>
    </row>
    <row r="114" spans="3:29" x14ac:dyDescent="0.2">
      <c r="C114" s="598" t="s">
        <v>276</v>
      </c>
      <c r="D114" s="604" t="s">
        <v>417</v>
      </c>
      <c r="E114" s="597">
        <v>8.4534454454067696</v>
      </c>
      <c r="F114" s="450"/>
      <c r="G114" s="450"/>
      <c r="I114" s="450"/>
      <c r="J114" s="450"/>
      <c r="K114" s="450"/>
      <c r="L114" s="450"/>
      <c r="M114" s="450"/>
      <c r="O114" s="450"/>
      <c r="P114" s="450"/>
      <c r="Q114" s="450"/>
      <c r="R114" s="450"/>
      <c r="S114" s="450"/>
      <c r="T114" s="450"/>
      <c r="U114" s="450"/>
      <c r="V114" s="450"/>
      <c r="W114" s="450"/>
      <c r="X114" s="450"/>
      <c r="Y114" s="450"/>
      <c r="Z114" s="450"/>
      <c r="AA114" s="450"/>
      <c r="AB114" s="450"/>
      <c r="AC114" s="450"/>
    </row>
    <row r="115" spans="3:29" x14ac:dyDescent="0.2">
      <c r="C115" s="598" t="s">
        <v>276</v>
      </c>
      <c r="D115" s="596" t="s">
        <v>418</v>
      </c>
      <c r="E115" s="597">
        <v>8.4534454454067696</v>
      </c>
      <c r="F115" s="450"/>
      <c r="G115" s="450"/>
      <c r="I115" s="450"/>
      <c r="J115" s="450"/>
      <c r="K115" s="450"/>
      <c r="L115" s="450"/>
      <c r="M115" s="450"/>
      <c r="O115" s="450"/>
      <c r="P115" s="450"/>
      <c r="Q115" s="450"/>
      <c r="R115" s="450"/>
      <c r="S115" s="450"/>
      <c r="T115" s="450"/>
      <c r="U115" s="450"/>
      <c r="V115" s="450"/>
      <c r="W115" s="450"/>
      <c r="X115" s="450"/>
      <c r="Y115" s="450"/>
      <c r="Z115" s="450"/>
      <c r="AA115" s="450"/>
      <c r="AB115" s="450"/>
      <c r="AC115" s="450"/>
    </row>
    <row r="116" spans="3:29" x14ac:dyDescent="0.2">
      <c r="C116" s="598" t="s">
        <v>276</v>
      </c>
      <c r="D116" s="599" t="s">
        <v>419</v>
      </c>
      <c r="E116" s="600">
        <v>29.25</v>
      </c>
      <c r="F116" s="450"/>
      <c r="G116" s="450"/>
      <c r="I116" s="450"/>
      <c r="J116" s="450"/>
      <c r="K116" s="450"/>
      <c r="L116" s="450"/>
      <c r="M116" s="450"/>
      <c r="O116" s="450"/>
      <c r="P116" s="450"/>
      <c r="Q116" s="450"/>
      <c r="R116" s="450"/>
      <c r="S116" s="450"/>
      <c r="T116" s="450"/>
      <c r="U116" s="450"/>
      <c r="V116" s="450"/>
      <c r="W116" s="450"/>
      <c r="X116" s="450"/>
      <c r="Y116" s="450"/>
      <c r="Z116" s="450"/>
      <c r="AA116" s="450"/>
      <c r="AB116" s="450"/>
      <c r="AC116" s="450"/>
    </row>
    <row r="117" spans="3:29" x14ac:dyDescent="0.2">
      <c r="C117" s="598" t="s">
        <v>276</v>
      </c>
      <c r="D117" s="599" t="s">
        <v>420</v>
      </c>
      <c r="E117" s="600">
        <v>29.25</v>
      </c>
      <c r="F117" s="450"/>
      <c r="G117" s="450"/>
      <c r="I117" s="450"/>
      <c r="J117" s="450"/>
      <c r="K117" s="450"/>
      <c r="L117" s="450"/>
      <c r="M117" s="450"/>
      <c r="O117" s="450"/>
      <c r="P117" s="450"/>
      <c r="Q117" s="450"/>
      <c r="R117" s="450"/>
      <c r="S117" s="450"/>
      <c r="T117" s="450"/>
      <c r="U117" s="450"/>
      <c r="V117" s="450"/>
      <c r="W117" s="450"/>
      <c r="X117" s="450"/>
      <c r="Y117" s="450"/>
      <c r="Z117" s="450"/>
      <c r="AA117" s="450"/>
      <c r="AB117" s="450"/>
      <c r="AC117" s="450"/>
    </row>
    <row r="118" spans="3:29" ht="13.5" thickBot="1" x14ac:dyDescent="0.25">
      <c r="C118" s="598" t="s">
        <v>276</v>
      </c>
      <c r="D118" s="599" t="s">
        <v>421</v>
      </c>
      <c r="E118" s="600">
        <v>8</v>
      </c>
      <c r="F118" s="450"/>
      <c r="G118" s="450"/>
      <c r="I118" s="450"/>
      <c r="J118" s="450"/>
      <c r="K118" s="450"/>
      <c r="L118" s="450"/>
      <c r="M118" s="450"/>
      <c r="O118" s="450"/>
      <c r="P118" s="450"/>
      <c r="Q118" s="450"/>
      <c r="R118" s="450"/>
      <c r="S118" s="450"/>
      <c r="T118" s="450"/>
      <c r="U118" s="450"/>
      <c r="V118" s="450"/>
      <c r="W118" s="450"/>
      <c r="X118" s="450"/>
      <c r="Y118" s="450"/>
      <c r="Z118" s="450"/>
      <c r="AA118" s="450"/>
      <c r="AB118" s="450"/>
      <c r="AC118" s="450"/>
    </row>
    <row r="119" spans="3:29" x14ac:dyDescent="0.2">
      <c r="C119" s="591" t="s">
        <v>422</v>
      </c>
      <c r="D119" s="618" t="s">
        <v>423</v>
      </c>
      <c r="E119" s="593">
        <v>6.8</v>
      </c>
      <c r="F119" s="450"/>
      <c r="G119" s="450"/>
      <c r="I119" s="450"/>
      <c r="J119" s="450"/>
      <c r="K119" s="450"/>
      <c r="L119" s="450"/>
      <c r="M119" s="450"/>
      <c r="O119" s="450"/>
      <c r="P119" s="450"/>
      <c r="Q119" s="450"/>
      <c r="R119" s="450"/>
      <c r="S119" s="450"/>
      <c r="T119" s="450"/>
      <c r="U119" s="450"/>
      <c r="V119" s="450"/>
      <c r="W119" s="450"/>
      <c r="X119" s="450"/>
      <c r="Y119" s="450"/>
      <c r="Z119" s="450"/>
      <c r="AA119" s="450"/>
      <c r="AB119" s="450"/>
      <c r="AC119" s="450"/>
    </row>
    <row r="120" spans="3:29" x14ac:dyDescent="0.2">
      <c r="C120" s="595" t="s">
        <v>276</v>
      </c>
      <c r="D120" s="627" t="s">
        <v>424</v>
      </c>
      <c r="E120" s="625">
        <v>12.8</v>
      </c>
      <c r="F120" s="450"/>
      <c r="G120" s="450"/>
      <c r="I120" s="450"/>
      <c r="J120" s="450"/>
      <c r="K120" s="450"/>
      <c r="L120" s="450"/>
      <c r="M120" s="450"/>
      <c r="O120" s="450"/>
      <c r="P120" s="450"/>
      <c r="Q120" s="450"/>
      <c r="R120" s="450"/>
      <c r="S120" s="450"/>
      <c r="T120" s="450"/>
      <c r="U120" s="450"/>
      <c r="V120" s="450"/>
      <c r="W120" s="450"/>
      <c r="X120" s="450"/>
      <c r="Y120" s="450"/>
      <c r="Z120" s="450"/>
      <c r="AA120" s="450"/>
      <c r="AB120" s="450"/>
      <c r="AC120" s="450"/>
    </row>
    <row r="121" spans="3:29" x14ac:dyDescent="0.2">
      <c r="C121" s="595"/>
      <c r="D121" s="596" t="s">
        <v>425</v>
      </c>
      <c r="E121" s="597">
        <v>11.4</v>
      </c>
      <c r="F121" s="450"/>
      <c r="G121" s="450"/>
      <c r="I121" s="450"/>
      <c r="J121" s="450"/>
      <c r="K121" s="450"/>
      <c r="L121" s="450"/>
      <c r="M121" s="450"/>
      <c r="O121" s="450"/>
      <c r="P121" s="450"/>
      <c r="Q121" s="450"/>
      <c r="R121" s="450"/>
      <c r="S121" s="450"/>
      <c r="T121" s="450"/>
      <c r="U121" s="450"/>
      <c r="V121" s="450"/>
      <c r="W121" s="450"/>
      <c r="X121" s="450"/>
      <c r="Y121" s="450"/>
      <c r="Z121" s="450"/>
      <c r="AA121" s="450"/>
      <c r="AB121" s="450"/>
      <c r="AC121" s="450"/>
    </row>
    <row r="122" spans="3:29" x14ac:dyDescent="0.2">
      <c r="C122" s="595" t="s">
        <v>276</v>
      </c>
      <c r="D122" s="596" t="s">
        <v>426</v>
      </c>
      <c r="E122" s="597">
        <v>7.6</v>
      </c>
      <c r="F122" s="450"/>
      <c r="G122" s="450"/>
      <c r="I122" s="450"/>
      <c r="J122" s="450"/>
      <c r="K122" s="450"/>
      <c r="L122" s="450"/>
      <c r="M122" s="450"/>
      <c r="O122" s="450"/>
      <c r="P122" s="450"/>
      <c r="Q122" s="450"/>
      <c r="R122" s="450"/>
      <c r="S122" s="450"/>
      <c r="T122" s="450"/>
      <c r="U122" s="450"/>
      <c r="V122" s="450"/>
      <c r="W122" s="450"/>
      <c r="X122" s="450"/>
      <c r="Y122" s="450"/>
      <c r="Z122" s="450"/>
      <c r="AA122" s="450"/>
      <c r="AB122" s="450"/>
      <c r="AC122" s="450"/>
    </row>
    <row r="123" spans="3:29" x14ac:dyDescent="0.2">
      <c r="C123" s="595" t="s">
        <v>276</v>
      </c>
      <c r="D123" s="596" t="s">
        <v>427</v>
      </c>
      <c r="E123" s="597">
        <v>16.25</v>
      </c>
      <c r="F123" s="450"/>
      <c r="G123" s="450"/>
      <c r="I123" s="450"/>
      <c r="J123" s="450"/>
      <c r="K123" s="450"/>
      <c r="L123" s="450"/>
      <c r="M123" s="450"/>
      <c r="O123" s="450"/>
      <c r="P123" s="450"/>
      <c r="Q123" s="450"/>
      <c r="R123" s="450"/>
      <c r="S123" s="450"/>
      <c r="T123" s="450"/>
      <c r="U123" s="450"/>
      <c r="V123" s="450"/>
      <c r="W123" s="450"/>
      <c r="X123" s="450"/>
      <c r="Y123" s="450"/>
      <c r="Z123" s="450"/>
      <c r="AA123" s="450"/>
      <c r="AB123" s="450"/>
      <c r="AC123" s="450"/>
    </row>
    <row r="124" spans="3:29" x14ac:dyDescent="0.2">
      <c r="C124" s="595" t="s">
        <v>276</v>
      </c>
      <c r="D124" s="596" t="s">
        <v>428</v>
      </c>
      <c r="E124" s="597">
        <v>10.8</v>
      </c>
      <c r="F124" s="450"/>
      <c r="G124" s="450"/>
      <c r="I124" s="450"/>
      <c r="J124" s="450"/>
      <c r="K124" s="450"/>
      <c r="L124" s="450"/>
      <c r="M124" s="450"/>
      <c r="O124" s="450"/>
      <c r="P124" s="450"/>
      <c r="Q124" s="450"/>
      <c r="R124" s="450"/>
      <c r="S124" s="450"/>
      <c r="T124" s="450"/>
      <c r="U124" s="450"/>
      <c r="V124" s="450"/>
      <c r="W124" s="450"/>
      <c r="X124" s="450"/>
      <c r="Y124" s="450"/>
      <c r="Z124" s="450"/>
      <c r="AA124" s="450"/>
      <c r="AB124" s="450"/>
      <c r="AC124" s="450"/>
    </row>
    <row r="125" spans="3:29" x14ac:dyDescent="0.2">
      <c r="C125" s="598" t="s">
        <v>276</v>
      </c>
      <c r="D125" s="596" t="s">
        <v>429</v>
      </c>
      <c r="E125" s="597">
        <v>6.84</v>
      </c>
      <c r="F125" s="450"/>
      <c r="G125" s="450"/>
      <c r="I125" s="450"/>
      <c r="J125" s="450"/>
      <c r="K125" s="450"/>
      <c r="L125" s="450"/>
      <c r="M125" s="450"/>
      <c r="O125" s="450"/>
      <c r="P125" s="450"/>
      <c r="Q125" s="450"/>
      <c r="R125" s="450"/>
      <c r="S125" s="450"/>
      <c r="T125" s="450"/>
      <c r="U125" s="450"/>
      <c r="V125" s="450"/>
      <c r="W125" s="450"/>
      <c r="X125" s="450"/>
      <c r="Y125" s="450"/>
      <c r="Z125" s="450"/>
      <c r="AA125" s="450"/>
      <c r="AB125" s="450"/>
      <c r="AC125" s="450"/>
    </row>
    <row r="126" spans="3:29" x14ac:dyDescent="0.2">
      <c r="C126" s="595"/>
      <c r="D126" s="596" t="s">
        <v>430</v>
      </c>
      <c r="E126" s="597">
        <v>10.26</v>
      </c>
      <c r="F126" s="450"/>
      <c r="G126" s="450"/>
      <c r="I126" s="450"/>
      <c r="J126" s="450"/>
      <c r="K126" s="450"/>
      <c r="L126" s="450"/>
      <c r="M126" s="450"/>
      <c r="O126" s="450"/>
      <c r="P126" s="450"/>
      <c r="Q126" s="450"/>
      <c r="R126" s="450"/>
      <c r="S126" s="450"/>
      <c r="T126" s="450"/>
      <c r="U126" s="450"/>
      <c r="V126" s="450"/>
      <c r="W126" s="450"/>
      <c r="X126" s="450"/>
      <c r="Y126" s="450"/>
      <c r="Z126" s="450"/>
      <c r="AA126" s="450"/>
      <c r="AB126" s="450"/>
      <c r="AC126" s="450"/>
    </row>
    <row r="127" spans="3:29" x14ac:dyDescent="0.2">
      <c r="C127" s="598" t="s">
        <v>276</v>
      </c>
      <c r="D127" s="599" t="s">
        <v>431</v>
      </c>
      <c r="E127" s="600">
        <v>10.83</v>
      </c>
      <c r="F127" s="450"/>
      <c r="G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row>
    <row r="128" spans="3:29" ht="13.5" thickBot="1" x14ac:dyDescent="0.25">
      <c r="C128" s="601" t="s">
        <v>276</v>
      </c>
      <c r="D128" s="602" t="s">
        <v>432</v>
      </c>
      <c r="E128" s="603">
        <v>10</v>
      </c>
      <c r="F128" s="450"/>
      <c r="G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row>
    <row r="129" spans="3:29" x14ac:dyDescent="0.2">
      <c r="C129" s="607" t="s">
        <v>433</v>
      </c>
      <c r="D129" s="627" t="s">
        <v>434</v>
      </c>
      <c r="E129" s="625">
        <v>8.8919999999999995</v>
      </c>
      <c r="F129" s="450"/>
      <c r="G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row>
    <row r="130" spans="3:29" ht="13.5" thickBot="1" x14ac:dyDescent="0.25">
      <c r="C130" s="601" t="s">
        <v>276</v>
      </c>
      <c r="D130" s="602" t="s">
        <v>435</v>
      </c>
      <c r="E130" s="603">
        <v>10.26</v>
      </c>
      <c r="F130" s="450"/>
      <c r="G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row>
    <row r="131" spans="3:29" x14ac:dyDescent="0.2">
      <c r="C131" s="591" t="s">
        <v>436</v>
      </c>
      <c r="D131" s="629" t="s">
        <v>437</v>
      </c>
      <c r="E131" s="593">
        <v>25</v>
      </c>
      <c r="F131" s="450"/>
      <c r="G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row>
    <row r="132" spans="3:29" x14ac:dyDescent="0.2">
      <c r="C132" s="630" t="s">
        <v>276</v>
      </c>
      <c r="D132" s="608" t="s">
        <v>438</v>
      </c>
      <c r="E132" s="625">
        <v>13</v>
      </c>
      <c r="F132" s="450"/>
      <c r="G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row>
    <row r="133" spans="3:29" x14ac:dyDescent="0.2">
      <c r="C133" s="595" t="s">
        <v>276</v>
      </c>
      <c r="D133" s="596" t="s">
        <v>439</v>
      </c>
      <c r="E133" s="597">
        <v>20</v>
      </c>
      <c r="F133" s="450"/>
      <c r="G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row>
    <row r="134" spans="3:29" x14ac:dyDescent="0.2">
      <c r="C134" s="595" t="s">
        <v>276</v>
      </c>
      <c r="D134" s="596" t="s">
        <v>440</v>
      </c>
      <c r="E134" s="597">
        <v>25</v>
      </c>
      <c r="F134" s="450"/>
      <c r="G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row>
    <row r="135" spans="3:29" x14ac:dyDescent="0.2">
      <c r="C135" s="595" t="s">
        <v>276</v>
      </c>
      <c r="D135" s="596" t="s">
        <v>441</v>
      </c>
      <c r="E135" s="597">
        <v>13</v>
      </c>
      <c r="F135" s="450"/>
      <c r="G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row>
    <row r="136" spans="3:29" x14ac:dyDescent="0.2">
      <c r="C136" s="595" t="s">
        <v>276</v>
      </c>
      <c r="D136" s="604" t="s">
        <v>442</v>
      </c>
      <c r="E136" s="597">
        <v>25</v>
      </c>
      <c r="F136" s="450"/>
      <c r="G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row>
    <row r="137" spans="3:29" x14ac:dyDescent="0.2">
      <c r="C137" s="598" t="s">
        <v>276</v>
      </c>
      <c r="D137" s="631" t="s">
        <v>443</v>
      </c>
      <c r="E137" s="597">
        <v>13</v>
      </c>
      <c r="F137" s="450"/>
      <c r="G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row>
    <row r="138" spans="3:29" x14ac:dyDescent="0.2">
      <c r="C138" s="598" t="s">
        <v>276</v>
      </c>
      <c r="D138" s="631" t="s">
        <v>444</v>
      </c>
      <c r="E138" s="600">
        <v>25</v>
      </c>
      <c r="F138" s="450"/>
      <c r="G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row>
    <row r="139" spans="3:29" ht="13.5" thickBot="1" x14ac:dyDescent="0.25">
      <c r="C139" s="598" t="s">
        <v>276</v>
      </c>
      <c r="D139" s="631" t="s">
        <v>445</v>
      </c>
      <c r="E139" s="600">
        <v>13</v>
      </c>
      <c r="F139" s="450"/>
      <c r="G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row>
    <row r="140" spans="3:29" x14ac:dyDescent="0.2">
      <c r="C140" s="591" t="s">
        <v>446</v>
      </c>
      <c r="D140" s="632" t="s">
        <v>447</v>
      </c>
      <c r="E140" s="593">
        <v>12.716226794881425</v>
      </c>
      <c r="F140" s="450"/>
      <c r="G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row>
    <row r="141" spans="3:29" x14ac:dyDescent="0.2">
      <c r="C141" s="595" t="s">
        <v>276</v>
      </c>
      <c r="D141" s="595" t="s">
        <v>448</v>
      </c>
      <c r="E141" s="597">
        <v>30</v>
      </c>
      <c r="F141" s="450"/>
      <c r="G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row>
    <row r="142" spans="3:29" x14ac:dyDescent="0.2">
      <c r="C142" s="595" t="s">
        <v>276</v>
      </c>
      <c r="D142" s="606" t="s">
        <v>449</v>
      </c>
      <c r="E142" s="597">
        <v>12.72</v>
      </c>
      <c r="F142" s="450"/>
      <c r="G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row>
    <row r="143" spans="3:29" x14ac:dyDescent="0.2">
      <c r="C143" s="595" t="s">
        <v>276</v>
      </c>
      <c r="D143" s="606" t="s">
        <v>450</v>
      </c>
      <c r="E143" s="597">
        <v>15</v>
      </c>
      <c r="F143" s="450"/>
      <c r="G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row>
    <row r="144" spans="3:29" x14ac:dyDescent="0.2">
      <c r="C144" s="595" t="s">
        <v>276</v>
      </c>
      <c r="D144" s="606" t="s">
        <v>451</v>
      </c>
      <c r="E144" s="597">
        <v>20</v>
      </c>
      <c r="F144" s="450"/>
      <c r="G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row>
    <row r="145" spans="3:29" ht="13.5" thickBot="1" x14ac:dyDescent="0.25">
      <c r="C145" s="601" t="s">
        <v>276</v>
      </c>
      <c r="D145" s="601" t="s">
        <v>452</v>
      </c>
      <c r="E145" s="603">
        <v>10</v>
      </c>
      <c r="F145" s="450"/>
      <c r="G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row>
    <row r="146" spans="3:29" x14ac:dyDescent="0.2">
      <c r="C146" s="607" t="s">
        <v>453</v>
      </c>
      <c r="D146" s="627" t="s">
        <v>454</v>
      </c>
      <c r="E146" s="625">
        <v>20</v>
      </c>
      <c r="F146" s="450"/>
      <c r="G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row>
    <row r="147" spans="3:29" ht="13.5" thickBot="1" x14ac:dyDescent="0.25">
      <c r="C147" s="601" t="s">
        <v>276</v>
      </c>
      <c r="D147" s="602" t="s">
        <v>455</v>
      </c>
      <c r="E147" s="603">
        <v>10</v>
      </c>
      <c r="F147" s="450"/>
      <c r="G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row>
    <row r="148" spans="3:29" x14ac:dyDescent="0.2">
      <c r="C148" s="591" t="s">
        <v>456</v>
      </c>
      <c r="D148" s="592" t="s">
        <v>457</v>
      </c>
      <c r="E148" s="593">
        <v>11.4</v>
      </c>
      <c r="F148" s="450"/>
      <c r="G148" s="450"/>
      <c r="I148" s="450" t="s">
        <v>118</v>
      </c>
      <c r="J148" s="450" t="s">
        <v>458</v>
      </c>
      <c r="K148" s="450"/>
      <c r="L148" s="450"/>
      <c r="M148" s="450"/>
      <c r="N148" s="450"/>
      <c r="O148" s="450"/>
      <c r="P148" s="450"/>
      <c r="Q148" s="450"/>
      <c r="R148" s="450"/>
      <c r="S148" s="450"/>
      <c r="T148" s="450"/>
      <c r="U148" s="450"/>
      <c r="V148" s="450"/>
      <c r="W148" s="450"/>
      <c r="X148" s="450"/>
      <c r="Y148" s="450"/>
      <c r="Z148" s="450"/>
      <c r="AA148" s="450"/>
      <c r="AB148" s="450"/>
      <c r="AC148" s="450"/>
    </row>
    <row r="149" spans="3:29" x14ac:dyDescent="0.2">
      <c r="C149" s="595" t="s">
        <v>276</v>
      </c>
      <c r="D149" s="596" t="s">
        <v>459</v>
      </c>
      <c r="E149" s="597">
        <v>11.4</v>
      </c>
      <c r="F149" s="450"/>
      <c r="G149" s="450"/>
      <c r="I149" s="633">
        <v>2021</v>
      </c>
      <c r="J149" s="633">
        <v>3</v>
      </c>
      <c r="K149" s="450"/>
      <c r="L149" s="450"/>
      <c r="M149" s="450"/>
      <c r="N149" s="450"/>
      <c r="O149" s="450"/>
      <c r="P149" s="450"/>
      <c r="Q149" s="450"/>
      <c r="R149" s="450"/>
      <c r="S149" s="450"/>
      <c r="T149" s="450"/>
      <c r="U149" s="450"/>
      <c r="V149" s="450"/>
      <c r="W149" s="450"/>
      <c r="X149" s="450"/>
      <c r="Y149" s="450"/>
      <c r="Z149" s="450"/>
      <c r="AA149" s="450"/>
      <c r="AB149" s="450"/>
      <c r="AC149" s="450"/>
    </row>
    <row r="150" spans="3:29" ht="13.5" thickBot="1" x14ac:dyDescent="0.25">
      <c r="C150" s="601" t="s">
        <v>276</v>
      </c>
      <c r="D150" s="602" t="s">
        <v>460</v>
      </c>
      <c r="E150" s="603">
        <v>10.26</v>
      </c>
      <c r="F150" s="450"/>
      <c r="G150" s="450"/>
      <c r="I150" s="633">
        <v>2022</v>
      </c>
      <c r="J150" s="450">
        <v>4</v>
      </c>
      <c r="K150" s="450"/>
      <c r="L150" s="450"/>
      <c r="M150" s="450"/>
      <c r="N150" s="450"/>
      <c r="O150" s="450"/>
      <c r="P150" s="450"/>
      <c r="Q150" s="450"/>
      <c r="R150" s="450"/>
      <c r="S150" s="450"/>
      <c r="T150" s="450"/>
      <c r="U150" s="450"/>
      <c r="V150" s="450"/>
      <c r="W150" s="450"/>
      <c r="X150" s="450"/>
      <c r="Y150" s="450"/>
      <c r="Z150" s="450"/>
      <c r="AA150" s="450"/>
      <c r="AB150" s="450"/>
      <c r="AC150" s="450"/>
    </row>
    <row r="151" spans="3:29" ht="13.5" thickBot="1" x14ac:dyDescent="0.25">
      <c r="C151" s="610" t="s">
        <v>461</v>
      </c>
      <c r="D151" s="611" t="s">
        <v>462</v>
      </c>
      <c r="E151" s="612">
        <v>15</v>
      </c>
      <c r="F151" s="450"/>
      <c r="G151" s="450"/>
      <c r="I151" s="633">
        <v>2023</v>
      </c>
      <c r="J151" s="450">
        <v>5</v>
      </c>
      <c r="K151" s="450"/>
      <c r="L151" s="450"/>
      <c r="M151" s="450"/>
      <c r="N151" s="450"/>
      <c r="O151" s="450"/>
      <c r="P151" s="450"/>
      <c r="Q151" s="450"/>
      <c r="R151" s="450"/>
      <c r="S151" s="450"/>
      <c r="T151" s="450"/>
      <c r="U151" s="450"/>
      <c r="V151" s="450"/>
      <c r="W151" s="450"/>
      <c r="X151" s="450"/>
      <c r="Y151" s="450"/>
      <c r="Z151" s="450"/>
      <c r="AA151" s="450"/>
      <c r="AB151" s="450"/>
      <c r="AC151" s="450"/>
    </row>
    <row r="152" spans="3:29" ht="13.5" thickBot="1" x14ac:dyDescent="0.25">
      <c r="C152" s="610" t="s">
        <v>463</v>
      </c>
      <c r="D152" s="611" t="s">
        <v>464</v>
      </c>
      <c r="E152" s="612">
        <v>3</v>
      </c>
      <c r="F152" s="450"/>
      <c r="G152" s="450"/>
      <c r="I152" s="633">
        <v>2024</v>
      </c>
      <c r="J152" s="450">
        <v>6</v>
      </c>
      <c r="K152" s="450"/>
      <c r="L152" s="450"/>
      <c r="M152" s="450"/>
      <c r="N152" s="450"/>
      <c r="O152" s="450"/>
      <c r="P152" s="450"/>
      <c r="Q152" s="450"/>
      <c r="R152" s="450"/>
      <c r="S152" s="450"/>
      <c r="T152" s="450"/>
      <c r="U152" s="450"/>
      <c r="V152" s="450"/>
      <c r="W152" s="450"/>
      <c r="X152" s="450"/>
      <c r="Y152" s="450"/>
      <c r="Z152" s="450"/>
      <c r="AA152" s="450"/>
      <c r="AB152" s="450"/>
      <c r="AC152" s="450"/>
    </row>
    <row r="153" spans="3:29" x14ac:dyDescent="0.2">
      <c r="C153" s="591" t="s">
        <v>465</v>
      </c>
      <c r="D153" s="592" t="s">
        <v>466</v>
      </c>
      <c r="E153" s="593">
        <v>15.123999999999995</v>
      </c>
      <c r="F153" s="450"/>
      <c r="G153" s="450"/>
      <c r="I153" s="633">
        <v>2025</v>
      </c>
      <c r="J153" s="450">
        <v>7</v>
      </c>
      <c r="K153" s="450"/>
      <c r="L153" s="450"/>
      <c r="M153" s="450"/>
      <c r="N153" s="450"/>
      <c r="O153" s="450"/>
      <c r="P153" s="450"/>
      <c r="Q153" s="450"/>
      <c r="R153" s="450"/>
      <c r="S153" s="450"/>
      <c r="T153" s="450"/>
      <c r="U153" s="450"/>
      <c r="V153" s="450"/>
      <c r="W153" s="450"/>
      <c r="X153" s="450"/>
      <c r="Y153" s="450"/>
      <c r="Z153" s="450"/>
      <c r="AA153" s="450"/>
      <c r="AB153" s="450"/>
      <c r="AC153" s="450"/>
    </row>
    <row r="154" spans="3:29" x14ac:dyDescent="0.2">
      <c r="C154" s="595"/>
      <c r="D154" s="596" t="s">
        <v>467</v>
      </c>
      <c r="E154" s="597">
        <v>22.5</v>
      </c>
      <c r="F154" s="450"/>
      <c r="G154" s="450"/>
      <c r="I154" s="633">
        <v>2026</v>
      </c>
      <c r="J154" s="450">
        <v>8</v>
      </c>
      <c r="K154" s="450"/>
      <c r="L154" s="450"/>
      <c r="M154" s="450"/>
      <c r="N154" s="450"/>
      <c r="O154" s="450"/>
      <c r="P154" s="450"/>
      <c r="Q154" s="450"/>
      <c r="R154" s="450"/>
      <c r="S154" s="450"/>
      <c r="T154" s="450"/>
      <c r="U154" s="450"/>
      <c r="V154" s="450"/>
      <c r="W154" s="450"/>
      <c r="X154" s="450"/>
      <c r="Y154" s="450"/>
      <c r="Z154" s="450"/>
      <c r="AA154" s="450"/>
      <c r="AB154" s="450"/>
      <c r="AC154" s="450"/>
    </row>
    <row r="155" spans="3:29" x14ac:dyDescent="0.2">
      <c r="C155" s="607"/>
      <c r="D155" s="596" t="s">
        <v>468</v>
      </c>
      <c r="E155" s="597">
        <v>17.100000000000001</v>
      </c>
      <c r="F155" s="450"/>
      <c r="G155" s="450"/>
      <c r="I155" s="633">
        <v>2027</v>
      </c>
      <c r="J155" s="450">
        <v>9</v>
      </c>
      <c r="K155" s="450"/>
      <c r="L155" s="450"/>
      <c r="M155" s="450"/>
      <c r="N155" s="450"/>
      <c r="O155" s="450"/>
      <c r="P155" s="450"/>
      <c r="Q155" s="450"/>
      <c r="R155" s="450"/>
      <c r="S155" s="450"/>
      <c r="T155" s="450"/>
      <c r="U155" s="450"/>
      <c r="V155" s="450"/>
      <c r="W155" s="450"/>
      <c r="X155" s="450"/>
      <c r="Y155" s="450"/>
      <c r="Z155" s="450"/>
      <c r="AA155" s="450"/>
      <c r="AB155" s="450"/>
      <c r="AC155" s="450"/>
    </row>
    <row r="156" spans="3:29" ht="13.5" thickBot="1" x14ac:dyDescent="0.25">
      <c r="C156" s="607"/>
      <c r="D156" s="616" t="s">
        <v>469</v>
      </c>
      <c r="E156" s="617">
        <v>22.8</v>
      </c>
      <c r="F156" s="450"/>
      <c r="G156" s="450"/>
      <c r="I156" s="633">
        <v>2028</v>
      </c>
      <c r="J156" s="450">
        <v>10</v>
      </c>
      <c r="K156" s="450"/>
      <c r="L156" s="450"/>
      <c r="M156" s="450"/>
      <c r="N156" s="450"/>
      <c r="O156" s="450"/>
      <c r="P156" s="450"/>
      <c r="Q156" s="450"/>
      <c r="R156" s="450"/>
      <c r="S156" s="450"/>
      <c r="T156" s="450"/>
      <c r="U156" s="450"/>
      <c r="V156" s="450"/>
      <c r="W156" s="450"/>
      <c r="X156" s="450"/>
      <c r="Y156" s="450"/>
      <c r="Z156" s="450"/>
      <c r="AA156" s="450"/>
      <c r="AB156" s="450"/>
      <c r="AC156" s="450"/>
    </row>
    <row r="157" spans="3:29" x14ac:dyDescent="0.2">
      <c r="C157" s="591" t="s">
        <v>350</v>
      </c>
      <c r="D157" s="618" t="s">
        <v>470</v>
      </c>
      <c r="E157" s="593">
        <v>7.92</v>
      </c>
      <c r="F157" s="450"/>
      <c r="G157" s="450"/>
      <c r="I157" s="633">
        <v>2029</v>
      </c>
      <c r="J157" s="450">
        <v>11</v>
      </c>
      <c r="K157" s="450"/>
      <c r="L157" s="450"/>
      <c r="M157" s="450"/>
      <c r="N157" s="450"/>
      <c r="O157" s="450"/>
      <c r="P157" s="450"/>
      <c r="Q157" s="450"/>
      <c r="R157" s="450"/>
      <c r="S157" s="450"/>
      <c r="T157" s="450"/>
      <c r="U157" s="450"/>
      <c r="V157" s="450"/>
      <c r="W157" s="450"/>
      <c r="X157" s="450"/>
      <c r="Y157" s="450"/>
      <c r="Z157" s="450"/>
      <c r="AA157" s="450"/>
      <c r="AB157" s="450"/>
      <c r="AC157" s="450"/>
    </row>
    <row r="158" spans="3:29" ht="13.5" thickBot="1" x14ac:dyDescent="0.25">
      <c r="C158" s="601" t="s">
        <v>276</v>
      </c>
      <c r="D158" s="620" t="s">
        <v>471</v>
      </c>
      <c r="E158" s="603">
        <v>8.4534454454067696</v>
      </c>
      <c r="F158" s="450"/>
      <c r="G158" s="450"/>
      <c r="I158" s="633">
        <v>2030</v>
      </c>
      <c r="J158" s="450">
        <v>12</v>
      </c>
      <c r="K158" s="450"/>
      <c r="L158" s="450"/>
      <c r="M158" s="450"/>
      <c r="N158" s="450"/>
      <c r="O158" s="450"/>
      <c r="P158" s="450"/>
      <c r="Q158" s="450"/>
      <c r="R158" s="450"/>
      <c r="S158" s="450"/>
      <c r="T158" s="450"/>
      <c r="U158" s="450"/>
      <c r="V158" s="450"/>
      <c r="W158" s="450"/>
      <c r="X158" s="450"/>
      <c r="Y158" s="450"/>
      <c r="Z158" s="450"/>
      <c r="AA158" s="450"/>
      <c r="AB158" s="450"/>
      <c r="AC158" s="450"/>
    </row>
    <row r="159" spans="3:29" ht="13.5" thickBot="1" x14ac:dyDescent="0.25">
      <c r="C159" s="610" t="s">
        <v>472</v>
      </c>
      <c r="D159" s="611" t="s">
        <v>472</v>
      </c>
      <c r="E159" s="612">
        <v>6.84</v>
      </c>
      <c r="F159" s="450"/>
      <c r="G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row>
    <row r="160" spans="3:29" x14ac:dyDescent="0.2">
      <c r="C160" s="591" t="s">
        <v>356</v>
      </c>
      <c r="D160" s="592" t="s">
        <v>473</v>
      </c>
      <c r="E160" s="593">
        <v>30</v>
      </c>
      <c r="F160" s="450"/>
      <c r="G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row>
    <row r="161" spans="3:29" x14ac:dyDescent="0.2">
      <c r="C161" s="595" t="s">
        <v>276</v>
      </c>
      <c r="D161" s="599" t="s">
        <v>474</v>
      </c>
      <c r="E161" s="600">
        <v>30</v>
      </c>
      <c r="F161" s="450"/>
      <c r="G161" s="450"/>
      <c r="I161" s="450"/>
      <c r="J161" s="450"/>
      <c r="K161" s="450"/>
      <c r="L161" s="450"/>
      <c r="M161" s="450"/>
      <c r="N161" s="450"/>
      <c r="O161" s="450"/>
      <c r="P161" s="450"/>
      <c r="Q161" s="450"/>
      <c r="R161" s="450"/>
      <c r="S161" s="450"/>
      <c r="T161" s="450"/>
      <c r="U161" s="450"/>
      <c r="V161" s="450"/>
      <c r="W161" s="450"/>
      <c r="X161" s="450"/>
      <c r="Y161" s="450"/>
      <c r="Z161" s="450"/>
      <c r="AA161" s="450"/>
      <c r="AB161" s="450"/>
      <c r="AC161" s="450"/>
    </row>
    <row r="162" spans="3:29" x14ac:dyDescent="0.2">
      <c r="C162" s="598" t="s">
        <v>276</v>
      </c>
      <c r="D162" s="596" t="s">
        <v>475</v>
      </c>
      <c r="E162" s="597">
        <v>30</v>
      </c>
      <c r="F162" s="450"/>
      <c r="G162" s="450"/>
      <c r="I162" s="450"/>
      <c r="J162" s="450"/>
      <c r="K162" s="450"/>
      <c r="L162" s="450"/>
      <c r="M162" s="450"/>
      <c r="N162" s="450"/>
      <c r="O162" s="450"/>
      <c r="P162" s="450"/>
      <c r="Q162" s="450"/>
      <c r="R162" s="450"/>
      <c r="S162" s="450"/>
      <c r="T162" s="450"/>
      <c r="U162" s="450"/>
      <c r="V162" s="450"/>
      <c r="W162" s="450"/>
      <c r="X162" s="450"/>
      <c r="Y162" s="450"/>
      <c r="Z162" s="450"/>
      <c r="AA162" s="450"/>
      <c r="AB162" s="450"/>
      <c r="AC162" s="450"/>
    </row>
    <row r="163" spans="3:29" x14ac:dyDescent="0.2">
      <c r="C163" s="598" t="s">
        <v>276</v>
      </c>
      <c r="D163" s="596" t="s">
        <v>476</v>
      </c>
      <c r="E163" s="597">
        <v>30</v>
      </c>
      <c r="F163" s="450"/>
      <c r="G163" s="450"/>
      <c r="I163" s="450"/>
      <c r="J163" s="450"/>
      <c r="K163" s="450"/>
      <c r="L163" s="450"/>
      <c r="M163" s="450"/>
      <c r="N163" s="450"/>
      <c r="O163" s="450"/>
      <c r="P163" s="450"/>
      <c r="Q163" s="450"/>
      <c r="R163" s="450"/>
      <c r="S163" s="450"/>
      <c r="T163" s="450"/>
      <c r="U163" s="450"/>
      <c r="V163" s="450"/>
      <c r="W163" s="450"/>
      <c r="X163" s="450"/>
      <c r="Y163" s="450"/>
      <c r="Z163" s="450"/>
      <c r="AA163" s="450"/>
      <c r="AB163" s="450"/>
      <c r="AC163" s="450"/>
    </row>
    <row r="164" spans="3:29" ht="13.5" thickBot="1" x14ac:dyDescent="0.25">
      <c r="C164" s="601" t="s">
        <v>276</v>
      </c>
      <c r="D164" s="634" t="s">
        <v>477</v>
      </c>
      <c r="E164" s="623">
        <v>30</v>
      </c>
      <c r="F164" s="450"/>
      <c r="G164" s="450"/>
      <c r="I164" s="450"/>
      <c r="J164" s="450"/>
      <c r="K164" s="450"/>
      <c r="L164" s="450"/>
      <c r="M164" s="450"/>
      <c r="N164" s="450"/>
      <c r="O164" s="450"/>
      <c r="P164" s="450"/>
      <c r="Q164" s="450"/>
      <c r="R164" s="450"/>
      <c r="S164" s="450"/>
      <c r="T164" s="450"/>
      <c r="U164" s="450"/>
      <c r="V164" s="450"/>
      <c r="W164" s="450"/>
      <c r="X164" s="450"/>
      <c r="Y164" s="450"/>
      <c r="Z164" s="450"/>
      <c r="AA164" s="450"/>
      <c r="AB164" s="450"/>
      <c r="AC164" s="450"/>
    </row>
    <row r="165" spans="3:29" x14ac:dyDescent="0.2">
      <c r="C165" s="591" t="s">
        <v>359</v>
      </c>
      <c r="D165" s="592" t="s">
        <v>478</v>
      </c>
      <c r="E165" s="593">
        <v>23.75</v>
      </c>
      <c r="F165" s="450"/>
      <c r="G165" s="450"/>
      <c r="I165" s="450"/>
      <c r="J165" s="450"/>
      <c r="K165" s="450"/>
      <c r="L165" s="450"/>
      <c r="M165" s="450"/>
      <c r="N165" s="450"/>
      <c r="O165" s="450"/>
      <c r="P165" s="450"/>
      <c r="Q165" s="450"/>
      <c r="R165" s="450"/>
      <c r="S165" s="450"/>
      <c r="T165" s="450"/>
      <c r="U165" s="450"/>
      <c r="V165" s="450"/>
      <c r="W165" s="450"/>
      <c r="X165" s="450"/>
      <c r="Y165" s="450"/>
      <c r="Z165" s="450"/>
      <c r="AA165" s="450"/>
      <c r="AB165" s="450"/>
      <c r="AC165" s="450"/>
    </row>
    <row r="166" spans="3:29" x14ac:dyDescent="0.2">
      <c r="C166" s="595" t="s">
        <v>276</v>
      </c>
      <c r="D166" s="596" t="s">
        <v>479</v>
      </c>
      <c r="E166" s="597">
        <v>14.25</v>
      </c>
      <c r="F166" s="450"/>
      <c r="G166" s="450"/>
      <c r="I166" s="450"/>
      <c r="J166" s="450"/>
      <c r="K166" s="450"/>
      <c r="L166" s="450"/>
      <c r="M166" s="450"/>
      <c r="N166" s="450"/>
      <c r="O166" s="450"/>
      <c r="P166" s="450"/>
      <c r="Q166" s="450"/>
      <c r="R166" s="450"/>
      <c r="S166" s="450"/>
      <c r="T166" s="450"/>
      <c r="U166" s="450"/>
      <c r="V166" s="450"/>
      <c r="W166" s="450"/>
      <c r="X166" s="450"/>
      <c r="Y166" s="450"/>
      <c r="Z166" s="450"/>
      <c r="AA166" s="450"/>
      <c r="AB166" s="450"/>
      <c r="AC166" s="450"/>
    </row>
    <row r="167" spans="3:29" x14ac:dyDescent="0.2">
      <c r="C167" s="595"/>
      <c r="D167" s="596" t="s">
        <v>480</v>
      </c>
      <c r="E167" s="597">
        <v>23.75</v>
      </c>
      <c r="F167" s="450"/>
      <c r="G167" s="450"/>
      <c r="I167" s="450"/>
      <c r="J167" s="450"/>
      <c r="K167" s="450"/>
      <c r="L167" s="450"/>
      <c r="M167" s="450"/>
      <c r="N167" s="450"/>
      <c r="O167" s="450"/>
      <c r="P167" s="450"/>
      <c r="Q167" s="450"/>
      <c r="R167" s="450"/>
      <c r="S167" s="450"/>
      <c r="T167" s="450"/>
      <c r="U167" s="450"/>
      <c r="V167" s="450"/>
      <c r="W167" s="450"/>
      <c r="X167" s="450"/>
      <c r="Y167" s="450"/>
      <c r="Z167" s="450"/>
      <c r="AA167" s="450"/>
      <c r="AB167" s="450"/>
      <c r="AC167" s="450"/>
    </row>
    <row r="168" spans="3:29" x14ac:dyDescent="0.2">
      <c r="C168" s="595" t="s">
        <v>276</v>
      </c>
      <c r="D168" s="596" t="s">
        <v>481</v>
      </c>
      <c r="E168" s="597">
        <v>30</v>
      </c>
      <c r="F168" s="450"/>
      <c r="G168" s="450"/>
      <c r="I168" s="450"/>
      <c r="J168" s="450"/>
      <c r="K168" s="450"/>
      <c r="L168" s="450"/>
      <c r="M168" s="450"/>
      <c r="N168" s="450"/>
      <c r="O168" s="450"/>
      <c r="P168" s="450"/>
      <c r="Q168" s="450"/>
      <c r="R168" s="450"/>
      <c r="S168" s="450"/>
      <c r="T168" s="450"/>
      <c r="U168" s="450"/>
      <c r="V168" s="450"/>
      <c r="W168" s="450"/>
      <c r="X168" s="450"/>
      <c r="Y168" s="450"/>
      <c r="Z168" s="450"/>
      <c r="AA168" s="450"/>
      <c r="AB168" s="450"/>
      <c r="AC168" s="450"/>
    </row>
    <row r="169" spans="3:29" x14ac:dyDescent="0.2">
      <c r="C169" s="598"/>
      <c r="D169" s="599" t="s">
        <v>482</v>
      </c>
      <c r="E169" s="600">
        <v>6.84</v>
      </c>
      <c r="F169" s="450"/>
      <c r="G169" s="450"/>
      <c r="I169" s="450"/>
      <c r="J169" s="450"/>
      <c r="K169" s="450"/>
      <c r="L169" s="450"/>
      <c r="M169" s="450"/>
      <c r="N169" s="450"/>
      <c r="O169" s="450"/>
      <c r="P169" s="450"/>
      <c r="Q169" s="450"/>
      <c r="R169" s="450"/>
      <c r="S169" s="450"/>
      <c r="T169" s="450"/>
      <c r="U169" s="450"/>
      <c r="V169" s="450"/>
      <c r="W169" s="450"/>
      <c r="X169" s="450"/>
      <c r="Y169" s="450"/>
      <c r="Z169" s="450"/>
      <c r="AA169" s="450"/>
      <c r="AB169" s="450"/>
      <c r="AC169" s="450"/>
    </row>
    <row r="170" spans="3:29" ht="13.5" thickBot="1" x14ac:dyDescent="0.25">
      <c r="C170" s="598" t="s">
        <v>276</v>
      </c>
      <c r="D170" s="599" t="s">
        <v>483</v>
      </c>
      <c r="E170" s="600">
        <v>7.22</v>
      </c>
      <c r="F170" s="450"/>
      <c r="G170" s="450"/>
      <c r="I170" s="450"/>
      <c r="J170" s="450"/>
      <c r="K170" s="450"/>
      <c r="L170" s="450"/>
      <c r="M170" s="450"/>
      <c r="N170" s="450"/>
      <c r="O170" s="450"/>
      <c r="P170" s="450"/>
      <c r="Q170" s="450"/>
      <c r="R170" s="450"/>
      <c r="S170" s="450"/>
      <c r="T170" s="450"/>
      <c r="U170" s="450"/>
      <c r="V170" s="450"/>
      <c r="W170" s="450"/>
      <c r="X170" s="450"/>
      <c r="Y170" s="450"/>
      <c r="Z170" s="450"/>
      <c r="AA170" s="450"/>
      <c r="AB170" s="450"/>
      <c r="AC170" s="450"/>
    </row>
    <row r="171" spans="3:29" x14ac:dyDescent="0.2">
      <c r="C171" s="635" t="s">
        <v>484</v>
      </c>
      <c r="D171" s="636" t="s">
        <v>485</v>
      </c>
      <c r="E171" s="614">
        <v>19</v>
      </c>
      <c r="F171" s="450"/>
      <c r="G171" s="450"/>
      <c r="I171" s="450"/>
      <c r="J171" s="450"/>
      <c r="K171" s="450"/>
      <c r="L171" s="450"/>
      <c r="M171" s="450"/>
      <c r="N171" s="450"/>
      <c r="O171" s="450"/>
      <c r="P171" s="450"/>
      <c r="Q171" s="450"/>
      <c r="R171" s="450"/>
      <c r="S171" s="450"/>
      <c r="T171" s="450"/>
      <c r="U171" s="450"/>
      <c r="V171" s="450"/>
      <c r="W171" s="450"/>
      <c r="X171" s="450"/>
      <c r="Y171" s="450"/>
      <c r="Z171" s="450"/>
      <c r="AA171" s="450"/>
      <c r="AB171" s="450"/>
      <c r="AC171" s="450"/>
    </row>
    <row r="172" spans="3:29" ht="13.5" thickBot="1" x14ac:dyDescent="0.25">
      <c r="C172" s="637" t="s">
        <v>276</v>
      </c>
      <c r="D172" s="638" t="s">
        <v>486</v>
      </c>
      <c r="E172" s="603">
        <v>19</v>
      </c>
      <c r="F172" s="450"/>
      <c r="G172" s="450"/>
      <c r="I172" s="450"/>
      <c r="J172" s="450"/>
      <c r="K172" s="450"/>
      <c r="L172" s="450"/>
      <c r="M172" s="450"/>
      <c r="N172" s="450"/>
      <c r="O172" s="450"/>
      <c r="P172" s="450"/>
      <c r="Q172" s="450"/>
      <c r="R172" s="450"/>
      <c r="S172" s="450"/>
      <c r="T172" s="450"/>
      <c r="U172" s="450"/>
      <c r="V172" s="450"/>
      <c r="W172" s="450"/>
      <c r="X172" s="450"/>
      <c r="Y172" s="450"/>
      <c r="Z172" s="450"/>
      <c r="AA172" s="450"/>
      <c r="AB172" s="450"/>
      <c r="AC172" s="450"/>
    </row>
    <row r="173" spans="3:29" x14ac:dyDescent="0.2"/>
    <row r="174" spans="3:29" x14ac:dyDescent="0.2"/>
    <row r="175" spans="3:29" x14ac:dyDescent="0.2"/>
    <row r="176" spans="3:29" x14ac:dyDescent="0.2"/>
    <row r="177" s="427" customFormat="1" x14ac:dyDescent="0.2"/>
    <row r="178" s="427" customFormat="1" x14ac:dyDescent="0.2"/>
    <row r="179" s="427" customFormat="1" x14ac:dyDescent="0.2"/>
    <row r="180" s="427" customFormat="1" x14ac:dyDescent="0.2"/>
  </sheetData>
  <sheetProtection algorithmName="SHA-512" hashValue="/W3CxPOuXUIfxxpMGd6/Kedwo+xWXF70nYNh9f+xi8S1h1/G3eI7sx2fy7ikqhdG2bBRdeOEzDm5W2mUVOynZw==" saltValue="tnwj2EMDHa3jQzoEgIwyZg==" spinCount="100000" sheet="1" objects="1" scenarios="1"/>
  <phoneticPr fontId="17" type="noConversion"/>
  <dataValidations disablePrompts="1" count="1">
    <dataValidation allowBlank="1" showErrorMessage="1" sqref="D53" xr:uid="{B95D39F0-0F78-4D23-9322-15AD6F105EFD}"/>
  </dataValidation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3FB-3190-401D-B308-DBFD342C6F18}">
  <sheetPr codeName="Sheet9">
    <tabColor rgb="FFFF0000"/>
  </sheetPr>
  <dimension ref="A1:M38"/>
  <sheetViews>
    <sheetView zoomScale="85" zoomScaleNormal="85" workbookViewId="0">
      <selection activeCell="E51" sqref="E51"/>
    </sheetView>
  </sheetViews>
  <sheetFormatPr defaultColWidth="8.7109375" defaultRowHeight="12.75" x14ac:dyDescent="0.2"/>
  <cols>
    <col min="1" max="1" width="8.7109375" style="639"/>
    <col min="2" max="2" width="31.85546875" style="639" customWidth="1"/>
    <col min="3" max="3" width="13.5703125" style="639" customWidth="1"/>
    <col min="4" max="4" width="13.42578125" style="639" customWidth="1"/>
    <col min="5" max="5" width="13.28515625" style="639" customWidth="1"/>
    <col min="6" max="6" width="15" style="639" customWidth="1"/>
    <col min="7" max="7" width="11.85546875" style="639" customWidth="1"/>
    <col min="8" max="8" width="18.85546875" style="639" bestFit="1" customWidth="1"/>
    <col min="9" max="9" width="10.42578125" style="639" customWidth="1"/>
    <col min="10" max="10" width="25.140625" style="639" bestFit="1" customWidth="1"/>
    <col min="11" max="11" width="9.5703125" style="639" bestFit="1" customWidth="1"/>
    <col min="12" max="12" width="25.140625" style="639" bestFit="1" customWidth="1"/>
    <col min="13" max="16" width="9.5703125" style="639" bestFit="1" customWidth="1"/>
    <col min="17" max="16384" width="8.7109375" style="639"/>
  </cols>
  <sheetData>
    <row r="1" spans="1:13" x14ac:dyDescent="0.2">
      <c r="A1" s="568"/>
      <c r="B1" s="568"/>
      <c r="C1" s="568"/>
      <c r="D1" s="568"/>
      <c r="E1" s="568"/>
      <c r="F1" s="568"/>
      <c r="G1" s="568"/>
      <c r="H1" s="568"/>
      <c r="I1" s="568"/>
      <c r="J1" s="568"/>
      <c r="K1" s="568"/>
      <c r="L1" s="568"/>
      <c r="M1" s="568"/>
    </row>
    <row r="2" spans="1:13" x14ac:dyDescent="0.2">
      <c r="A2" s="568"/>
      <c r="B2" s="568"/>
      <c r="C2" s="568"/>
      <c r="D2" s="568"/>
      <c r="E2" s="568"/>
      <c r="F2" s="568"/>
      <c r="G2" s="568"/>
      <c r="H2" s="568"/>
      <c r="I2" s="568"/>
      <c r="J2" s="568"/>
      <c r="K2" s="568"/>
      <c r="L2" s="568"/>
      <c r="M2" s="568"/>
    </row>
    <row r="3" spans="1:13" ht="25.5" x14ac:dyDescent="0.2">
      <c r="A3" s="568"/>
      <c r="B3" s="640"/>
      <c r="C3" s="641" t="s">
        <v>94</v>
      </c>
      <c r="D3" s="641" t="s">
        <v>84</v>
      </c>
      <c r="E3" s="641" t="s">
        <v>85</v>
      </c>
      <c r="F3" s="641" t="s">
        <v>86</v>
      </c>
      <c r="G3" s="641" t="s">
        <v>84</v>
      </c>
      <c r="H3" s="641" t="s">
        <v>85</v>
      </c>
      <c r="I3" s="641" t="s">
        <v>86</v>
      </c>
      <c r="J3" s="641" t="s">
        <v>487</v>
      </c>
      <c r="K3" s="568"/>
      <c r="L3" s="568"/>
      <c r="M3" s="568"/>
    </row>
    <row r="4" spans="1:13" x14ac:dyDescent="0.2">
      <c r="A4" s="568"/>
      <c r="B4" s="568" t="s">
        <v>95</v>
      </c>
      <c r="C4" s="568">
        <f>0</f>
        <v>0</v>
      </c>
      <c r="D4" s="568">
        <f>IF('DASHBOARD '!F20='DASHBOARD Data'!B23, 'Option A'!M16, 0)</f>
        <v>0</v>
      </c>
      <c r="E4" s="568">
        <f>IF('DASHBOARD '!G20= 'DASHBOARD Data'!B23, 'Option B'!M16, 0)</f>
        <v>0</v>
      </c>
      <c r="F4" s="568">
        <f>IF('DASHBOARD '!H20='DASHBOARD Data'!B23, 'Option C'!M16, 0)</f>
        <v>0</v>
      </c>
      <c r="G4" s="568"/>
      <c r="H4" s="568"/>
      <c r="I4" s="568"/>
      <c r="J4" s="568"/>
      <c r="K4" s="568"/>
      <c r="L4" s="568"/>
      <c r="M4" s="568"/>
    </row>
    <row r="5" spans="1:13" x14ac:dyDescent="0.2">
      <c r="A5" s="568"/>
      <c r="B5" s="568" t="s">
        <v>97</v>
      </c>
      <c r="C5" s="568">
        <f>'Option A Outcome'!Y23+'Option A Outcome'!Y25+'Option A Outcome'!Y26+'Option A Outcome'!Y27</f>
        <v>0</v>
      </c>
      <c r="D5" s="568">
        <f>'Option A Outcome'!$Y$37+'Option A Outcome'!$Y$38+'Option A Outcome'!$Y$39+'Option A Outcome'!$Y$40</f>
        <v>0</v>
      </c>
      <c r="E5" s="568">
        <f>'Option B Outcome'!$Y$37+'Option B Outcome'!$Y$38+'Option B Outcome'!$Y$39+'Option B Outcome'!$Y$40</f>
        <v>0</v>
      </c>
      <c r="F5" s="568">
        <f>'Option C Outcome'!$Y$37+'Option C Outcome'!$Y$38+'Option C Outcome'!$Y$39+'Option C Outcome'!$Y$40</f>
        <v>0</v>
      </c>
      <c r="G5" s="568"/>
      <c r="H5" s="568"/>
      <c r="I5" s="568"/>
      <c r="J5" s="568"/>
      <c r="K5" s="568"/>
      <c r="L5" s="568"/>
      <c r="M5" s="568"/>
    </row>
    <row r="6" spans="1:13" x14ac:dyDescent="0.2">
      <c r="A6" s="568"/>
      <c r="B6" s="568" t="s">
        <v>98</v>
      </c>
      <c r="C6" s="568">
        <v>0</v>
      </c>
      <c r="D6" s="568">
        <f>'Option A Outcome'!$Y$45</f>
        <v>0</v>
      </c>
      <c r="E6" s="568">
        <f>'Option B Outcome'!$Y$45</f>
        <v>0</v>
      </c>
      <c r="F6" s="568">
        <f>'Option C Outcome'!$Y$45</f>
        <v>0</v>
      </c>
      <c r="G6" s="568"/>
      <c r="H6" s="568"/>
      <c r="I6" s="568"/>
      <c r="J6" s="568"/>
      <c r="K6" s="568"/>
      <c r="L6" s="568"/>
      <c r="M6" s="568"/>
    </row>
    <row r="7" spans="1:13" x14ac:dyDescent="0.2">
      <c r="A7" s="568"/>
      <c r="B7" s="568" t="s">
        <v>99</v>
      </c>
      <c r="C7" s="568">
        <f>'Option A Outcome'!Y29</f>
        <v>0</v>
      </c>
      <c r="D7" s="568">
        <f>'Option A Outcome'!Y43</f>
        <v>0</v>
      </c>
      <c r="E7" s="568">
        <f>'Option B Outcome'!$Y$43</f>
        <v>0</v>
      </c>
      <c r="F7" s="568">
        <f>'Option C Outcome'!$Y$43</f>
        <v>0</v>
      </c>
      <c r="G7" s="568"/>
      <c r="H7" s="568"/>
      <c r="I7" s="568"/>
      <c r="J7" s="568"/>
      <c r="K7" s="568"/>
      <c r="L7" s="568"/>
      <c r="M7" s="568"/>
    </row>
    <row r="8" spans="1:13" x14ac:dyDescent="0.2">
      <c r="A8" s="568"/>
      <c r="B8" s="568" t="s">
        <v>498</v>
      </c>
      <c r="C8" s="568">
        <v>0</v>
      </c>
      <c r="D8" s="568">
        <f>IF('DASHBOARD '!F20='DASHBOARD Data'!$B$22, 'Option A Outcome'!M16, 0)</f>
        <v>0</v>
      </c>
      <c r="E8" s="568">
        <f>IF('DASHBOARD '!G20='DASHBOARD Data'!B22, 'Option B Outcome'!M16, 0)</f>
        <v>0</v>
      </c>
      <c r="F8" s="568">
        <f>IF('DASHBOARD '!H20='DASHBOARD Data'!B22, 'Option C Outcome'!M16, 0)</f>
        <v>0</v>
      </c>
      <c r="G8" s="568"/>
      <c r="H8" s="568"/>
      <c r="I8" s="568"/>
      <c r="J8" s="568"/>
      <c r="K8" s="568"/>
      <c r="L8" s="568"/>
      <c r="M8" s="568"/>
    </row>
    <row r="9" spans="1:13" x14ac:dyDescent="0.2">
      <c r="A9" s="568"/>
      <c r="B9" s="568" t="s">
        <v>100</v>
      </c>
      <c r="C9" s="568">
        <v>0</v>
      </c>
      <c r="D9" s="568">
        <f>SUM($C$4:$C$8)-SUM(D4:D8)</f>
        <v>0</v>
      </c>
      <c r="E9" s="568">
        <f>SUM($C$4:$C$8)-SUM(E4:E8)</f>
        <v>0</v>
      </c>
      <c r="F9" s="568">
        <f>SUM($C$4:$C$8)-SUM(F4:F8)</f>
        <v>0</v>
      </c>
      <c r="G9" s="568"/>
      <c r="H9" s="568"/>
      <c r="I9" s="568"/>
      <c r="J9" s="568"/>
      <c r="K9" s="568"/>
      <c r="L9" s="568"/>
      <c r="M9" s="568"/>
    </row>
    <row r="10" spans="1:13" x14ac:dyDescent="0.2">
      <c r="A10" s="568"/>
      <c r="B10" s="568" t="s">
        <v>84</v>
      </c>
      <c r="C10" s="568"/>
      <c r="D10" s="568"/>
      <c r="E10" s="568"/>
      <c r="F10" s="568"/>
      <c r="G10" s="568">
        <f>SUM(D4:D9)</f>
        <v>0</v>
      </c>
      <c r="H10" s="568"/>
      <c r="I10" s="568"/>
      <c r="J10" s="568"/>
      <c r="K10" s="568"/>
      <c r="L10" s="568"/>
      <c r="M10" s="568"/>
    </row>
    <row r="11" spans="1:13" x14ac:dyDescent="0.2">
      <c r="A11" s="568"/>
      <c r="B11" s="568" t="s">
        <v>85</v>
      </c>
      <c r="C11" s="568"/>
      <c r="D11" s="568"/>
      <c r="E11" s="568"/>
      <c r="F11" s="568"/>
      <c r="G11" s="568"/>
      <c r="H11" s="568">
        <f>SUM(E4:E9)</f>
        <v>0</v>
      </c>
      <c r="I11" s="568"/>
      <c r="J11" s="568"/>
      <c r="K11" s="568"/>
      <c r="L11" s="568"/>
      <c r="M11" s="568"/>
    </row>
    <row r="12" spans="1:13" x14ac:dyDescent="0.2">
      <c r="A12" s="568"/>
      <c r="B12" s="568" t="s">
        <v>86</v>
      </c>
      <c r="C12" s="568"/>
      <c r="D12" s="568"/>
      <c r="E12" s="568"/>
      <c r="F12" s="568"/>
      <c r="G12" s="568"/>
      <c r="H12" s="568"/>
      <c r="I12" s="568">
        <f>SUM(F4:F9)</f>
        <v>0</v>
      </c>
      <c r="J12" s="568"/>
      <c r="K12" s="568"/>
      <c r="L12" s="568"/>
      <c r="M12" s="568"/>
    </row>
    <row r="13" spans="1:13" x14ac:dyDescent="0.2">
      <c r="A13" s="568"/>
      <c r="B13" s="568" t="s">
        <v>487</v>
      </c>
      <c r="C13" s="568"/>
      <c r="D13" s="568"/>
      <c r="E13" s="568"/>
      <c r="F13" s="568"/>
      <c r="G13" s="568"/>
      <c r="H13" s="568"/>
      <c r="I13" s="568"/>
      <c r="J13" s="568">
        <f>SUM(C4:C9)</f>
        <v>0</v>
      </c>
      <c r="K13" s="568"/>
      <c r="L13" s="568"/>
      <c r="M13" s="568"/>
    </row>
    <row r="14" spans="1:13" x14ac:dyDescent="0.2">
      <c r="A14" s="568"/>
      <c r="B14" s="568"/>
      <c r="C14" s="568"/>
      <c r="D14" s="568"/>
      <c r="E14" s="568"/>
      <c r="F14" s="568"/>
      <c r="G14" s="568"/>
      <c r="H14" s="568"/>
      <c r="I14" s="568"/>
      <c r="J14" s="568"/>
      <c r="K14" s="568"/>
      <c r="L14" s="568"/>
      <c r="M14" s="568"/>
    </row>
    <row r="15" spans="1:13" x14ac:dyDescent="0.2">
      <c r="A15" s="568"/>
      <c r="B15" s="642" t="s">
        <v>105</v>
      </c>
      <c r="C15" s="568">
        <f>'Option A Outcome'!Y31+'Option A Outcome'!Y32+'Option A Outcome'!Y33+'Option A Outcome'!Y34</f>
        <v>0</v>
      </c>
      <c r="D15" s="568">
        <f>'Option A Outcome'!$Y$49+'Option A Outcome'!$Y$50+'Option A Outcome'!$Y$51+'Option A Outcome'!$Y$52</f>
        <v>0</v>
      </c>
      <c r="E15" s="568">
        <f>'Option B Outcome'!$Y$49+'Option B Outcome'!$Y$50+'Option B Outcome'!$Y$51+'Option B Outcome'!$Y$52</f>
        <v>0</v>
      </c>
      <c r="F15" s="568">
        <f>'Option C Outcome'!$Y$49+'Option C Outcome'!$Y$50+'Option C Outcome'!$Y$51+'Option C Outcome'!$Y$52</f>
        <v>0</v>
      </c>
      <c r="G15" s="568"/>
      <c r="H15" s="568"/>
      <c r="I15" s="568"/>
      <c r="J15" s="568"/>
      <c r="K15" s="568"/>
      <c r="L15" s="568"/>
      <c r="M15" s="568"/>
    </row>
    <row r="16" spans="1:13" x14ac:dyDescent="0.2">
      <c r="A16" s="568"/>
      <c r="B16" s="642" t="s">
        <v>106</v>
      </c>
      <c r="C16" s="568">
        <v>0</v>
      </c>
      <c r="D16" s="568">
        <f>$C$15-D15</f>
        <v>0</v>
      </c>
      <c r="E16" s="568">
        <f t="shared" ref="E16:F16" si="0">$C$15-E15</f>
        <v>0</v>
      </c>
      <c r="F16" s="568">
        <f t="shared" si="0"/>
        <v>0</v>
      </c>
      <c r="G16" s="568"/>
      <c r="H16" s="568"/>
      <c r="I16" s="568"/>
      <c r="J16" s="568"/>
      <c r="K16" s="568"/>
      <c r="L16" s="568"/>
      <c r="M16" s="568"/>
    </row>
    <row r="17" spans="1:13" x14ac:dyDescent="0.2">
      <c r="A17" s="568"/>
      <c r="B17" s="568" t="s">
        <v>84</v>
      </c>
      <c r="C17" s="568"/>
      <c r="D17" s="568"/>
      <c r="E17" s="568"/>
      <c r="F17" s="568"/>
      <c r="G17" s="568">
        <v>1</v>
      </c>
      <c r="H17" s="568"/>
      <c r="I17" s="568"/>
      <c r="J17" s="568"/>
      <c r="K17" s="568"/>
      <c r="L17" s="568"/>
      <c r="M17" s="568"/>
    </row>
    <row r="18" spans="1:13" x14ac:dyDescent="0.2">
      <c r="A18" s="568"/>
      <c r="B18" s="568" t="s">
        <v>85</v>
      </c>
      <c r="C18" s="568"/>
      <c r="D18" s="568"/>
      <c r="E18" s="568"/>
      <c r="F18" s="568"/>
      <c r="G18" s="568"/>
      <c r="H18" s="568">
        <v>1</v>
      </c>
      <c r="I18" s="568"/>
      <c r="J18" s="568"/>
      <c r="K18" s="568"/>
      <c r="L18" s="568"/>
      <c r="M18" s="568"/>
    </row>
    <row r="19" spans="1:13" x14ac:dyDescent="0.2">
      <c r="A19" s="568"/>
      <c r="B19" s="568" t="s">
        <v>86</v>
      </c>
      <c r="C19" s="568"/>
      <c r="D19" s="568"/>
      <c r="E19" s="568"/>
      <c r="F19" s="568"/>
      <c r="G19" s="568"/>
      <c r="H19" s="568"/>
      <c r="I19" s="568">
        <v>1</v>
      </c>
      <c r="J19" s="568"/>
      <c r="K19" s="568"/>
      <c r="L19" s="568"/>
      <c r="M19" s="568"/>
    </row>
    <row r="20" spans="1:13" x14ac:dyDescent="0.2">
      <c r="A20" s="568"/>
      <c r="B20" s="568" t="s">
        <v>487</v>
      </c>
      <c r="C20" s="568"/>
      <c r="D20" s="568"/>
      <c r="E20" s="568"/>
      <c r="F20" s="568"/>
      <c r="G20" s="568"/>
      <c r="H20" s="568"/>
      <c r="I20" s="568"/>
      <c r="J20" s="568">
        <v>1</v>
      </c>
      <c r="K20" s="568"/>
      <c r="L20" s="568"/>
      <c r="M20" s="568"/>
    </row>
    <row r="21" spans="1:13" x14ac:dyDescent="0.2">
      <c r="A21" s="568"/>
      <c r="B21" s="568"/>
      <c r="C21" s="568"/>
      <c r="D21" s="568"/>
      <c r="E21" s="568"/>
      <c r="F21" s="568"/>
      <c r="G21" s="568"/>
      <c r="H21" s="568"/>
      <c r="I21" s="568"/>
      <c r="J21" s="568"/>
      <c r="K21" s="568"/>
      <c r="L21" s="568"/>
      <c r="M21" s="568"/>
    </row>
    <row r="22" spans="1:13" x14ac:dyDescent="0.2">
      <c r="A22" s="568"/>
      <c r="B22" s="568" t="s">
        <v>89</v>
      </c>
      <c r="C22" s="568"/>
      <c r="D22" s="568"/>
      <c r="E22" s="568"/>
      <c r="F22" s="568"/>
      <c r="G22" s="568"/>
      <c r="H22" s="568"/>
      <c r="I22" s="568"/>
      <c r="J22" s="568"/>
      <c r="K22" s="568"/>
      <c r="L22" s="568"/>
      <c r="M22" s="568"/>
    </row>
    <row r="23" spans="1:13" x14ac:dyDescent="0.2">
      <c r="A23" s="568"/>
      <c r="B23" s="568" t="s">
        <v>88</v>
      </c>
      <c r="C23" s="568"/>
      <c r="D23" s="568"/>
      <c r="E23" s="568"/>
      <c r="F23" s="568"/>
      <c r="G23" s="568"/>
      <c r="H23" s="568"/>
      <c r="I23" s="568"/>
      <c r="J23" s="568"/>
      <c r="K23" s="568"/>
      <c r="L23" s="568"/>
      <c r="M23" s="568"/>
    </row>
    <row r="24" spans="1:13" x14ac:dyDescent="0.2">
      <c r="A24" s="568"/>
      <c r="B24" s="568"/>
      <c r="C24" s="568"/>
      <c r="D24" s="568"/>
      <c r="E24" s="568"/>
      <c r="F24" s="568"/>
      <c r="G24" s="568"/>
      <c r="H24" s="568"/>
      <c r="I24" s="568"/>
      <c r="J24" s="568"/>
      <c r="K24" s="568"/>
      <c r="L24" s="568"/>
      <c r="M24" s="568"/>
    </row>
    <row r="25" spans="1:13" x14ac:dyDescent="0.2">
      <c r="A25" s="568"/>
      <c r="B25" s="640"/>
      <c r="C25" s="568" t="s">
        <v>95</v>
      </c>
      <c r="D25" s="568" t="s">
        <v>97</v>
      </c>
      <c r="E25" s="568" t="s">
        <v>98</v>
      </c>
      <c r="F25" s="568" t="s">
        <v>99</v>
      </c>
      <c r="G25" s="568" t="s">
        <v>488</v>
      </c>
      <c r="H25" s="568" t="s">
        <v>100</v>
      </c>
      <c r="I25" s="568" t="s">
        <v>106</v>
      </c>
      <c r="J25" s="568"/>
      <c r="K25" s="568"/>
      <c r="L25" s="568"/>
      <c r="M25" s="568"/>
    </row>
    <row r="26" spans="1:13" x14ac:dyDescent="0.2">
      <c r="A26" s="568"/>
      <c r="B26" s="641" t="s">
        <v>94</v>
      </c>
      <c r="C26" s="568">
        <f>C4</f>
        <v>0</v>
      </c>
      <c r="D26" s="568">
        <f>C5</f>
        <v>0</v>
      </c>
      <c r="E26" s="568">
        <v>0</v>
      </c>
      <c r="F26" s="568">
        <f>C7</f>
        <v>0</v>
      </c>
      <c r="G26" s="568">
        <v>0</v>
      </c>
      <c r="H26" s="568">
        <v>0</v>
      </c>
      <c r="I26" s="568"/>
      <c r="J26" s="568"/>
      <c r="K26" s="568"/>
      <c r="L26" s="568"/>
      <c r="M26" s="568"/>
    </row>
    <row r="27" spans="1:13" x14ac:dyDescent="0.2">
      <c r="A27" s="568"/>
      <c r="B27" s="641" t="s">
        <v>84</v>
      </c>
      <c r="C27" s="568">
        <f>D4</f>
        <v>0</v>
      </c>
      <c r="D27" s="568">
        <f>'Option A Outcome'!$Y$37+'Option A Outcome'!$Y$38+'Option A Outcome'!$Y$39+'Option A Outcome'!$Y$40</f>
        <v>0</v>
      </c>
      <c r="E27" s="568">
        <f>'Option A Outcome'!$Y$45</f>
        <v>0</v>
      </c>
      <c r="F27" s="568">
        <f>'Option A Outcome'!$Y$43</f>
        <v>0</v>
      </c>
      <c r="G27" s="568">
        <f>D8</f>
        <v>0</v>
      </c>
      <c r="H27" s="568">
        <f>SUM(C26:G26)-SUM(C27:G27)</f>
        <v>0</v>
      </c>
      <c r="I27" s="568">
        <f>D16</f>
        <v>0</v>
      </c>
      <c r="J27" s="568"/>
      <c r="K27" s="568"/>
      <c r="L27" s="568"/>
      <c r="M27" s="568"/>
    </row>
    <row r="28" spans="1:13" x14ac:dyDescent="0.2">
      <c r="A28" s="568"/>
      <c r="B28" s="641" t="s">
        <v>85</v>
      </c>
      <c r="C28" s="568">
        <f>E4</f>
        <v>0</v>
      </c>
      <c r="D28" s="568">
        <f>'Option B Outcome'!$Y$37+'Option B Outcome'!$Y$38+'Option B Outcome'!$Y$39+'Option B Outcome'!$Y$40</f>
        <v>0</v>
      </c>
      <c r="E28" s="568">
        <f>'Option B Outcome'!$Y$45</f>
        <v>0</v>
      </c>
      <c r="F28" s="568">
        <f>'Option B Outcome'!$Y$43</f>
        <v>0</v>
      </c>
      <c r="G28" s="568">
        <f>E8</f>
        <v>0</v>
      </c>
      <c r="H28" s="568">
        <f>SUM($C$26:$H$26)-SUM(C28:G28)</f>
        <v>0</v>
      </c>
      <c r="I28" s="568">
        <f>E16</f>
        <v>0</v>
      </c>
      <c r="J28" s="568"/>
      <c r="K28" s="568"/>
      <c r="L28" s="568"/>
      <c r="M28" s="568"/>
    </row>
    <row r="29" spans="1:13" x14ac:dyDescent="0.2">
      <c r="A29" s="568"/>
      <c r="B29" s="641" t="s">
        <v>86</v>
      </c>
      <c r="C29" s="568">
        <f>F4</f>
        <v>0</v>
      </c>
      <c r="D29" s="568">
        <f>'Option C Outcome'!$Y$37+'Option C Outcome'!$Y$38+'Option C Outcome'!$Y$39+'Option C Outcome'!$Y$40</f>
        <v>0</v>
      </c>
      <c r="E29" s="568">
        <f>'Option C Outcome'!$Y$45</f>
        <v>0</v>
      </c>
      <c r="F29" s="568">
        <f>'Option C Outcome'!$Y$43</f>
        <v>0</v>
      </c>
      <c r="G29" s="568">
        <f>F8</f>
        <v>0</v>
      </c>
      <c r="H29" s="568">
        <f>SUM($C$26:$H$26)-SUM(C29:G29)</f>
        <v>0</v>
      </c>
      <c r="I29" s="568">
        <f>F16</f>
        <v>0</v>
      </c>
      <c r="J29" s="568"/>
      <c r="K29" s="568"/>
      <c r="L29" s="568"/>
      <c r="M29" s="568"/>
    </row>
    <row r="30" spans="1:13" x14ac:dyDescent="0.2">
      <c r="A30" s="568"/>
      <c r="B30" s="568"/>
      <c r="C30" s="568"/>
      <c r="D30" s="568"/>
      <c r="E30" s="568"/>
      <c r="F30" s="568"/>
      <c r="G30" s="568"/>
      <c r="H30" s="568"/>
      <c r="I30" s="568"/>
      <c r="J30" s="568"/>
      <c r="K30" s="568"/>
      <c r="L30" s="568"/>
      <c r="M30" s="568"/>
    </row>
    <row r="31" spans="1:13" x14ac:dyDescent="0.2">
      <c r="A31" s="568"/>
      <c r="B31" s="568"/>
      <c r="C31" s="568"/>
      <c r="D31" s="568"/>
      <c r="E31" s="568"/>
      <c r="F31" s="568"/>
      <c r="G31" s="568"/>
      <c r="H31" s="568"/>
      <c r="I31" s="568"/>
      <c r="J31" s="568"/>
      <c r="K31" s="568"/>
      <c r="L31" s="568"/>
      <c r="M31" s="568"/>
    </row>
    <row r="32" spans="1:13" x14ac:dyDescent="0.2">
      <c r="A32" s="568"/>
      <c r="B32" s="568"/>
      <c r="C32" s="568"/>
      <c r="D32" s="568"/>
      <c r="E32" s="568"/>
      <c r="F32" s="568"/>
      <c r="G32" s="568"/>
      <c r="H32" s="568"/>
      <c r="I32" s="568"/>
      <c r="J32" s="568"/>
      <c r="K32" s="568"/>
      <c r="L32" s="568"/>
      <c r="M32" s="568"/>
    </row>
    <row r="33" spans="1:13" x14ac:dyDescent="0.2">
      <c r="A33" s="568"/>
      <c r="B33" s="568"/>
      <c r="C33" s="568"/>
      <c r="D33" s="568"/>
      <c r="E33" s="568"/>
      <c r="F33" s="568"/>
      <c r="G33" s="568"/>
      <c r="H33" s="568"/>
      <c r="I33" s="568"/>
      <c r="J33" s="568"/>
      <c r="K33" s="568"/>
      <c r="L33" s="568"/>
      <c r="M33" s="568"/>
    </row>
    <row r="34" spans="1:13" x14ac:dyDescent="0.2">
      <c r="A34" s="568"/>
      <c r="B34" s="568"/>
      <c r="C34" s="568"/>
      <c r="D34" s="568"/>
      <c r="E34" s="568"/>
      <c r="F34" s="568"/>
      <c r="G34" s="568"/>
      <c r="H34" s="568"/>
      <c r="I34" s="568"/>
      <c r="J34" s="568"/>
      <c r="K34" s="568"/>
      <c r="L34" s="568"/>
      <c r="M34" s="568"/>
    </row>
    <row r="35" spans="1:13" x14ac:dyDescent="0.2">
      <c r="A35" s="568"/>
      <c r="B35" s="568"/>
      <c r="C35" s="568"/>
      <c r="D35" s="568"/>
      <c r="E35" s="568"/>
      <c r="F35" s="568"/>
      <c r="G35" s="568"/>
      <c r="H35" s="568"/>
      <c r="I35" s="568"/>
      <c r="J35" s="568"/>
      <c r="K35" s="568"/>
      <c r="L35" s="568"/>
      <c r="M35" s="568"/>
    </row>
    <row r="36" spans="1:13" x14ac:dyDescent="0.2">
      <c r="A36" s="568"/>
      <c r="B36" s="568"/>
      <c r="C36" s="568"/>
      <c r="D36" s="568"/>
      <c r="E36" s="568"/>
      <c r="F36" s="568"/>
      <c r="G36" s="568"/>
      <c r="H36" s="568"/>
      <c r="I36" s="568"/>
      <c r="J36" s="568"/>
      <c r="K36" s="568"/>
      <c r="L36" s="568"/>
      <c r="M36" s="568"/>
    </row>
    <row r="37" spans="1:13" x14ac:dyDescent="0.2">
      <c r="A37" s="568"/>
      <c r="B37" s="568"/>
      <c r="C37" s="568"/>
      <c r="D37" s="568"/>
      <c r="E37" s="568"/>
      <c r="F37" s="568"/>
      <c r="G37" s="568"/>
      <c r="H37" s="568"/>
      <c r="I37" s="568"/>
      <c r="J37" s="568"/>
      <c r="K37" s="568"/>
      <c r="L37" s="568"/>
      <c r="M37" s="568"/>
    </row>
    <row r="38" spans="1:13" x14ac:dyDescent="0.2">
      <c r="A38" s="568"/>
      <c r="B38" s="568"/>
      <c r="C38" s="568"/>
      <c r="D38" s="568"/>
      <c r="E38" s="568"/>
      <c r="F38" s="568"/>
      <c r="G38" s="568"/>
      <c r="H38" s="568"/>
      <c r="I38" s="568"/>
      <c r="J38" s="568"/>
      <c r="K38" s="568"/>
      <c r="L38" s="568"/>
      <c r="M38" s="568"/>
    </row>
  </sheetData>
  <sheetProtection algorithmName="SHA-512" hashValue="WhiM5xTT1bW6MEtW7pu7A5iGA908Zq9SF7beHrK609fMivPlLMdJ+t5v+jYhyQxyt+SJfe/CK+f6OLqFtalNIw==" saltValue="hbI0KbYiQ7gXQD15IjxAJQ=="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B3E59-466F-411C-A303-CC4B45BFDFDA}">
  <sheetPr>
    <tabColor rgb="FFFF0000"/>
  </sheetPr>
  <dimension ref="A1:V9"/>
  <sheetViews>
    <sheetView workbookViewId="0">
      <selection activeCell="E35" sqref="E35"/>
    </sheetView>
  </sheetViews>
  <sheetFormatPr defaultRowHeight="12.75" x14ac:dyDescent="0.2"/>
  <cols>
    <col min="1" max="1" width="18.85546875" style="427" customWidth="1"/>
    <col min="2" max="2" width="10.140625" style="427" bestFit="1" customWidth="1"/>
    <col min="3" max="15" width="9.140625" style="427"/>
    <col min="16" max="16" width="10.140625" style="427" customWidth="1"/>
    <col min="17" max="16384" width="9.140625" style="427"/>
  </cols>
  <sheetData>
    <row r="1" spans="1:22" x14ac:dyDescent="0.2">
      <c r="B1" s="643">
        <f>'Option A Outcome'!D20</f>
        <v>0</v>
      </c>
      <c r="C1" s="643" t="str">
        <f>IF('Option A Outcome'!E18&gt;0, 'Option A Outcome'!E20, "N/A")</f>
        <v>N/A</v>
      </c>
      <c r="D1" s="643" t="str">
        <f>IF('Option A Outcome'!F18&gt;0, 'Option A Outcome'!F20, "N/A")</f>
        <v>N/A</v>
      </c>
      <c r="E1" s="643" t="str">
        <f>IF('Option A Outcome'!G18&gt;0, 'Option A Outcome'!G20, "N/A")</f>
        <v>N/A</v>
      </c>
      <c r="F1" s="643" t="str">
        <f>IF('Option A Outcome'!H18&gt;0, 'Option A Outcome'!H20, "N/A")</f>
        <v>N/A</v>
      </c>
      <c r="G1" s="643" t="str">
        <f>IF('Option A Outcome'!I18&gt;0, 'Option A Outcome'!I20, "N/A")</f>
        <v>N/A</v>
      </c>
      <c r="H1" s="643" t="str">
        <f>IF('Option A Outcome'!J18&gt;0, 'Option A Outcome'!J20, "N/A")</f>
        <v>N/A</v>
      </c>
      <c r="I1" s="643" t="str">
        <f>IF('Option A Outcome'!K18&gt;0, 'Option A Outcome'!K20, "N/A")</f>
        <v>N/A</v>
      </c>
      <c r="J1" s="643" t="str">
        <f>IF('Option A Outcome'!L18&gt;0, 'Option A Outcome'!L20, "N/A")</f>
        <v>N/A</v>
      </c>
      <c r="K1" s="643" t="str">
        <f>IF('Option A Outcome'!M18&gt;0, 'Option A Outcome'!M20, "N/A")</f>
        <v>N/A</v>
      </c>
      <c r="L1" s="643" t="str">
        <f>IF('Option A Outcome'!N18&gt;0, 'Option A Outcome'!N20, "N/A")</f>
        <v>N/A</v>
      </c>
      <c r="M1" s="643" t="str">
        <f>IF('Option A Outcome'!O18&gt;0, 'Option A Outcome'!O20, "N/A")</f>
        <v>N/A</v>
      </c>
      <c r="N1" s="643" t="str">
        <f>IF('Option A Outcome'!P18&gt;0, 'Option A Outcome'!P20, "N/A")</f>
        <v>N/A</v>
      </c>
      <c r="O1" s="643" t="str">
        <f>IF('Option A Outcome'!Q18&gt;0, 'Option A Outcome'!Q20, "N/A")</f>
        <v>N/A</v>
      </c>
      <c r="P1" s="643" t="str">
        <f>IF('Option A Outcome'!R18&gt;0, 'Option A Outcome'!R20, "N/A")</f>
        <v>N/A</v>
      </c>
      <c r="Q1" s="643">
        <f>IF('Option A Outcome'!S18&gt;0, 'Option A Outcome'!S20,0)</f>
        <v>0</v>
      </c>
      <c r="R1" s="643">
        <f>IF('Option A Outcome'!T18&gt;0, 'Option A Outcome'!T20,0)</f>
        <v>0</v>
      </c>
      <c r="S1" s="643">
        <f>IF('Option A Outcome'!U18&gt;0, 'Option A Outcome'!U20,0)</f>
        <v>0</v>
      </c>
      <c r="T1" s="643">
        <f>IF('Option A Outcome'!V18&gt;0, 'Option A Outcome'!V20,0)</f>
        <v>0</v>
      </c>
      <c r="U1" s="643">
        <f>IF('Option A Outcome'!W18&gt;0, 'Option A Outcome'!W20,0)</f>
        <v>0</v>
      </c>
      <c r="V1" s="643">
        <f>IF('Option A Outcome'!X18&gt;0, 'Option A Outcome'!X20,0)</f>
        <v>0</v>
      </c>
    </row>
    <row r="2" spans="1:22" x14ac:dyDescent="0.2">
      <c r="A2" s="427" t="s">
        <v>489</v>
      </c>
      <c r="B2" s="427" t="str">
        <f>IF('Option A Outcome'!Elec_sales_kWh&gt;0, ('Option A Outcome'!D31+'Option A Outcome'!D32+'Option A Outcome'!D33+'Option A Outcome'!D34), "N/A")</f>
        <v>N/A</v>
      </c>
      <c r="C2" s="427" t="str">
        <f>IF('Option A Outcome'!E18&gt;0, ('Option A Outcome'!E31+'Option A Outcome'!E32+'Option A Outcome'!E33+'Option A Outcome'!E34), "N/A")</f>
        <v>N/A</v>
      </c>
      <c r="D2" s="427" t="str">
        <f>IF('Option A Outcome'!F18&gt;0, ('Option A Outcome'!F31+'Option A Outcome'!F32+'Option A Outcome'!F33+'Option A Outcome'!F34), "N/A")</f>
        <v>N/A</v>
      </c>
      <c r="E2" s="427" t="str">
        <f>IF('Option A Outcome'!G18&gt;0, ('Option A Outcome'!G31+'Option A Outcome'!G32+'Option A Outcome'!G33+'Option A Outcome'!G34), "N/A")</f>
        <v>N/A</v>
      </c>
      <c r="F2" s="427" t="str">
        <f>IF('Option A Outcome'!H18&gt;0, ('Option A Outcome'!H31+'Option A Outcome'!H32+'Option A Outcome'!H33+'Option A Outcome'!H34), "N/A")</f>
        <v>N/A</v>
      </c>
      <c r="G2" s="427" t="str">
        <f>IF('Option A Outcome'!I18&gt;0, ('Option A Outcome'!I31+'Option A Outcome'!I32+'Option A Outcome'!I33+'Option A Outcome'!I34), "N/A")</f>
        <v>N/A</v>
      </c>
      <c r="H2" s="427" t="str">
        <f>IF('Option A Outcome'!J18&gt;0, ('Option A Outcome'!J31+'Option A Outcome'!J32+'Option A Outcome'!J33+'Option A Outcome'!J34), "N/A")</f>
        <v>N/A</v>
      </c>
      <c r="I2" s="427" t="str">
        <f>IF('Option A Outcome'!K18&gt;0, ('Option A Outcome'!K31+'Option A Outcome'!K32+'Option A Outcome'!K33+'Option A Outcome'!K34), "N/A")</f>
        <v>N/A</v>
      </c>
      <c r="J2" s="427" t="str">
        <f>IF('Option A Outcome'!L18&gt;0, ('Option A Outcome'!L31+'Option A Outcome'!L32+'Option A Outcome'!L33+'Option A Outcome'!L34), "N/A")</f>
        <v>N/A</v>
      </c>
      <c r="K2" s="427" t="str">
        <f>IF('Option A Outcome'!M18&gt;0, ('Option A Outcome'!M31+'Option A Outcome'!M32+'Option A Outcome'!M33+'Option A Outcome'!M34), "N/A")</f>
        <v>N/A</v>
      </c>
      <c r="L2" s="427" t="str">
        <f>IF('Option A Outcome'!N18&gt;0, ('Option A Outcome'!N31+'Option A Outcome'!N32+'Option A Outcome'!N33+'Option A Outcome'!N34), "N/A")</f>
        <v>N/A</v>
      </c>
      <c r="M2" s="427" t="str">
        <f>IF('Option A Outcome'!O18&gt;0, ('Option A Outcome'!O31+'Option A Outcome'!O32+'Option A Outcome'!O33+'Option A Outcome'!O34), "N/A")</f>
        <v>N/A</v>
      </c>
      <c r="N2" s="427" t="str">
        <f>IF('Option A Outcome'!P18&gt;0, ('Option A Outcome'!P31+'Option A Outcome'!P32+'Option A Outcome'!P33+'Option A Outcome'!P34), "N/A")</f>
        <v>N/A</v>
      </c>
      <c r="O2" s="427" t="str">
        <f>IF('Option A Outcome'!Q18&gt;0, ('Option A Outcome'!Q31+'Option A Outcome'!Q32+'Option A Outcome'!Q33+'Option A Outcome'!Q34), "N/A")</f>
        <v>N/A</v>
      </c>
      <c r="P2" s="427" t="str">
        <f>IF('Option A Outcome'!R18&gt;0, ('Option A Outcome'!R31+'Option A Outcome'!R32+'Option A Outcome'!R33+'Option A Outcome'!R34), "N/A")</f>
        <v>N/A</v>
      </c>
      <c r="Q2" s="427">
        <f>IF('Option A Outcome'!S18&gt;0, ('Option A Outcome'!S31+'Option A Outcome'!S32+'Option A Outcome'!S33+'Option A Outcome'!S34), 0)</f>
        <v>0</v>
      </c>
      <c r="R2" s="427">
        <f>IF('Option A Outcome'!T18&gt;0, ('Option A Outcome'!T31+'Option A Outcome'!T32+'Option A Outcome'!T33+'Option A Outcome'!T34), 0)</f>
        <v>0</v>
      </c>
      <c r="S2" s="427">
        <f>IF('Option A Outcome'!U18&gt;0, ('Option A Outcome'!U31+'Option A Outcome'!U32+'Option A Outcome'!U33+'Option A Outcome'!U34), 0)</f>
        <v>0</v>
      </c>
      <c r="T2" s="427">
        <f>IF('Option A Outcome'!V18&gt;0, ('Option A Outcome'!V31+'Option A Outcome'!V32+'Option A Outcome'!V33+'Option A Outcome'!V34), 0)</f>
        <v>0</v>
      </c>
      <c r="U2" s="427">
        <f>IF('Option A Outcome'!W18&gt;0, ('Option A Outcome'!W31+'Option A Outcome'!W32+'Option A Outcome'!W33+'Option A Outcome'!W34), 0)</f>
        <v>0</v>
      </c>
      <c r="V2" s="427">
        <f>IF('Option A Outcome'!X18&gt;0, ('Option A Outcome'!X31+'Option A Outcome'!X32+'Option A Outcome'!X33+'Option A Outcome'!X34), 0)</f>
        <v>0</v>
      </c>
    </row>
    <row r="3" spans="1:22" x14ac:dyDescent="0.2">
      <c r="A3" s="427" t="s">
        <v>490</v>
      </c>
      <c r="B3" s="427">
        <f>'Option A Outcome'!D53</f>
        <v>0</v>
      </c>
      <c r="C3" s="427" t="str">
        <f>IF('Option A Outcome'!E18&gt;0, 'Option A Outcome'!E53, "N/A")</f>
        <v>N/A</v>
      </c>
      <c r="D3" s="427" t="str">
        <f>IF('Option A Outcome'!F18&gt;0, 'Option A Outcome'!F53, "N/A")</f>
        <v>N/A</v>
      </c>
      <c r="E3" s="427" t="str">
        <f>IF('Option A Outcome'!G18&gt;0, 'Option A Outcome'!G53, "N/A")</f>
        <v>N/A</v>
      </c>
      <c r="F3" s="427" t="str">
        <f>IF('Option A Outcome'!H18&gt;0, 'Option A Outcome'!H53, "N/A")</f>
        <v>N/A</v>
      </c>
      <c r="G3" s="427" t="str">
        <f>IF('Option A Outcome'!I18&gt;0, 'Option A Outcome'!I53, "N/A")</f>
        <v>N/A</v>
      </c>
      <c r="H3" s="427" t="str">
        <f>IF('Option A Outcome'!J18&gt;0, 'Option A Outcome'!J53, "N/A")</f>
        <v>N/A</v>
      </c>
      <c r="I3" s="427" t="str">
        <f>IF('Option A Outcome'!K18&gt;0, 'Option A Outcome'!K53, "N/A")</f>
        <v>N/A</v>
      </c>
      <c r="J3" s="427" t="str">
        <f>IF('Option A Outcome'!L18&gt;0, 'Option A Outcome'!L53, "N/A")</f>
        <v>N/A</v>
      </c>
      <c r="K3" s="427" t="str">
        <f>IF('Option A Outcome'!M18&gt;0, 'Option A Outcome'!M53, "N/A")</f>
        <v>N/A</v>
      </c>
      <c r="L3" s="427" t="str">
        <f>IF('Option A Outcome'!N18&gt;0, 'Option A Outcome'!N53, "N/A")</f>
        <v>N/A</v>
      </c>
      <c r="M3" s="427" t="str">
        <f>IF('Option A Outcome'!O18&gt;0, 'Option A Outcome'!O53, "N/A")</f>
        <v>N/A</v>
      </c>
      <c r="N3" s="427" t="str">
        <f>IF('Option A Outcome'!P18&gt;0, 'Option A Outcome'!P53, "N/A")</f>
        <v>N/A</v>
      </c>
      <c r="O3" s="427" t="str">
        <f>IF('Option A Outcome'!Q18&gt;0, 'Option A Outcome'!Q53, "N/A")</f>
        <v>N/A</v>
      </c>
      <c r="P3" s="427" t="str">
        <f>IF('Option A Outcome'!R18&gt;0, 'Option A Outcome'!R53, "N/A")</f>
        <v>N/A</v>
      </c>
      <c r="Q3" s="427">
        <f>IF('Option A Outcome'!S18&gt;0, 'Option A Outcome'!S53, 0)</f>
        <v>0</v>
      </c>
      <c r="R3" s="427">
        <f>IF('Option A Outcome'!T18&gt;0, 'Option A Outcome'!T53, 0)</f>
        <v>0</v>
      </c>
      <c r="S3" s="427">
        <f>IF('Option A Outcome'!U18&gt;0, 'Option A Outcome'!U53, 0)</f>
        <v>0</v>
      </c>
      <c r="T3" s="427">
        <f>IF('Option A Outcome'!V18&gt;0, 'Option A Outcome'!V53, 0)</f>
        <v>0</v>
      </c>
      <c r="U3" s="427">
        <f>IF('Option A Outcome'!W18&gt;0, 'Option A Outcome'!W53, 0)</f>
        <v>0</v>
      </c>
      <c r="V3" s="427">
        <f>IF('Option A Outcome'!X18&gt;0, 'Option A Outcome'!X53, 0)</f>
        <v>0</v>
      </c>
    </row>
    <row r="4" spans="1:22" x14ac:dyDescent="0.2">
      <c r="A4" s="427" t="s">
        <v>491</v>
      </c>
      <c r="B4" s="427">
        <f>'Option B Outcome'!D53</f>
        <v>0</v>
      </c>
      <c r="C4" s="427" t="str">
        <f>IF('Option A Outcome'!E18&gt;0, 'Option B Outcome'!E53, "N/A")</f>
        <v>N/A</v>
      </c>
      <c r="D4" s="427" t="str">
        <f>IF('Option A Outcome'!F18&gt;0, 'Option B Outcome'!F53, "N/A")</f>
        <v>N/A</v>
      </c>
      <c r="E4" s="427" t="str">
        <f>IF('Option A Outcome'!G18&gt;0, 'Option B Outcome'!G53, "N/A")</f>
        <v>N/A</v>
      </c>
      <c r="F4" s="427" t="str">
        <f>IF('Option A Outcome'!H18&gt;0, 'Option B Outcome'!H53, "N/A")</f>
        <v>N/A</v>
      </c>
      <c r="G4" s="427" t="str">
        <f>IF('Option A Outcome'!I18&gt;0, 'Option B Outcome'!I53, "N/A")</f>
        <v>N/A</v>
      </c>
      <c r="H4" s="427" t="str">
        <f>IF('Option A Outcome'!J18&gt;0, 'Option B Outcome'!J53, "N/A")</f>
        <v>N/A</v>
      </c>
      <c r="I4" s="427" t="str">
        <f>IF('Option A Outcome'!K18&gt;0, 'Option B Outcome'!K53, "N/A")</f>
        <v>N/A</v>
      </c>
      <c r="J4" s="427" t="str">
        <f>IF('Option A Outcome'!L18&gt;0, 'Option B Outcome'!L53, "N/A")</f>
        <v>N/A</v>
      </c>
      <c r="K4" s="427" t="str">
        <f>IF('Option A Outcome'!M18&gt;0, 'Option B Outcome'!M53, "N/A")</f>
        <v>N/A</v>
      </c>
      <c r="L4" s="427" t="str">
        <f>IF('Option A Outcome'!N18&gt;0, 'Option B Outcome'!N53, "N/A")</f>
        <v>N/A</v>
      </c>
      <c r="M4" s="427" t="str">
        <f>IF('Option A Outcome'!O18&gt;0, 'Option B Outcome'!O53, "N/A")</f>
        <v>N/A</v>
      </c>
      <c r="N4" s="427" t="str">
        <f>IF('Option A Outcome'!P18&gt;0, 'Option B Outcome'!P53, "N/A")</f>
        <v>N/A</v>
      </c>
      <c r="O4" s="427" t="str">
        <f>IF('Option A Outcome'!Q18&gt;0, 'Option B Outcome'!Q53, "N/A")</f>
        <v>N/A</v>
      </c>
      <c r="P4" s="427" t="str">
        <f>IF('Option A Outcome'!R18&gt;0, 'Option B Outcome'!R53, "N/A")</f>
        <v>N/A</v>
      </c>
      <c r="Q4" s="427">
        <f>IF('Option A Outcome'!S18&gt;0, 'Option B Outcome'!S53,0)</f>
        <v>0</v>
      </c>
      <c r="R4" s="427">
        <f>IF('Option A Outcome'!T18&gt;0, 'Option B Outcome'!T53,0)</f>
        <v>0</v>
      </c>
      <c r="S4" s="427">
        <f>IF('Option A Outcome'!U18&gt;0, 'Option B Outcome'!U53,0)</f>
        <v>0</v>
      </c>
      <c r="T4" s="427">
        <f>IF('Option A Outcome'!V18&gt;0, 'Option B Outcome'!V53,0)</f>
        <v>0</v>
      </c>
      <c r="U4" s="427">
        <f>IF('Option A Outcome'!W18&gt;0, 'Option B Outcome'!W53,0)</f>
        <v>0</v>
      </c>
      <c r="V4" s="427">
        <f>IF('Option A Outcome'!X18&gt;0, 'Option B Outcome'!X53,0)</f>
        <v>0</v>
      </c>
    </row>
    <row r="5" spans="1:22" x14ac:dyDescent="0.2">
      <c r="A5" s="427" t="s">
        <v>492</v>
      </c>
      <c r="B5" s="427">
        <f>'Option C Outcome'!D53</f>
        <v>0</v>
      </c>
      <c r="C5" s="427" t="str">
        <f>IF('Option A Outcome'!E18&gt;0, 'Option C Outcome'!E53, "N/A")</f>
        <v>N/A</v>
      </c>
      <c r="D5" s="427" t="str">
        <f>IF('Option A Outcome'!F18&gt;0, 'Option C Outcome'!F53, "N/A")</f>
        <v>N/A</v>
      </c>
      <c r="E5" s="427" t="str">
        <f>IF('Option A Outcome'!G18&gt;0, 'Option C Outcome'!G53, "N/A")</f>
        <v>N/A</v>
      </c>
      <c r="F5" s="427" t="str">
        <f>IF('Option A Outcome'!H18&gt;0, 'Option C Outcome'!H53, "N/A")</f>
        <v>N/A</v>
      </c>
      <c r="G5" s="427" t="str">
        <f>IF('Option A Outcome'!I18&gt;0, 'Option C Outcome'!I53, "N/A")</f>
        <v>N/A</v>
      </c>
      <c r="H5" s="427" t="str">
        <f>IF('Option A Outcome'!J18&gt;0, 'Option C Outcome'!J53, "N/A")</f>
        <v>N/A</v>
      </c>
      <c r="I5" s="427" t="str">
        <f>IF('Option A Outcome'!K18&gt;0, 'Option C Outcome'!K53, "N/A")</f>
        <v>N/A</v>
      </c>
      <c r="J5" s="427" t="str">
        <f>IF('Option A Outcome'!L18&gt;0, 'Option C Outcome'!L53, "N/A")</f>
        <v>N/A</v>
      </c>
      <c r="K5" s="427" t="str">
        <f>IF('Option A Outcome'!M18&gt;0, 'Option C Outcome'!M53, "N/A")</f>
        <v>N/A</v>
      </c>
      <c r="L5" s="427" t="str">
        <f>IF('Option A Outcome'!N18&gt;0, 'Option C Outcome'!N53, "N/A")</f>
        <v>N/A</v>
      </c>
      <c r="M5" s="427" t="str">
        <f>IF('Option A Outcome'!O18&gt;0, 'Option C Outcome'!O53, "N/A")</f>
        <v>N/A</v>
      </c>
      <c r="N5" s="427" t="str">
        <f>IF('Option A Outcome'!P18&gt;0, 'Option C Outcome'!P53, "N/A")</f>
        <v>N/A</v>
      </c>
      <c r="O5" s="427" t="str">
        <f>IF('Option A Outcome'!Q18&gt;0, 'Option C Outcome'!Q53, "N/A")</f>
        <v>N/A</v>
      </c>
      <c r="P5" s="427" t="str">
        <f>IF('Option A Outcome'!R18&gt;0, 'Option C Outcome'!R53, "N/A")</f>
        <v>N/A</v>
      </c>
      <c r="Q5" s="427">
        <f>IF('Option A Outcome'!S18&gt;0, 'Option C Outcome'!S53, 0)</f>
        <v>0</v>
      </c>
      <c r="R5" s="427">
        <f>IF('Option A Outcome'!T18&gt;0, 'Option C Outcome'!T53, 0)</f>
        <v>0</v>
      </c>
      <c r="S5" s="427">
        <f>IF('Option A Outcome'!U18&gt;0, 'Option C Outcome'!U53, 0)</f>
        <v>0</v>
      </c>
      <c r="T5" s="427">
        <f>IF('Option A Outcome'!V18&gt;0, 'Option C Outcome'!V53, 0)</f>
        <v>0</v>
      </c>
      <c r="U5" s="427">
        <f>IF('Option A Outcome'!W18&gt;0, 'Option C Outcome'!W53, 0)</f>
        <v>0</v>
      </c>
      <c r="V5" s="427">
        <f>IF('Option A Outcome'!X18&gt;0, 'Option C Outcome'!X53, 0)</f>
        <v>0</v>
      </c>
    </row>
    <row r="6" spans="1:22" x14ac:dyDescent="0.2">
      <c r="A6" s="427" t="s">
        <v>493</v>
      </c>
    </row>
    <row r="7" spans="1:22" x14ac:dyDescent="0.2">
      <c r="A7" s="427" t="s">
        <v>494</v>
      </c>
      <c r="B7" s="427">
        <f>IF('DASHBOARD '!$F$20='DASHBOARD Data'!$B$23, 'Option A Outcome'!D57, 'Option A Outcome'!D61)</f>
        <v>0</v>
      </c>
      <c r="C7" s="427">
        <f>IF('DASHBOARD '!$F$20='DASHBOARD Data'!$B$23, 'Option A Outcome'!E57, 'Option A Outcome'!E61)</f>
        <v>0</v>
      </c>
      <c r="D7" s="427">
        <f>IF('DASHBOARD '!$F$20='DASHBOARD Data'!$B$23, 'Option A Outcome'!F57, 'Option A Outcome'!F61)</f>
        <v>0</v>
      </c>
      <c r="E7" s="427">
        <f>IF('DASHBOARD '!$F$20='DASHBOARD Data'!$B$23, 'Option A Outcome'!G57, 'Option A Outcome'!G61)</f>
        <v>0</v>
      </c>
      <c r="F7" s="427">
        <f>IF('DASHBOARD '!$F$20='DASHBOARD Data'!$B$23, 'Option A Outcome'!H57, 'Option A Outcome'!H61)</f>
        <v>0</v>
      </c>
      <c r="G7" s="427">
        <f>IF('DASHBOARD '!$F$20='DASHBOARD Data'!$B$23, 'Option A Outcome'!I57, 'Option A Outcome'!I61)</f>
        <v>0</v>
      </c>
      <c r="H7" s="427">
        <f>IF('DASHBOARD '!$F$20='DASHBOARD Data'!$B$23, 'Option A Outcome'!J57, 'Option A Outcome'!J61)</f>
        <v>0</v>
      </c>
      <c r="I7" s="427">
        <f>IF('DASHBOARD '!$F$20='DASHBOARD Data'!$B$23, 'Option A Outcome'!K57, 'Option A Outcome'!K61)</f>
        <v>0</v>
      </c>
      <c r="J7" s="427">
        <f>IF('DASHBOARD '!$F$20='DASHBOARD Data'!$B$23, 'Option A Outcome'!L57, 'Option A Outcome'!L61)</f>
        <v>0</v>
      </c>
      <c r="K7" s="427">
        <f>IF('DASHBOARD '!$F$20='DASHBOARD Data'!$B$23, 'Option A Outcome'!M57, 'Option A Outcome'!M61)</f>
        <v>0</v>
      </c>
      <c r="L7" s="427">
        <f>IF('DASHBOARD '!$F$20='DASHBOARD Data'!$B$23, 'Option A Outcome'!N57, 'Option A Outcome'!N61)</f>
        <v>0</v>
      </c>
      <c r="M7" s="427">
        <f>IF('DASHBOARD '!$F$20='DASHBOARD Data'!$B$23, 'Option A Outcome'!O57, 'Option A Outcome'!O61)</f>
        <v>0</v>
      </c>
      <c r="N7" s="427">
        <f>IF('DASHBOARD '!$F$20='DASHBOARD Data'!$B$23, 'Option A Outcome'!P57, 'Option A Outcome'!P61)</f>
        <v>0</v>
      </c>
      <c r="O7" s="427">
        <f>IF('DASHBOARD '!$F$20='DASHBOARD Data'!$B$23, 'Option A Outcome'!Q57, 'Option A Outcome'!Q61)</f>
        <v>0</v>
      </c>
      <c r="P7" s="427">
        <f>IF('DASHBOARD '!$F$20='DASHBOARD Data'!$B$23, 'Option A Outcome'!R57, 'Option A Outcome'!R61)</f>
        <v>0</v>
      </c>
      <c r="Q7" s="427">
        <f>IF('DASHBOARD '!$F$20='DASHBOARD Data'!$B$23, 'Option A Outcome'!S57, 'Option A Outcome'!S61)</f>
        <v>0</v>
      </c>
      <c r="R7" s="427">
        <f>IF('DASHBOARD '!$F$20='DASHBOARD Data'!$B$23, 'Option A Outcome'!T57, 'Option A Outcome'!T61)</f>
        <v>0</v>
      </c>
      <c r="S7" s="427">
        <f>IF('DASHBOARD '!$F$20='DASHBOARD Data'!$B$23, 'Option A Outcome'!U57, 'Option A Outcome'!U61)</f>
        <v>0</v>
      </c>
      <c r="T7" s="427">
        <f>IF('DASHBOARD '!$F$20='DASHBOARD Data'!$B$23, 'Option A Outcome'!V57, 'Option A Outcome'!V61)</f>
        <v>0</v>
      </c>
      <c r="U7" s="427">
        <f>IF('DASHBOARD '!$F$20='DASHBOARD Data'!$B$23, 'Option A Outcome'!W57, 'Option A Outcome'!W61)</f>
        <v>0</v>
      </c>
      <c r="V7" s="427">
        <f>IF('DASHBOARD '!$F$20='DASHBOARD Data'!$B$23, 'Option A Outcome'!X57, 'Option A Outcome'!X61)</f>
        <v>0</v>
      </c>
    </row>
    <row r="8" spans="1:22" x14ac:dyDescent="0.2">
      <c r="A8" s="427" t="s">
        <v>495</v>
      </c>
      <c r="B8" s="427">
        <f>IF('DASHBOARD '!$G$20='DASHBOARD Data'!$B$23, 'Option B Outcome'!D57, 'Option B Outcome'!D61)</f>
        <v>0</v>
      </c>
      <c r="C8" s="427">
        <f>IF('DASHBOARD '!$G$20='DASHBOARD Data'!$B$23, 'Option B Outcome'!E57, 'Option B Outcome'!E61)</f>
        <v>0</v>
      </c>
      <c r="D8" s="427">
        <f>IF('DASHBOARD '!$G$20='DASHBOARD Data'!$B$23, 'Option B Outcome'!F57, 'Option B Outcome'!F61)</f>
        <v>0</v>
      </c>
      <c r="E8" s="427">
        <f>IF('DASHBOARD '!$G$20='DASHBOARD Data'!$B$23, 'Option B Outcome'!G57, 'Option B Outcome'!G61)</f>
        <v>0</v>
      </c>
      <c r="F8" s="427">
        <f>IF('DASHBOARD '!$G$20='DASHBOARD Data'!$B$23, 'Option B Outcome'!H57, 'Option B Outcome'!H61)</f>
        <v>0</v>
      </c>
      <c r="G8" s="427">
        <f>IF('DASHBOARD '!$G$20='DASHBOARD Data'!$B$23, 'Option B Outcome'!I57, 'Option B Outcome'!I61)</f>
        <v>0</v>
      </c>
      <c r="H8" s="427">
        <f>IF('DASHBOARD '!$G$20='DASHBOARD Data'!$B$23, 'Option B Outcome'!J57, 'Option B Outcome'!J61)</f>
        <v>0</v>
      </c>
      <c r="I8" s="427">
        <f>IF('DASHBOARD '!$G$20='DASHBOARD Data'!$B$23, 'Option B Outcome'!K57, 'Option B Outcome'!K61)</f>
        <v>0</v>
      </c>
      <c r="J8" s="427">
        <f>IF('DASHBOARD '!$G$20='DASHBOARD Data'!$B$23, 'Option B Outcome'!L57, 'Option B Outcome'!L61)</f>
        <v>0</v>
      </c>
      <c r="K8" s="427">
        <f>IF('DASHBOARD '!$G$20='DASHBOARD Data'!$B$23, 'Option B Outcome'!M57, 'Option B Outcome'!M61)</f>
        <v>0</v>
      </c>
      <c r="L8" s="427">
        <f>IF('DASHBOARD '!$G$20='DASHBOARD Data'!$B$23, 'Option B Outcome'!N57, 'Option B Outcome'!N61)</f>
        <v>0</v>
      </c>
      <c r="M8" s="427">
        <f>IF('DASHBOARD '!$G$20='DASHBOARD Data'!$B$23, 'Option B Outcome'!O57, 'Option B Outcome'!O61)</f>
        <v>0</v>
      </c>
      <c r="N8" s="427">
        <f>IF('DASHBOARD '!$G$20='DASHBOARD Data'!$B$23, 'Option B Outcome'!P57, 'Option B Outcome'!P61)</f>
        <v>0</v>
      </c>
      <c r="O8" s="427">
        <f>IF('DASHBOARD '!$G$20='DASHBOARD Data'!$B$23, 'Option B Outcome'!Q57, 'Option B Outcome'!Q61)</f>
        <v>0</v>
      </c>
      <c r="P8" s="427">
        <f>IF('DASHBOARD '!$G$20='DASHBOARD Data'!$B$23, 'Option B Outcome'!R57, 'Option B Outcome'!R61)</f>
        <v>0</v>
      </c>
      <c r="Q8" s="427">
        <f>IF('DASHBOARD '!$G$20='DASHBOARD Data'!$B$23, 'Option B Outcome'!S57, 'Option B Outcome'!S61)</f>
        <v>0</v>
      </c>
      <c r="R8" s="427">
        <f>IF('DASHBOARD '!$G$20='DASHBOARD Data'!$B$23, 'Option B Outcome'!T57, 'Option B Outcome'!T61)</f>
        <v>0</v>
      </c>
      <c r="S8" s="427">
        <f>IF('DASHBOARD '!$G$20='DASHBOARD Data'!$B$23, 'Option B Outcome'!U57, 'Option B Outcome'!U61)</f>
        <v>0</v>
      </c>
      <c r="T8" s="427">
        <f>IF('DASHBOARD '!$G$20='DASHBOARD Data'!$B$23, 'Option B Outcome'!V57, 'Option B Outcome'!V61)</f>
        <v>0</v>
      </c>
      <c r="U8" s="427">
        <f>IF('DASHBOARD '!$G$20='DASHBOARD Data'!$B$23, 'Option B Outcome'!W57, 'Option B Outcome'!W61)</f>
        <v>0</v>
      </c>
      <c r="V8" s="427">
        <f>IF('DASHBOARD '!$G$20='DASHBOARD Data'!$B$23, 'Option B Outcome'!X57, 'Option B Outcome'!X61)</f>
        <v>0</v>
      </c>
    </row>
    <row r="9" spans="1:22" x14ac:dyDescent="0.2">
      <c r="A9" s="427" t="s">
        <v>496</v>
      </c>
      <c r="B9" s="427">
        <f>IF('DASHBOARD '!$H$20='DASHBOARD Data'!$B$23, 'Option C Outcome'!D57, 'Option C Outcome'!D61)</f>
        <v>0</v>
      </c>
      <c r="C9" s="427">
        <f>IF('DASHBOARD '!$H$20='DASHBOARD Data'!$B$23, 'Option C Outcome'!E57, 'Option C Outcome'!E61)</f>
        <v>0</v>
      </c>
      <c r="D9" s="427">
        <f>IF('DASHBOARD '!$H$20='DASHBOARD Data'!$B$23, 'Option C Outcome'!F57, 'Option C Outcome'!F61)</f>
        <v>0</v>
      </c>
      <c r="E9" s="427">
        <f>IF('DASHBOARD '!$H$20='DASHBOARD Data'!$B$23, 'Option C Outcome'!G57, 'Option C Outcome'!G61)</f>
        <v>0</v>
      </c>
      <c r="F9" s="427">
        <f>IF('DASHBOARD '!$H$20='DASHBOARD Data'!$B$23, 'Option C Outcome'!H57, 'Option C Outcome'!H61)</f>
        <v>0</v>
      </c>
      <c r="G9" s="427">
        <f>IF('DASHBOARD '!$H$20='DASHBOARD Data'!$B$23, 'Option C Outcome'!I57, 'Option C Outcome'!I61)</f>
        <v>0</v>
      </c>
      <c r="H9" s="427">
        <f>IF('DASHBOARD '!$H$20='DASHBOARD Data'!$B$23, 'Option C Outcome'!J57, 'Option C Outcome'!J61)</f>
        <v>0</v>
      </c>
      <c r="I9" s="427">
        <f>IF('DASHBOARD '!$H$20='DASHBOARD Data'!$B$23, 'Option C Outcome'!K57, 'Option C Outcome'!K61)</f>
        <v>0</v>
      </c>
      <c r="J9" s="427">
        <f>IF('DASHBOARD '!$H$20='DASHBOARD Data'!$B$23, 'Option C Outcome'!L57, 'Option C Outcome'!L61)</f>
        <v>0</v>
      </c>
      <c r="K9" s="427">
        <f>IF('DASHBOARD '!$H$20='DASHBOARD Data'!$B$23, 'Option C Outcome'!M57, 'Option C Outcome'!M61)</f>
        <v>0</v>
      </c>
      <c r="L9" s="427">
        <f>IF('DASHBOARD '!$H$20='DASHBOARD Data'!$B$23, 'Option C Outcome'!N57, 'Option C Outcome'!N61)</f>
        <v>0</v>
      </c>
      <c r="M9" s="427">
        <f>IF('DASHBOARD '!$H$20='DASHBOARD Data'!$B$23, 'Option C Outcome'!O57, 'Option C Outcome'!O61)</f>
        <v>0</v>
      </c>
      <c r="N9" s="427">
        <f>IF('DASHBOARD '!$H$20='DASHBOARD Data'!$B$23, 'Option C Outcome'!P57, 'Option C Outcome'!P61)</f>
        <v>0</v>
      </c>
      <c r="O9" s="427">
        <f>IF('DASHBOARD '!$H$20='DASHBOARD Data'!$B$23, 'Option C Outcome'!Q57, 'Option C Outcome'!Q61)</f>
        <v>0</v>
      </c>
      <c r="P9" s="427">
        <f>IF('DASHBOARD '!$H$20='DASHBOARD Data'!$B$23, 'Option C Outcome'!R57, 'Option C Outcome'!R61)</f>
        <v>0</v>
      </c>
      <c r="Q9" s="427">
        <f>IF('DASHBOARD '!$H$20='DASHBOARD Data'!$B$23, 'Option C Outcome'!S57, 'Option C Outcome'!S61)</f>
        <v>0</v>
      </c>
      <c r="R9" s="427">
        <f>IF('DASHBOARD '!$H$20='DASHBOARD Data'!$B$23, 'Option C Outcome'!T57, 'Option C Outcome'!T61)</f>
        <v>0</v>
      </c>
      <c r="S9" s="427">
        <f>IF('DASHBOARD '!$H$20='DASHBOARD Data'!$B$23, 'Option C Outcome'!U57, 'Option C Outcome'!U61)</f>
        <v>0</v>
      </c>
      <c r="T9" s="427">
        <f>IF('DASHBOARD '!$H$20='DASHBOARD Data'!$B$23, 'Option C Outcome'!V57, 'Option C Outcome'!V61)</f>
        <v>0</v>
      </c>
      <c r="U9" s="427">
        <f>IF('DASHBOARD '!$H$20='DASHBOARD Data'!$B$23, 'Option C Outcome'!W57, 'Option C Outcome'!W61)</f>
        <v>0</v>
      </c>
      <c r="V9" s="427">
        <f>IF('DASHBOARD '!$H$20='DASHBOARD Data'!$B$23, 'Option C Outcome'!X57, 'Option C Outcome'!X61)</f>
        <v>0</v>
      </c>
    </row>
  </sheetData>
  <sheetProtection algorithmName="SHA-512" hashValue="kDHzqaDUbvov+inOVdQuf6VPEdVB465C9GZZVYD7nWkJbfa2X43/lKSY6wduXIDWGUIuYQ+jKs7LbbrhC3cKwA==" saltValue="3xR1TnAXE0g82IDIVE4+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7217-1371-4047-9E25-DC85FA5CAB08}">
  <sheetPr codeName="Sheet5">
    <tabColor rgb="FF92D050"/>
    <pageSetUpPr fitToPage="1"/>
  </sheetPr>
  <dimension ref="B1:M23"/>
  <sheetViews>
    <sheetView zoomScale="115" zoomScaleNormal="115" workbookViewId="0">
      <selection activeCell="H28" sqref="H28"/>
    </sheetView>
  </sheetViews>
  <sheetFormatPr defaultColWidth="8.7109375" defaultRowHeight="15" x14ac:dyDescent="0.25"/>
  <cols>
    <col min="1" max="1" width="3.42578125" style="203" customWidth="1"/>
    <col min="2" max="2" width="32.5703125" style="203" customWidth="1"/>
    <col min="3" max="3" width="23.28515625" style="203" customWidth="1"/>
    <col min="4" max="6" width="9.7109375" style="203" customWidth="1"/>
    <col min="7" max="7" width="8.42578125" style="203" customWidth="1"/>
    <col min="8" max="8" width="34.5703125" style="203" customWidth="1"/>
    <col min="9" max="16384" width="8.7109375" style="203"/>
  </cols>
  <sheetData>
    <row r="1" spans="2:8" ht="15.75" thickBot="1" x14ac:dyDescent="0.3"/>
    <row r="2" spans="2:8" ht="21" customHeight="1" x14ac:dyDescent="0.25">
      <c r="B2" s="204" t="s">
        <v>3</v>
      </c>
      <c r="C2" s="205"/>
      <c r="D2" s="205"/>
      <c r="E2" s="205"/>
      <c r="F2" s="205"/>
      <c r="G2" s="205"/>
      <c r="H2" s="206"/>
    </row>
    <row r="3" spans="2:8" ht="21" customHeight="1" x14ac:dyDescent="0.25">
      <c r="B3" s="207" t="s">
        <v>4</v>
      </c>
      <c r="C3" s="208"/>
      <c r="D3" s="208"/>
      <c r="E3" s="208"/>
      <c r="F3" s="208"/>
      <c r="G3" s="208"/>
      <c r="H3" s="209"/>
    </row>
    <row r="4" spans="2:8" ht="20.45" customHeight="1" thickBot="1" x14ac:dyDescent="0.3">
      <c r="B4" s="674" t="s">
        <v>13</v>
      </c>
      <c r="C4" s="675"/>
      <c r="D4" s="675"/>
      <c r="E4" s="675"/>
      <c r="F4" s="675"/>
      <c r="G4" s="675"/>
      <c r="H4" s="676"/>
    </row>
    <row r="5" spans="2:8" x14ac:dyDescent="0.25">
      <c r="B5" s="210"/>
      <c r="C5" s="211"/>
      <c r="D5" s="211"/>
      <c r="E5" s="211"/>
      <c r="F5" s="211"/>
      <c r="G5" s="212" t="s">
        <v>1</v>
      </c>
      <c r="H5" s="386" t="s">
        <v>498</v>
      </c>
    </row>
    <row r="6" spans="2:8" ht="15.75" thickBot="1" x14ac:dyDescent="0.3">
      <c r="B6" s="210"/>
      <c r="C6" s="211"/>
      <c r="D6" s="211"/>
      <c r="E6" s="211"/>
      <c r="F6" s="211"/>
      <c r="G6" s="212" t="s">
        <v>0</v>
      </c>
      <c r="H6" s="387" t="s">
        <v>498</v>
      </c>
    </row>
    <row r="7" spans="2:8" ht="15.75" thickBot="1" x14ac:dyDescent="0.3">
      <c r="B7" s="213"/>
      <c r="C7" s="214"/>
      <c r="D7" s="214"/>
      <c r="E7" s="214"/>
      <c r="F7" s="214"/>
      <c r="G7" s="214"/>
      <c r="H7" s="215"/>
    </row>
    <row r="8" spans="2:8" x14ac:dyDescent="0.25">
      <c r="B8" s="677" t="s">
        <v>14</v>
      </c>
      <c r="C8" s="678"/>
      <c r="D8" s="216">
        <v>0</v>
      </c>
      <c r="E8" s="214"/>
      <c r="F8" s="214"/>
      <c r="G8" s="214"/>
      <c r="H8" s="215"/>
    </row>
    <row r="9" spans="2:8" x14ac:dyDescent="0.25">
      <c r="B9" s="679" t="s">
        <v>499</v>
      </c>
      <c r="C9" s="680"/>
      <c r="D9" s="217">
        <v>0</v>
      </c>
      <c r="E9" s="218"/>
      <c r="F9" s="214"/>
      <c r="G9" s="214"/>
      <c r="H9" s="215"/>
    </row>
    <row r="10" spans="2:8" x14ac:dyDescent="0.25">
      <c r="B10" s="679" t="s">
        <v>16</v>
      </c>
      <c r="C10" s="680"/>
      <c r="D10" s="217">
        <v>0</v>
      </c>
      <c r="E10" s="214"/>
      <c r="F10" s="214"/>
      <c r="G10" s="214"/>
      <c r="H10" s="215"/>
    </row>
    <row r="11" spans="2:8" ht="15.75" thickBot="1" x14ac:dyDescent="0.3">
      <c r="B11" s="681" t="s">
        <v>500</v>
      </c>
      <c r="C11" s="682" t="s">
        <v>498</v>
      </c>
      <c r="D11" s="219">
        <f>(D8+D9)-D10</f>
        <v>0</v>
      </c>
      <c r="E11" s="214"/>
      <c r="F11" s="214"/>
      <c r="G11" s="214"/>
      <c r="H11" s="215"/>
    </row>
    <row r="12" spans="2:8" ht="15.75" thickBot="1" x14ac:dyDescent="0.3">
      <c r="B12" s="663" t="s">
        <v>19</v>
      </c>
      <c r="C12" s="664"/>
      <c r="D12" s="669" t="s">
        <v>17</v>
      </c>
      <c r="E12" s="670"/>
      <c r="F12" s="670"/>
      <c r="G12" s="671"/>
      <c r="H12" s="672" t="s">
        <v>18</v>
      </c>
    </row>
    <row r="13" spans="2:8" ht="15.75" thickBot="1" x14ac:dyDescent="0.3">
      <c r="B13" s="665"/>
      <c r="C13" s="666"/>
      <c r="D13" s="256" t="s">
        <v>20</v>
      </c>
      <c r="E13" s="257" t="s">
        <v>21</v>
      </c>
      <c r="F13" s="258" t="s">
        <v>22</v>
      </c>
      <c r="G13" s="220" t="s">
        <v>502</v>
      </c>
      <c r="H13" s="673"/>
    </row>
    <row r="14" spans="2:8" ht="17.100000000000001" customHeight="1" x14ac:dyDescent="0.25">
      <c r="B14" s="221" t="s">
        <v>23</v>
      </c>
      <c r="C14" s="222"/>
      <c r="D14" s="223">
        <v>0</v>
      </c>
      <c r="E14" s="224">
        <v>0</v>
      </c>
      <c r="F14" s="264">
        <f>IFERROR(E14/D14, 0)</f>
        <v>0</v>
      </c>
      <c r="G14" s="255" t="e">
        <f>D14*VLOOKUP(B14, Emissions_table,VLOOKUP($D$10, 'Technology Inputs'!$I$149:$J$158, 2, FALSE), FALSE)/1000</f>
        <v>#N/A</v>
      </c>
      <c r="H14" s="251" t="s">
        <v>498</v>
      </c>
    </row>
    <row r="15" spans="2:8" ht="17.100000000000001" customHeight="1" x14ac:dyDescent="0.25">
      <c r="B15" s="225" t="s">
        <v>24</v>
      </c>
      <c r="C15" s="226"/>
      <c r="D15" s="240">
        <v>0</v>
      </c>
      <c r="E15" s="241">
        <v>0</v>
      </c>
      <c r="F15" s="264">
        <f>IFERROR(E15/D15, 0)</f>
        <v>0</v>
      </c>
      <c r="G15" s="230" t="e">
        <f>D15*VLOOKUP(B15, Emissions_table,VLOOKUP($D$10, 'Technology Inputs'!$I$149:$J$158, 2, FALSE), FALSE)/1000</f>
        <v>#N/A</v>
      </c>
      <c r="H15" s="252"/>
    </row>
    <row r="16" spans="2:8" ht="17.100000000000001" customHeight="1" x14ac:dyDescent="0.25">
      <c r="B16" s="225" t="s">
        <v>25</v>
      </c>
      <c r="C16" s="229" t="s">
        <v>26</v>
      </c>
      <c r="D16" s="227">
        <v>0</v>
      </c>
      <c r="E16" s="228">
        <v>0</v>
      </c>
      <c r="F16" s="265">
        <f>IFERROR(E16/D16, 0)</f>
        <v>0</v>
      </c>
      <c r="G16" s="230">
        <f>IF(D16&gt;0, (D16*VLOOKUP(C16,Emissions_table, VLOOKUP($D$10, 'Technology Inputs'!$I$149:$J$158, 2, FALSE), FALSE)/1000), 0)</f>
        <v>0</v>
      </c>
      <c r="H16" s="253"/>
    </row>
    <row r="17" spans="2:13" ht="17.100000000000001" customHeight="1" thickBot="1" x14ac:dyDescent="0.3">
      <c r="B17" s="231" t="s">
        <v>25</v>
      </c>
      <c r="C17" s="232" t="s">
        <v>27</v>
      </c>
      <c r="D17" s="262">
        <v>0</v>
      </c>
      <c r="E17" s="263">
        <v>0</v>
      </c>
      <c r="F17" s="266">
        <f>IFERROR(E17/D17, 0)</f>
        <v>0</v>
      </c>
      <c r="G17" s="233">
        <f>IF(D17&gt;0, (D17*VLOOKUP(C17,Emissions_table, VLOOKUP($D$10, 'Technology Inputs'!$I$149:$J$158, 2, FALSE), FALSE)/1000), 0)</f>
        <v>0</v>
      </c>
      <c r="H17" s="254"/>
    </row>
    <row r="18" spans="2:13" ht="17.100000000000001" customHeight="1" thickBot="1" x14ac:dyDescent="0.3">
      <c r="B18" s="234" t="s">
        <v>28</v>
      </c>
      <c r="C18" s="235"/>
      <c r="D18" s="259">
        <f>SUM(D14:D17)</f>
        <v>0</v>
      </c>
      <c r="E18" s="260">
        <f>SUM(E14:E17)</f>
        <v>0</v>
      </c>
      <c r="F18" s="261"/>
      <c r="G18" s="236" t="e">
        <f>SUM(G14:G17)</f>
        <v>#N/A</v>
      </c>
      <c r="H18" s="237"/>
    </row>
    <row r="19" spans="2:13" ht="17.100000000000001" customHeight="1" x14ac:dyDescent="0.25">
      <c r="B19" s="238"/>
      <c r="C19" s="238"/>
      <c r="D19" s="238"/>
      <c r="E19" s="238"/>
      <c r="F19" s="238"/>
      <c r="G19" s="238"/>
      <c r="H19" s="238"/>
      <c r="I19" s="239"/>
      <c r="J19" s="239"/>
      <c r="K19" s="239"/>
      <c r="L19" s="239"/>
      <c r="M19" s="239"/>
    </row>
    <row r="20" spans="2:13" ht="17.100000000000001" hidden="1" customHeight="1" x14ac:dyDescent="0.25">
      <c r="B20" s="221" t="s">
        <v>29</v>
      </c>
      <c r="C20" s="222" t="s">
        <v>30</v>
      </c>
      <c r="D20" s="240"/>
      <c r="E20" s="241"/>
      <c r="F20" s="242"/>
      <c r="G20" s="243"/>
      <c r="H20" s="667" t="s">
        <v>31</v>
      </c>
    </row>
    <row r="21" spans="2:13" ht="17.100000000000001" hidden="1" customHeight="1" thickBot="1" x14ac:dyDescent="0.3">
      <c r="B21" s="244" t="s">
        <v>29</v>
      </c>
      <c r="C21" s="245" t="s">
        <v>32</v>
      </c>
      <c r="D21" s="246"/>
      <c r="E21" s="247"/>
      <c r="F21" s="248"/>
      <c r="G21" s="249"/>
      <c r="H21" s="668"/>
    </row>
    <row r="23" spans="2:13" x14ac:dyDescent="0.25">
      <c r="D23" s="250" t="s">
        <v>498</v>
      </c>
    </row>
  </sheetData>
  <sheetProtection algorithmName="SHA-512" hashValue="hjLUUVz4l9CAFhq1Hn4qJdHhfg31kC8Kw5Fu4ARJXiA6yBSrK5iD1v7o+HaufY4xai4haSfJxeANcgQig9O1UQ==" saltValue="3KVM9lCy603IcjBK7+CzjQ==" spinCount="100000" sheet="1" formatCells="0" formatColumns="0" formatRows="0" insertColumns="0" insertRows="0" insertHyperlinks="0" deleteColumns="0" deleteRows="0" autoFilter="0" pivotTables="0"/>
  <protectedRanges>
    <protectedRange sqref="H14:H17" name="Range5"/>
    <protectedRange sqref="D8:D10" name="Range1"/>
    <protectedRange sqref="D14:F17" name="Range2"/>
    <protectedRange sqref="C16:C17" name="Range3"/>
    <protectedRange sqref="H5:H6" name="Range4"/>
  </protectedRanges>
  <mergeCells count="9">
    <mergeCell ref="B12:C13"/>
    <mergeCell ref="H20:H21"/>
    <mergeCell ref="D12:G12"/>
    <mergeCell ref="H12:H13"/>
    <mergeCell ref="B4:H4"/>
    <mergeCell ref="B8:C8"/>
    <mergeCell ref="B9:C9"/>
    <mergeCell ref="B10:C10"/>
    <mergeCell ref="B11:C11"/>
  </mergeCells>
  <printOptions horizontalCentered="1"/>
  <pageMargins left="0.31496062992125984" right="0.31496062992125984" top="0.35433070866141736"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8E4E729-03BE-4F00-B280-175B471D9094}">
          <x14:formula1>
            <xm:f>'Technology Inputs'!$C$8:$C$15</xm:f>
          </x14:formula1>
          <xm:sqref>C16:C17</xm:sqref>
        </x14:dataValidation>
        <x14:dataValidation type="list" allowBlank="1" showInputMessage="1" showErrorMessage="1" xr:uid="{08EF5317-BD04-4302-B48B-5B9B5B5B2300}">
          <x14:formula1>
            <xm:f>'Technology Inputs'!$C$7:$C$15</xm:f>
          </x14:formula1>
          <xm:sqref>G21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5D31-9F5C-460F-9679-F11D70C908DD}">
  <sheetPr codeName="Sheet12">
    <tabColor rgb="FF92D050"/>
    <pageSetUpPr fitToPage="1"/>
  </sheetPr>
  <dimension ref="B2:AQ25"/>
  <sheetViews>
    <sheetView zoomScaleNormal="100" workbookViewId="0">
      <selection activeCell="F29" sqref="F29"/>
    </sheetView>
  </sheetViews>
  <sheetFormatPr defaultColWidth="8.7109375" defaultRowHeight="15" x14ac:dyDescent="0.25"/>
  <cols>
    <col min="1" max="1" width="4" style="23" customWidth="1"/>
    <col min="2" max="2" width="10.5703125" style="23" customWidth="1"/>
    <col min="3" max="3" width="41.85546875" style="112" customWidth="1"/>
    <col min="4" max="4" width="25.85546875" style="23" customWidth="1"/>
    <col min="5" max="5" width="37.42578125" style="23" bestFit="1" customWidth="1"/>
    <col min="6" max="6" width="11.140625" style="28" customWidth="1"/>
    <col min="7" max="7" width="17.7109375" style="28" customWidth="1"/>
    <col min="8" max="8" width="34.5703125" style="28" customWidth="1"/>
    <col min="9" max="9" width="16.42578125" style="28" customWidth="1"/>
    <col min="10" max="10" width="16.5703125" style="28" customWidth="1"/>
    <col min="11" max="14" width="11" style="23" customWidth="1"/>
    <col min="15" max="15" width="9.7109375" style="23" customWidth="1"/>
    <col min="16" max="16" width="11.140625" style="23" customWidth="1"/>
    <col min="17" max="17" width="8.42578125" style="23" customWidth="1"/>
    <col min="18" max="18" width="9.85546875" style="23" customWidth="1"/>
    <col min="19" max="20" width="10.5703125" style="23" customWidth="1"/>
    <col min="21" max="21" width="8.5703125" style="23" customWidth="1"/>
    <col min="22" max="22" width="10.28515625" style="23" customWidth="1"/>
    <col min="23" max="23" width="8.5703125" style="23" hidden="1" customWidth="1"/>
    <col min="24" max="28" width="7" style="23" hidden="1" customWidth="1"/>
    <col min="29" max="30" width="8.5703125" style="23" customWidth="1"/>
    <col min="31" max="31" width="8.85546875" style="23" customWidth="1"/>
    <col min="32" max="34" width="8.5703125" style="23" customWidth="1"/>
    <col min="35" max="16384" width="8.7109375" style="23"/>
  </cols>
  <sheetData>
    <row r="2" spans="2:34" ht="21" customHeight="1" x14ac:dyDescent="0.25">
      <c r="B2" s="139" t="s">
        <v>3</v>
      </c>
      <c r="C2" s="139"/>
      <c r="D2" s="139"/>
      <c r="E2" s="139"/>
      <c r="F2" s="139"/>
      <c r="G2" s="139"/>
      <c r="H2" s="139"/>
      <c r="I2" s="23"/>
      <c r="J2" s="23"/>
    </row>
    <row r="3" spans="2:34" ht="21" customHeight="1" x14ac:dyDescent="0.25">
      <c r="B3" s="139" t="s">
        <v>4</v>
      </c>
      <c r="C3" s="140"/>
      <c r="D3" s="140"/>
      <c r="E3" s="140"/>
      <c r="F3" s="140"/>
      <c r="G3" s="140"/>
      <c r="H3" s="140"/>
      <c r="I3" s="23"/>
      <c r="J3" s="23"/>
    </row>
    <row r="4" spans="2:34" ht="20.45" customHeight="1" x14ac:dyDescent="0.25">
      <c r="B4" s="683" t="s">
        <v>33</v>
      </c>
      <c r="C4" s="683"/>
      <c r="D4" s="683"/>
      <c r="E4" s="683"/>
      <c r="F4" s="683"/>
      <c r="G4" s="683"/>
      <c r="H4" s="683"/>
      <c r="I4" s="23"/>
      <c r="J4" s="23"/>
    </row>
    <row r="5" spans="2:34" x14ac:dyDescent="0.25">
      <c r="B5" s="141"/>
      <c r="C5" s="141"/>
      <c r="D5" s="141"/>
      <c r="E5" s="141"/>
      <c r="F5" s="141"/>
      <c r="G5" s="181" t="s">
        <v>1</v>
      </c>
      <c r="H5" s="182" t="str">
        <f>'Project Data Input'!H5</f>
        <v xml:space="preserve"> </v>
      </c>
      <c r="I5" s="23"/>
      <c r="J5" s="23"/>
    </row>
    <row r="6" spans="2:34" x14ac:dyDescent="0.25">
      <c r="B6" s="141"/>
      <c r="C6" s="141"/>
      <c r="D6" s="141"/>
      <c r="E6" s="141"/>
      <c r="F6" s="141"/>
      <c r="G6" s="181" t="s">
        <v>0</v>
      </c>
      <c r="H6" s="181" t="str">
        <f>'Project Data Input'!H6</f>
        <v xml:space="preserve"> </v>
      </c>
      <c r="I6" s="23"/>
      <c r="J6" s="23"/>
    </row>
    <row r="8" spans="2:34" x14ac:dyDescent="0.25">
      <c r="D8" s="134"/>
      <c r="E8" s="134"/>
      <c r="F8" s="135"/>
    </row>
    <row r="10" spans="2:34" ht="15" customHeight="1" x14ac:dyDescent="0.25">
      <c r="B10" s="700" t="s">
        <v>34</v>
      </c>
      <c r="C10" s="701"/>
      <c r="D10" s="701"/>
      <c r="E10" s="702"/>
      <c r="F10" s="688" t="s">
        <v>35</v>
      </c>
      <c r="G10" s="689"/>
      <c r="H10" s="689"/>
      <c r="I10" s="689"/>
      <c r="J10" s="690"/>
      <c r="K10" s="694" t="s">
        <v>36</v>
      </c>
      <c r="L10" s="695"/>
      <c r="M10" s="695"/>
      <c r="N10" s="696"/>
      <c r="O10" s="710" t="s">
        <v>37</v>
      </c>
      <c r="P10" s="711"/>
      <c r="Q10" s="711"/>
      <c r="R10" s="711"/>
      <c r="S10" s="711"/>
      <c r="T10" s="711"/>
      <c r="U10" s="711"/>
      <c r="V10" s="711"/>
      <c r="W10" s="711"/>
      <c r="X10" s="711"/>
      <c r="Y10" s="711"/>
      <c r="Z10" s="711"/>
      <c r="AA10" s="711"/>
      <c r="AB10" s="711"/>
      <c r="AC10" s="711"/>
      <c r="AD10" s="711"/>
      <c r="AE10" s="711"/>
      <c r="AF10" s="711"/>
      <c r="AG10" s="711"/>
      <c r="AH10" s="712"/>
    </row>
    <row r="11" spans="2:34" ht="31.5" customHeight="1" x14ac:dyDescent="0.25">
      <c r="B11" s="703"/>
      <c r="C11" s="704"/>
      <c r="D11" s="704"/>
      <c r="E11" s="705"/>
      <c r="F11" s="691"/>
      <c r="G11" s="692"/>
      <c r="H11" s="692"/>
      <c r="I11" s="692"/>
      <c r="J11" s="693"/>
      <c r="K11" s="697"/>
      <c r="L11" s="698"/>
      <c r="M11" s="698"/>
      <c r="N11" s="699"/>
      <c r="O11" s="709" t="s">
        <v>23</v>
      </c>
      <c r="P11" s="687"/>
      <c r="Q11" s="709" t="s">
        <v>24</v>
      </c>
      <c r="R11" s="687"/>
      <c r="S11" s="706" t="str">
        <f>'Project Data Input'!C16</f>
        <v>Fuel oil</v>
      </c>
      <c r="T11" s="706"/>
      <c r="U11" s="686" t="str">
        <f>'Project Data Input'!C17</f>
        <v>Burning oil</v>
      </c>
      <c r="V11" s="687"/>
      <c r="W11" s="709" t="s">
        <v>38</v>
      </c>
      <c r="X11" s="687"/>
      <c r="Y11" s="709" t="s">
        <v>39</v>
      </c>
      <c r="Z11" s="686"/>
      <c r="AA11" s="686"/>
      <c r="AB11" s="687"/>
      <c r="AC11" s="686"/>
      <c r="AD11" s="686"/>
      <c r="AE11" s="686"/>
      <c r="AF11" s="686"/>
      <c r="AG11" s="686"/>
      <c r="AH11" s="687"/>
    </row>
    <row r="12" spans="2:34" ht="31.5" customHeight="1" x14ac:dyDescent="0.25">
      <c r="B12" s="706" t="s">
        <v>40</v>
      </c>
      <c r="C12" s="684" t="s">
        <v>2</v>
      </c>
      <c r="D12" s="706" t="s">
        <v>41</v>
      </c>
      <c r="E12" s="707" t="s">
        <v>42</v>
      </c>
      <c r="F12" s="126" t="s">
        <v>43</v>
      </c>
      <c r="G12" s="126" t="s">
        <v>44</v>
      </c>
      <c r="H12" s="126" t="s">
        <v>45</v>
      </c>
      <c r="I12" s="126" t="s">
        <v>46</v>
      </c>
      <c r="J12" s="126" t="s">
        <v>47</v>
      </c>
      <c r="K12" s="128" t="s">
        <v>48</v>
      </c>
      <c r="L12" s="129" t="s">
        <v>49</v>
      </c>
      <c r="M12" s="128" t="s">
        <v>50</v>
      </c>
      <c r="N12" s="128" t="s">
        <v>51</v>
      </c>
      <c r="O12" s="709" t="s">
        <v>52</v>
      </c>
      <c r="P12" s="687"/>
      <c r="Q12" s="709" t="s">
        <v>52</v>
      </c>
      <c r="R12" s="687"/>
      <c r="S12" s="709" t="s">
        <v>52</v>
      </c>
      <c r="T12" s="687"/>
      <c r="U12" s="709" t="s">
        <v>52</v>
      </c>
      <c r="V12" s="687"/>
      <c r="W12" s="709" t="s">
        <v>52</v>
      </c>
      <c r="X12" s="687"/>
      <c r="Y12" s="709" t="s">
        <v>53</v>
      </c>
      <c r="Z12" s="686"/>
      <c r="AA12" s="686" t="s">
        <v>54</v>
      </c>
      <c r="AB12" s="687"/>
      <c r="AC12" s="709" t="str">
        <f>"Annual "&amp;O8&amp;" Saving"</f>
        <v>Annual  Saving</v>
      </c>
      <c r="AD12" s="687"/>
      <c r="AE12" s="142" t="s">
        <v>55</v>
      </c>
      <c r="AF12" s="142" t="s">
        <v>56</v>
      </c>
      <c r="AG12" s="143" t="s">
        <v>57</v>
      </c>
      <c r="AH12" s="713" t="s">
        <v>58</v>
      </c>
    </row>
    <row r="13" spans="2:34" x14ac:dyDescent="0.25">
      <c r="B13" s="706"/>
      <c r="C13" s="685"/>
      <c r="D13" s="706"/>
      <c r="E13" s="708"/>
      <c r="F13" s="127"/>
      <c r="G13" s="127"/>
      <c r="H13" s="127"/>
      <c r="I13" s="127"/>
      <c r="J13" s="127"/>
      <c r="K13" s="130"/>
      <c r="L13" s="130"/>
      <c r="M13" s="130"/>
      <c r="N13" s="130" t="s">
        <v>21</v>
      </c>
      <c r="O13" s="138" t="s">
        <v>59</v>
      </c>
      <c r="P13" s="138" t="s">
        <v>20</v>
      </c>
      <c r="Q13" s="138" t="s">
        <v>59</v>
      </c>
      <c r="R13" s="138" t="s">
        <v>20</v>
      </c>
      <c r="S13" s="138" t="s">
        <v>59</v>
      </c>
      <c r="T13" s="138" t="s">
        <v>20</v>
      </c>
      <c r="U13" s="138" t="s">
        <v>59</v>
      </c>
      <c r="V13" s="138" t="s">
        <v>20</v>
      </c>
      <c r="W13" s="138" t="s">
        <v>60</v>
      </c>
      <c r="X13" s="138" t="s">
        <v>59</v>
      </c>
      <c r="Y13" s="138" t="s">
        <v>59</v>
      </c>
      <c r="Z13" s="138" t="s">
        <v>20</v>
      </c>
      <c r="AA13" s="138" t="s">
        <v>59</v>
      </c>
      <c r="AB13" s="138" t="s">
        <v>20</v>
      </c>
      <c r="AC13" s="138" t="s">
        <v>21</v>
      </c>
      <c r="AD13" s="138" t="s">
        <v>61</v>
      </c>
      <c r="AE13" s="142" t="s">
        <v>15</v>
      </c>
      <c r="AF13" s="142" t="s">
        <v>15</v>
      </c>
      <c r="AG13" s="144" t="s">
        <v>61</v>
      </c>
      <c r="AH13" s="714"/>
    </row>
    <row r="14" spans="2:34" ht="12" customHeight="1" x14ac:dyDescent="0.25">
      <c r="B14" s="24">
        <v>1</v>
      </c>
      <c r="C14" s="114" t="s">
        <v>498</v>
      </c>
      <c r="D14" s="115"/>
      <c r="E14" s="111"/>
      <c r="F14" s="30"/>
      <c r="G14" s="30"/>
      <c r="H14" s="30"/>
      <c r="I14" s="30"/>
      <c r="J14" s="186">
        <f>IF((F14="Yes"),VLOOKUP(I14,'Existing Assets'!$D$5:$E$113,2,FALSE),0)</f>
        <v>0</v>
      </c>
      <c r="K14" s="85">
        <v>0</v>
      </c>
      <c r="L14" s="85">
        <v>0</v>
      </c>
      <c r="M14" s="86">
        <v>0</v>
      </c>
      <c r="N14" s="403">
        <f t="shared" ref="N14" si="0">K14*M14</f>
        <v>0</v>
      </c>
      <c r="O14" s="87">
        <v>0</v>
      </c>
      <c r="P14" s="185">
        <f>'Project Data Input'!$D$14*'ECM Options Data'!O14</f>
        <v>0</v>
      </c>
      <c r="Q14" s="87">
        <v>0</v>
      </c>
      <c r="R14" s="185">
        <f>Q14*'Project Data Input'!$D$15</f>
        <v>0</v>
      </c>
      <c r="S14" s="87">
        <v>0</v>
      </c>
      <c r="T14" s="185">
        <f>IF('Project Data Input'!D16&gt;0, (S14*VLOOKUP($S$11, 'Project Data Input'!$C$16:$D$17, 2, FALSE)), 0)</f>
        <v>0</v>
      </c>
      <c r="U14" s="87">
        <v>0</v>
      </c>
      <c r="V14" s="185">
        <f>IF('Project Data Input'!D17&gt;0, (U14*VLOOKUP($U$11, 'Project Data Input'!$C$16:$D$17, 2, FALSE)), 0)</f>
        <v>0</v>
      </c>
      <c r="W14" s="84"/>
      <c r="X14" s="26"/>
      <c r="Y14" s="87">
        <v>0</v>
      </c>
      <c r="Z14" s="32">
        <f>Y14*'Project Data Input'!$D$14</f>
        <v>0</v>
      </c>
      <c r="AA14" s="87">
        <v>0</v>
      </c>
      <c r="AB14" s="26"/>
      <c r="AC14" s="25">
        <f>(P14*'Project Data Input'!$F$14)+('ECM Options Data'!R14*'Project Data Input'!$F$15)+('Project Data Input'!$F$16*'ECM Options Data'!T14)+('Project Data Input'!$F$17*'ECM Options Data'!V14)+(Z14*'Project Data Input'!$F$20)+('ECM Options Data'!AB14*'Project Data Input'!$F$21)</f>
        <v>0</v>
      </c>
      <c r="AD14" s="33">
        <f>((P14*'Technology Inputs'!$E$6)+('Technology Inputs'!$E$7*'ECM Options Data'!R14)+('ECM Options Data'!T14*(VLOOKUP('ECM Options Data'!$S$11,'Technology Inputs'!$C$8:$E$15,3,FALSE)))+(V14*(VLOOKUP($U$11,'Technology Inputs'!$C$8:$E$15,3,FALSE))))/1000</f>
        <v>0</v>
      </c>
      <c r="AE14" s="27">
        <f>IFERROR(N14/AC14, 0)</f>
        <v>0</v>
      </c>
      <c r="AF14" s="31">
        <f>IFERROR(VLOOKUP(E14, 'Technology Inputs'!$D$44:$E$172, 2, FALSE),0)</f>
        <v>0</v>
      </c>
      <c r="AG14" s="32">
        <f>IF(AD14&gt;0, AD14*AF14, 0)</f>
        <v>0</v>
      </c>
      <c r="AH14" s="32">
        <f>IFERROR(N14/(AD14*AF14),0)</f>
        <v>0</v>
      </c>
    </row>
    <row r="15" spans="2:34" ht="12" customHeight="1" x14ac:dyDescent="0.25">
      <c r="B15" s="24">
        <v>2</v>
      </c>
      <c r="C15" s="114" t="s">
        <v>498</v>
      </c>
      <c r="D15" s="115"/>
      <c r="E15" s="111"/>
      <c r="F15" s="30"/>
      <c r="G15" s="30"/>
      <c r="H15" s="30"/>
      <c r="I15" s="30"/>
      <c r="J15" s="186">
        <f>IF((F15="Yes"),VLOOKUP(I15,'Existing Assets'!$D$5:$E$113,2,FALSE),0)</f>
        <v>0</v>
      </c>
      <c r="K15" s="404">
        <v>0</v>
      </c>
      <c r="L15" s="404">
        <v>0</v>
      </c>
      <c r="M15" s="403">
        <v>0</v>
      </c>
      <c r="N15" s="403">
        <f t="shared" ref="N15:N22" si="1">K15*M15</f>
        <v>0</v>
      </c>
      <c r="O15" s="87">
        <v>0</v>
      </c>
      <c r="P15" s="185">
        <f>'Project Data Input'!$D$14*'ECM Options Data'!O15</f>
        <v>0</v>
      </c>
      <c r="Q15" s="87">
        <v>0</v>
      </c>
      <c r="R15" s="185">
        <f>Q15*'Project Data Input'!$D$15</f>
        <v>0</v>
      </c>
      <c r="S15" s="87">
        <v>0</v>
      </c>
      <c r="T15" s="185">
        <f>S15*VLOOKUP($S$11, 'Project Data Input'!$C$16:$D$17, 2, FALSE)</f>
        <v>0</v>
      </c>
      <c r="U15" s="87">
        <v>0</v>
      </c>
      <c r="V15" s="185">
        <f>U15*VLOOKUP($U$11, 'Project Data Input'!$C$16:$D$17, 2, FALSE)</f>
        <v>0</v>
      </c>
      <c r="W15" s="84"/>
      <c r="X15" s="26"/>
      <c r="Y15" s="87">
        <v>0</v>
      </c>
      <c r="Z15" s="32">
        <f>Y15*'Project Data Input'!$D$14</f>
        <v>0</v>
      </c>
      <c r="AA15" s="87">
        <v>0</v>
      </c>
      <c r="AB15" s="26"/>
      <c r="AC15" s="25">
        <f>(P15*'Project Data Input'!$F$14)+('ECM Options Data'!R15*'Project Data Input'!$F$15)+('Project Data Input'!$F$16*'ECM Options Data'!T15)+('Project Data Input'!$F$17*'ECM Options Data'!V15)+(Z15*'Project Data Input'!$F$20)+('ECM Options Data'!AB15*'Project Data Input'!$F$21)</f>
        <v>0</v>
      </c>
      <c r="AD15" s="33">
        <f>((P15*'Technology Inputs'!$E$6)+('Technology Inputs'!$E$7*'ECM Options Data'!R15)+('ECM Options Data'!T15*(VLOOKUP('ECM Options Data'!$S$11,'Technology Inputs'!$C$8:$E$15,3,FALSE)))+(V15*(VLOOKUP($U$11,'Technology Inputs'!$C$8:$E$15,3,FALSE))))/1000</f>
        <v>0</v>
      </c>
      <c r="AE15" s="27">
        <f t="shared" ref="AE15:AE22" si="2">IFERROR(N15/AC15, 0)</f>
        <v>0</v>
      </c>
      <c r="AF15" s="31">
        <f>IFERROR(VLOOKUP(E15, 'Technology Inputs'!$D$44:$E$172, 2, FALSE),0)</f>
        <v>0</v>
      </c>
      <c r="AG15" s="32">
        <f t="shared" ref="AG15:AG22" si="3">IF(AD15&gt;0, AD15*AF15, 0)</f>
        <v>0</v>
      </c>
      <c r="AH15" s="32">
        <f t="shared" ref="AH15:AH22" si="4">IFERROR(N15/(AD15*AF15),0)</f>
        <v>0</v>
      </c>
    </row>
    <row r="16" spans="2:34" ht="12" customHeight="1" x14ac:dyDescent="0.25">
      <c r="B16" s="24">
        <v>3</v>
      </c>
      <c r="C16" s="114" t="s">
        <v>498</v>
      </c>
      <c r="D16" s="115"/>
      <c r="E16" s="111"/>
      <c r="F16" s="30"/>
      <c r="G16" s="30"/>
      <c r="H16" s="30"/>
      <c r="I16" s="30"/>
      <c r="J16" s="186">
        <f>IF((F16="Yes"),VLOOKUP(I16,'Existing Assets'!$D$5:$E$113,2,FALSE),0)</f>
        <v>0</v>
      </c>
      <c r="K16" s="404">
        <v>0</v>
      </c>
      <c r="L16" s="404">
        <v>0</v>
      </c>
      <c r="M16" s="403">
        <v>0</v>
      </c>
      <c r="N16" s="403">
        <f t="shared" si="1"/>
        <v>0</v>
      </c>
      <c r="O16" s="87">
        <v>0</v>
      </c>
      <c r="P16" s="185">
        <f>'Project Data Input'!$D$14*'ECM Options Data'!O16</f>
        <v>0</v>
      </c>
      <c r="Q16" s="87">
        <v>0</v>
      </c>
      <c r="R16" s="185">
        <f>Q16*'Project Data Input'!$D$15</f>
        <v>0</v>
      </c>
      <c r="S16" s="87">
        <v>0</v>
      </c>
      <c r="T16" s="185">
        <f>S16*VLOOKUP($S$11, 'Project Data Input'!$C$16:$D$17, 2, FALSE)</f>
        <v>0</v>
      </c>
      <c r="U16" s="87">
        <v>0</v>
      </c>
      <c r="V16" s="185">
        <f>U16*VLOOKUP($U$11, 'Project Data Input'!$C$16:$D$17, 2, FALSE)</f>
        <v>0</v>
      </c>
      <c r="W16" s="84"/>
      <c r="X16" s="26"/>
      <c r="Y16" s="87">
        <v>0</v>
      </c>
      <c r="Z16" s="32">
        <f>Y16*'Project Data Input'!$D$14</f>
        <v>0</v>
      </c>
      <c r="AA16" s="87">
        <v>0</v>
      </c>
      <c r="AB16" s="26"/>
      <c r="AC16" s="25">
        <f>(P16*'Project Data Input'!$F$14)+('ECM Options Data'!R16*'Project Data Input'!$F$15)+('Project Data Input'!$F$16*'ECM Options Data'!T16)+('Project Data Input'!$F$17*'ECM Options Data'!V16)+(Z16*'Project Data Input'!$F$20)+('ECM Options Data'!AB16*'Project Data Input'!$F$21)</f>
        <v>0</v>
      </c>
      <c r="AD16" s="33">
        <f>((P16*'Technology Inputs'!$E$6)+('Technology Inputs'!$E$7*'ECM Options Data'!R16)+('ECM Options Data'!T16*(VLOOKUP('ECM Options Data'!$S$11,'Technology Inputs'!$C$8:$E$15,3,FALSE)))+(V16*(VLOOKUP($U$11,'Technology Inputs'!$C$8:$E$15,3,FALSE))))/1000</f>
        <v>0</v>
      </c>
      <c r="AE16" s="27">
        <f t="shared" si="2"/>
        <v>0</v>
      </c>
      <c r="AF16" s="31">
        <f>IFERROR(VLOOKUP(E16, 'Technology Inputs'!$D$44:$E$172, 2, FALSE),0)</f>
        <v>0</v>
      </c>
      <c r="AG16" s="32">
        <f t="shared" si="3"/>
        <v>0</v>
      </c>
      <c r="AH16" s="32">
        <f t="shared" si="4"/>
        <v>0</v>
      </c>
    </row>
    <row r="17" spans="2:43" ht="12" customHeight="1" x14ac:dyDescent="0.25">
      <c r="B17" s="24">
        <v>4</v>
      </c>
      <c r="C17" s="114" t="s">
        <v>498</v>
      </c>
      <c r="D17" s="115"/>
      <c r="E17" s="111"/>
      <c r="F17" s="30"/>
      <c r="G17" s="30"/>
      <c r="H17" s="30"/>
      <c r="I17" s="30"/>
      <c r="J17" s="186">
        <f>IF((F17="Yes"),VLOOKUP(I17,'Existing Assets'!$D$5:$E$113,2,FALSE),0)</f>
        <v>0</v>
      </c>
      <c r="K17" s="404">
        <v>0</v>
      </c>
      <c r="L17" s="404">
        <v>0</v>
      </c>
      <c r="M17" s="403">
        <v>0</v>
      </c>
      <c r="N17" s="403">
        <f t="shared" si="1"/>
        <v>0</v>
      </c>
      <c r="O17" s="87">
        <v>0</v>
      </c>
      <c r="P17" s="185">
        <f>'Project Data Input'!$D$14*'ECM Options Data'!O17</f>
        <v>0</v>
      </c>
      <c r="Q17" s="87">
        <v>0</v>
      </c>
      <c r="R17" s="185">
        <f>Q17*'Project Data Input'!$D$15</f>
        <v>0</v>
      </c>
      <c r="S17" s="87">
        <v>0</v>
      </c>
      <c r="T17" s="185">
        <f>S17*VLOOKUP($S$11, 'Project Data Input'!$C$16:$D$17, 2, FALSE)</f>
        <v>0</v>
      </c>
      <c r="U17" s="87">
        <v>0</v>
      </c>
      <c r="V17" s="185">
        <f>U17*VLOOKUP($U$11, 'Project Data Input'!$C$16:$D$17, 2, FALSE)</f>
        <v>0</v>
      </c>
      <c r="W17" s="84"/>
      <c r="X17" s="26"/>
      <c r="Y17" s="87">
        <v>0</v>
      </c>
      <c r="Z17" s="32">
        <f>Y17*'Project Data Input'!$D$14</f>
        <v>0</v>
      </c>
      <c r="AA17" s="87">
        <v>0</v>
      </c>
      <c r="AB17" s="26"/>
      <c r="AC17" s="25">
        <f>(P17*'Project Data Input'!$F$14)+('ECM Options Data'!R17*'Project Data Input'!$F$15)+('Project Data Input'!$F$16*'ECM Options Data'!T17)+('Project Data Input'!$F$17*'ECM Options Data'!V17)+(Z17*'Project Data Input'!$F$20)+('ECM Options Data'!AB17*'Project Data Input'!$F$21)</f>
        <v>0</v>
      </c>
      <c r="AD17" s="33">
        <f>((P17*'Technology Inputs'!$E$6)+('Technology Inputs'!$E$7*'ECM Options Data'!R17)+('ECM Options Data'!T17*(VLOOKUP('ECM Options Data'!$S$11,'Technology Inputs'!$C$8:$E$15,3,FALSE)))+(V17*(VLOOKUP($U$11,'Technology Inputs'!$C$8:$E$15,3,FALSE))))/1000</f>
        <v>0</v>
      </c>
      <c r="AE17" s="27">
        <f t="shared" si="2"/>
        <v>0</v>
      </c>
      <c r="AF17" s="31">
        <f>IFERROR(VLOOKUP(E17, 'Technology Inputs'!$D$44:$E$172, 2, FALSE),0)</f>
        <v>0</v>
      </c>
      <c r="AG17" s="32">
        <f t="shared" si="3"/>
        <v>0</v>
      </c>
      <c r="AH17" s="32">
        <f t="shared" si="4"/>
        <v>0</v>
      </c>
    </row>
    <row r="18" spans="2:43" ht="12" customHeight="1" x14ac:dyDescent="0.25">
      <c r="B18" s="24">
        <v>5</v>
      </c>
      <c r="C18" s="114" t="s">
        <v>498</v>
      </c>
      <c r="D18" s="115"/>
      <c r="E18" s="111"/>
      <c r="F18" s="30"/>
      <c r="G18" s="30"/>
      <c r="H18" s="30"/>
      <c r="I18" s="30"/>
      <c r="J18" s="186">
        <f>IF((F18="Yes"),VLOOKUP(I18,'Existing Assets'!$D$5:$E$113,2,FALSE),0)</f>
        <v>0</v>
      </c>
      <c r="K18" s="404">
        <v>0</v>
      </c>
      <c r="L18" s="404">
        <v>0</v>
      </c>
      <c r="M18" s="403">
        <v>0</v>
      </c>
      <c r="N18" s="403">
        <f t="shared" si="1"/>
        <v>0</v>
      </c>
      <c r="O18" s="87">
        <v>0</v>
      </c>
      <c r="P18" s="185">
        <f>'Project Data Input'!$D$14*'ECM Options Data'!O18</f>
        <v>0</v>
      </c>
      <c r="Q18" s="87">
        <v>0</v>
      </c>
      <c r="R18" s="185">
        <f>Q18*'Project Data Input'!$D$15</f>
        <v>0</v>
      </c>
      <c r="S18" s="87">
        <v>0</v>
      </c>
      <c r="T18" s="185">
        <f>S18*VLOOKUP($S$11, 'Project Data Input'!$C$16:$D$17, 2, FALSE)</f>
        <v>0</v>
      </c>
      <c r="U18" s="87">
        <v>0</v>
      </c>
      <c r="V18" s="185">
        <f>U18*VLOOKUP($U$11, 'Project Data Input'!$C$16:$D$17, 2, FALSE)</f>
        <v>0</v>
      </c>
      <c r="W18" s="84"/>
      <c r="X18" s="26"/>
      <c r="Y18" s="87">
        <v>0</v>
      </c>
      <c r="Z18" s="32">
        <f>Y18*'Project Data Input'!$D$14</f>
        <v>0</v>
      </c>
      <c r="AA18" s="87">
        <v>0</v>
      </c>
      <c r="AB18" s="26"/>
      <c r="AC18" s="25">
        <f>(P18*'Project Data Input'!$F$14)+('ECM Options Data'!R18*'Project Data Input'!$F$15)+('Project Data Input'!$F$16*'ECM Options Data'!T18)+('Project Data Input'!$F$17*'ECM Options Data'!V18)+(Z18*'Project Data Input'!$F$20)+('ECM Options Data'!AB18*'Project Data Input'!$F$21)</f>
        <v>0</v>
      </c>
      <c r="AD18" s="33">
        <f>((P18*'Technology Inputs'!$E$6)+('Technology Inputs'!$E$7*'ECM Options Data'!R18)+('ECM Options Data'!T18*(VLOOKUP('ECM Options Data'!$S$11,'Technology Inputs'!$C$8:$E$15,3,FALSE)))+(V18*(VLOOKUP($U$11,'Technology Inputs'!$C$8:$E$15,3,FALSE))))/1000</f>
        <v>0</v>
      </c>
      <c r="AE18" s="27">
        <f t="shared" si="2"/>
        <v>0</v>
      </c>
      <c r="AF18" s="31">
        <f>IFERROR(VLOOKUP(E18, 'Technology Inputs'!$D$44:$E$172, 2, FALSE),0)</f>
        <v>0</v>
      </c>
      <c r="AG18" s="32">
        <f t="shared" si="3"/>
        <v>0</v>
      </c>
      <c r="AH18" s="32">
        <f t="shared" si="4"/>
        <v>0</v>
      </c>
    </row>
    <row r="19" spans="2:43" ht="12" customHeight="1" x14ac:dyDescent="0.25">
      <c r="B19" s="24">
        <v>6</v>
      </c>
      <c r="C19" s="114" t="s">
        <v>498</v>
      </c>
      <c r="D19" s="115"/>
      <c r="E19" s="111"/>
      <c r="F19" s="30"/>
      <c r="G19" s="30"/>
      <c r="H19" s="30"/>
      <c r="I19" s="30"/>
      <c r="J19" s="402">
        <f>IF((F19="Yes"),VLOOKUP(I19,'Existing Assets'!$D$5:$E$113,2,FALSE),0)</f>
        <v>0</v>
      </c>
      <c r="K19" s="404">
        <v>0</v>
      </c>
      <c r="L19" s="404">
        <v>0</v>
      </c>
      <c r="M19" s="403">
        <v>0</v>
      </c>
      <c r="N19" s="403">
        <f t="shared" si="1"/>
        <v>0</v>
      </c>
      <c r="O19" s="87">
        <v>0</v>
      </c>
      <c r="P19" s="185">
        <f>'Project Data Input'!$D$14*'ECM Options Data'!O19</f>
        <v>0</v>
      </c>
      <c r="Q19" s="87">
        <v>0</v>
      </c>
      <c r="R19" s="185">
        <f>Q19*'Project Data Input'!$D$15</f>
        <v>0</v>
      </c>
      <c r="S19" s="87">
        <v>0</v>
      </c>
      <c r="T19" s="185">
        <f>S19*VLOOKUP($S$11, 'Project Data Input'!$C$16:$D$17, 2, FALSE)</f>
        <v>0</v>
      </c>
      <c r="U19" s="87">
        <v>0</v>
      </c>
      <c r="V19" s="185">
        <f>U19*VLOOKUP($U$11, 'Project Data Input'!$C$16:$D$17, 2, FALSE)</f>
        <v>0</v>
      </c>
      <c r="W19" s="84"/>
      <c r="X19" s="26"/>
      <c r="Y19" s="87">
        <v>0</v>
      </c>
      <c r="Z19" s="32">
        <f>Y19*'Project Data Input'!$D$14</f>
        <v>0</v>
      </c>
      <c r="AA19" s="87">
        <v>0</v>
      </c>
      <c r="AB19" s="26"/>
      <c r="AC19" s="25">
        <f>(P19*'Project Data Input'!$F$14)+('ECM Options Data'!R19*'Project Data Input'!$F$15)+('Project Data Input'!$F$16*'ECM Options Data'!T19)+('Project Data Input'!$F$17*'ECM Options Data'!V19)+(Z19*'Project Data Input'!$F$20)+('ECM Options Data'!AB19*'Project Data Input'!$F$21)</f>
        <v>0</v>
      </c>
      <c r="AD19" s="33">
        <f>((P19*'Technology Inputs'!$E$6)+('Technology Inputs'!$E$7*'ECM Options Data'!R19)+('ECM Options Data'!T19*(VLOOKUP('ECM Options Data'!$S$11,'Technology Inputs'!$C$8:$E$15,3,FALSE)))+(V19*(VLOOKUP($U$11,'Technology Inputs'!$C$8:$E$15,3,FALSE))))/1000</f>
        <v>0</v>
      </c>
      <c r="AE19" s="27">
        <f t="shared" si="2"/>
        <v>0</v>
      </c>
      <c r="AF19" s="31">
        <f>IFERROR(VLOOKUP(E19, 'Technology Inputs'!$D$44:$E$172, 2, FALSE),0)</f>
        <v>0</v>
      </c>
      <c r="AG19" s="32">
        <f>IF(AD19&gt;0, AD19*AF19, 0)</f>
        <v>0</v>
      </c>
      <c r="AH19" s="32">
        <f t="shared" si="4"/>
        <v>0</v>
      </c>
    </row>
    <row r="20" spans="2:43" ht="12" customHeight="1" x14ac:dyDescent="0.25">
      <c r="B20" s="24">
        <v>7</v>
      </c>
      <c r="C20" s="114" t="s">
        <v>498</v>
      </c>
      <c r="D20" s="115"/>
      <c r="E20" s="111"/>
      <c r="F20" s="30"/>
      <c r="G20" s="30"/>
      <c r="H20" s="30"/>
      <c r="I20" s="30"/>
      <c r="J20" s="186">
        <f>IF((F20="Yes"),VLOOKUP(I20,'Existing Assets'!$D$5:$E$113,2,FALSE),0)</f>
        <v>0</v>
      </c>
      <c r="K20" s="404">
        <v>0</v>
      </c>
      <c r="L20" s="404">
        <v>0</v>
      </c>
      <c r="M20" s="403">
        <v>0</v>
      </c>
      <c r="N20" s="403">
        <f t="shared" si="1"/>
        <v>0</v>
      </c>
      <c r="O20" s="87">
        <v>0</v>
      </c>
      <c r="P20" s="185">
        <f>'Project Data Input'!$D$14*'ECM Options Data'!O20</f>
        <v>0</v>
      </c>
      <c r="Q20" s="87">
        <v>0</v>
      </c>
      <c r="R20" s="185">
        <f>Q20*'Project Data Input'!$D$15</f>
        <v>0</v>
      </c>
      <c r="S20" s="87">
        <v>0</v>
      </c>
      <c r="T20" s="185">
        <f>S20*VLOOKUP($S$11, 'Project Data Input'!$C$16:$D$17, 2, FALSE)</f>
        <v>0</v>
      </c>
      <c r="U20" s="87">
        <v>0</v>
      </c>
      <c r="V20" s="185">
        <f>U20*VLOOKUP($U$11, 'Project Data Input'!$C$16:$D$17, 2, FALSE)</f>
        <v>0</v>
      </c>
      <c r="W20" s="84"/>
      <c r="X20" s="26"/>
      <c r="Y20" s="87">
        <v>0</v>
      </c>
      <c r="Z20" s="32">
        <f>Y20*'Project Data Input'!$D$14</f>
        <v>0</v>
      </c>
      <c r="AA20" s="87">
        <v>0</v>
      </c>
      <c r="AB20" s="26"/>
      <c r="AC20" s="25">
        <f>(P20*'Project Data Input'!$F$14)+('ECM Options Data'!R20*'Project Data Input'!$F$15)+('Project Data Input'!$F$16*'ECM Options Data'!T20)+('Project Data Input'!$F$17*'ECM Options Data'!V20)+(Z20*'Project Data Input'!$F$20)+('ECM Options Data'!AB20*'Project Data Input'!$F$21)</f>
        <v>0</v>
      </c>
      <c r="AD20" s="33">
        <f>((P20*'Technology Inputs'!$E$6)+('Technology Inputs'!$E$7*'ECM Options Data'!R20)+('ECM Options Data'!T20*(VLOOKUP('ECM Options Data'!$S$11,'Technology Inputs'!$C$8:$E$15,3,FALSE)))+(V20*(VLOOKUP($U$11,'Technology Inputs'!$C$8:$E$15,3,FALSE))))/1000</f>
        <v>0</v>
      </c>
      <c r="AE20" s="27">
        <f t="shared" si="2"/>
        <v>0</v>
      </c>
      <c r="AF20" s="31">
        <f>IFERROR(VLOOKUP(E20, 'Technology Inputs'!$D$44:$E$172, 2, FALSE),0)</f>
        <v>0</v>
      </c>
      <c r="AG20" s="32">
        <f t="shared" si="3"/>
        <v>0</v>
      </c>
      <c r="AH20" s="32">
        <f t="shared" si="4"/>
        <v>0</v>
      </c>
    </row>
    <row r="21" spans="2:43" ht="12" customHeight="1" x14ac:dyDescent="0.25">
      <c r="B21" s="24">
        <v>8</v>
      </c>
      <c r="C21" s="114" t="s">
        <v>498</v>
      </c>
      <c r="D21" s="115"/>
      <c r="E21" s="111"/>
      <c r="F21" s="30"/>
      <c r="G21" s="30"/>
      <c r="H21" s="30"/>
      <c r="I21" s="30"/>
      <c r="J21" s="186">
        <f>IF((F21="Yes"),VLOOKUP(I21,'Existing Assets'!$D$5:$E$113,2,FALSE),0)</f>
        <v>0</v>
      </c>
      <c r="K21" s="404">
        <v>0</v>
      </c>
      <c r="L21" s="404">
        <v>0</v>
      </c>
      <c r="M21" s="403">
        <v>0</v>
      </c>
      <c r="N21" s="403">
        <f t="shared" si="1"/>
        <v>0</v>
      </c>
      <c r="O21" s="87">
        <v>0</v>
      </c>
      <c r="P21" s="185">
        <f>'Project Data Input'!$D$14*'ECM Options Data'!O21</f>
        <v>0</v>
      </c>
      <c r="Q21" s="87">
        <v>0</v>
      </c>
      <c r="R21" s="185">
        <f>Q21*'Project Data Input'!$D$15</f>
        <v>0</v>
      </c>
      <c r="S21" s="87">
        <v>0</v>
      </c>
      <c r="T21" s="185">
        <f>S21*VLOOKUP($S$11, 'Project Data Input'!$C$16:$D$17, 2, FALSE)</f>
        <v>0</v>
      </c>
      <c r="U21" s="87">
        <v>0</v>
      </c>
      <c r="V21" s="185">
        <f>U21*VLOOKUP($U$11, 'Project Data Input'!$C$16:$D$17, 2, FALSE)</f>
        <v>0</v>
      </c>
      <c r="W21" s="84"/>
      <c r="X21" s="26"/>
      <c r="Y21" s="87">
        <v>0</v>
      </c>
      <c r="Z21" s="32">
        <f>Y21*'Project Data Input'!$D$14</f>
        <v>0</v>
      </c>
      <c r="AA21" s="87">
        <v>0</v>
      </c>
      <c r="AB21" s="26"/>
      <c r="AC21" s="25">
        <f>(P21*'Project Data Input'!$F$14)+('ECM Options Data'!R21*'Project Data Input'!$F$15)+('Project Data Input'!$F$16*'ECM Options Data'!T21)+('Project Data Input'!$F$17*'ECM Options Data'!V21)+(Z21*'Project Data Input'!$F$20)+('ECM Options Data'!AB21*'Project Data Input'!$F$21)</f>
        <v>0</v>
      </c>
      <c r="AD21" s="33">
        <f>((P21*'Technology Inputs'!$E$6)+('Technology Inputs'!$E$7*'ECM Options Data'!R21)+('ECM Options Data'!T21*(VLOOKUP('ECM Options Data'!$S$11,'Technology Inputs'!$C$8:$E$15,3,FALSE)))+(V21*(VLOOKUP($U$11,'Technology Inputs'!$C$8:$E$15,3,FALSE))))/1000</f>
        <v>0</v>
      </c>
      <c r="AE21" s="27">
        <f t="shared" si="2"/>
        <v>0</v>
      </c>
      <c r="AF21" s="31">
        <f>IFERROR(VLOOKUP(E21, 'Technology Inputs'!$D$44:$E$172, 2, FALSE),0)</f>
        <v>0</v>
      </c>
      <c r="AG21" s="32">
        <f t="shared" si="3"/>
        <v>0</v>
      </c>
      <c r="AH21" s="32">
        <f t="shared" si="4"/>
        <v>0</v>
      </c>
    </row>
    <row r="22" spans="2:43" ht="12" customHeight="1" x14ac:dyDescent="0.25">
      <c r="B22" s="24">
        <v>9</v>
      </c>
      <c r="C22" s="114" t="s">
        <v>498</v>
      </c>
      <c r="D22" s="115"/>
      <c r="E22" s="111"/>
      <c r="F22" s="30"/>
      <c r="G22" s="30"/>
      <c r="H22" s="30"/>
      <c r="I22" s="30"/>
      <c r="J22" s="186">
        <f>IF((F22="Yes"),VLOOKUP(I22,'Existing Assets'!$D$5:$E$113,2,FALSE),0)</f>
        <v>0</v>
      </c>
      <c r="K22" s="404">
        <v>0</v>
      </c>
      <c r="L22" s="404">
        <v>0</v>
      </c>
      <c r="M22" s="403">
        <v>0</v>
      </c>
      <c r="N22" s="403">
        <f t="shared" si="1"/>
        <v>0</v>
      </c>
      <c r="O22" s="87">
        <v>0</v>
      </c>
      <c r="P22" s="185">
        <f>'Project Data Input'!$D$14*'ECM Options Data'!O22</f>
        <v>0</v>
      </c>
      <c r="Q22" s="87">
        <v>0</v>
      </c>
      <c r="R22" s="185">
        <f>Q22*'Project Data Input'!$D$15</f>
        <v>0</v>
      </c>
      <c r="S22" s="87">
        <v>0</v>
      </c>
      <c r="T22" s="185">
        <f>S22*VLOOKUP($S$11, 'Project Data Input'!$C$16:$D$17, 2, FALSE)</f>
        <v>0</v>
      </c>
      <c r="U22" s="87">
        <v>0</v>
      </c>
      <c r="V22" s="185">
        <f>U22*VLOOKUP($U$11, 'Project Data Input'!$C$16:$D$17, 2, FALSE)</f>
        <v>0</v>
      </c>
      <c r="W22" s="84"/>
      <c r="X22" s="26"/>
      <c r="Y22" s="87">
        <v>0</v>
      </c>
      <c r="Z22" s="32">
        <f>Y22*'Project Data Input'!$D$14</f>
        <v>0</v>
      </c>
      <c r="AA22" s="87">
        <v>0</v>
      </c>
      <c r="AB22" s="26"/>
      <c r="AC22" s="25">
        <f>(P22*'Project Data Input'!$F$14)+('ECM Options Data'!R22*'Project Data Input'!$F$15)+('Project Data Input'!$F$16*'ECM Options Data'!T22)+('Project Data Input'!$F$17*'ECM Options Data'!V22)+(Z22*'Project Data Input'!$F$20)+('ECM Options Data'!AB22*'Project Data Input'!$F$21)</f>
        <v>0</v>
      </c>
      <c r="AD22" s="33">
        <f>((P22*'Technology Inputs'!$E$6)+('Technology Inputs'!$E$7*'ECM Options Data'!R22)+('ECM Options Data'!T22*(VLOOKUP('ECM Options Data'!$S$11,'Technology Inputs'!$C$8:$E$15,3,FALSE)))+(V22*(VLOOKUP($U$11,'Technology Inputs'!$C$8:$E$15,3,FALSE))))/1000</f>
        <v>0</v>
      </c>
      <c r="AE22" s="27">
        <f t="shared" si="2"/>
        <v>0</v>
      </c>
      <c r="AF22" s="31">
        <f>IFERROR(VLOOKUP(E22, 'Technology Inputs'!$D$44:$E$172, 2, FALSE),0)</f>
        <v>0</v>
      </c>
      <c r="AG22" s="32">
        <f t="shared" si="3"/>
        <v>0</v>
      </c>
      <c r="AH22" s="32">
        <f t="shared" si="4"/>
        <v>0</v>
      </c>
    </row>
    <row r="23" spans="2:43" ht="12" customHeight="1" x14ac:dyDescent="0.25">
      <c r="B23" s="141" t="s">
        <v>63</v>
      </c>
      <c r="C23" s="145"/>
      <c r="D23" s="146"/>
      <c r="E23" s="146"/>
      <c r="F23" s="147"/>
      <c r="G23" s="147"/>
      <c r="H23" s="147"/>
      <c r="I23" s="147"/>
      <c r="J23" s="147"/>
      <c r="K23" s="148"/>
      <c r="L23" s="148"/>
      <c r="M23" s="148"/>
      <c r="N23" s="149">
        <f>SUM(N14:N22)</f>
        <v>0</v>
      </c>
      <c r="O23" s="150"/>
      <c r="P23" s="149">
        <f>IF(SUM(P14:P22)&gt;'Project Data Input'!D14, 'Project Data Input'!D14, SUM('ECM Options Data'!P14:P22))</f>
        <v>0</v>
      </c>
      <c r="Q23" s="151"/>
      <c r="R23" s="149">
        <f>IF(SUM(R14:R22)&gt;'Project Data Input'!D15,'Project Data Input'!D15,SUM('ECM Options Data'!R14:R22))</f>
        <v>0</v>
      </c>
      <c r="S23" s="151"/>
      <c r="T23" s="149">
        <f>IF(SUM(T14:T22)&gt;'Project Data Input'!D16,'Project Data Input'!D16,SUM('ECM Options Data'!T14:T22))</f>
        <v>0</v>
      </c>
      <c r="U23" s="150"/>
      <c r="V23" s="149">
        <f>IF(SUM(V14:V22)&gt;'Project Data Input'!D17,'Project Data Input'!D17,SUM('ECM Options Data'!V14:V22))</f>
        <v>0</v>
      </c>
      <c r="W23" s="150"/>
      <c r="X23" s="151"/>
      <c r="Y23" s="151"/>
      <c r="Z23" s="151"/>
      <c r="AA23" s="151"/>
      <c r="AB23" s="151"/>
      <c r="AC23" s="149">
        <f>SUM(AC14:AC22)</f>
        <v>0</v>
      </c>
      <c r="AD23" s="149">
        <f>SUM(AD14:AD22)</f>
        <v>0</v>
      </c>
      <c r="AE23" s="149">
        <f>IFERROR(N23/AC23, 0)</f>
        <v>0</v>
      </c>
      <c r="AF23" s="149"/>
      <c r="AG23" s="149">
        <f>SUM(AG14:AG22)</f>
        <v>0</v>
      </c>
      <c r="AH23" s="149">
        <f>IFERROR(N23/AG23,0)</f>
        <v>0</v>
      </c>
    </row>
    <row r="24" spans="2:43" x14ac:dyDescent="0.25">
      <c r="B24" s="1"/>
      <c r="C24" s="113"/>
      <c r="D24" s="1"/>
      <c r="E24" s="1"/>
      <c r="F24" s="29"/>
      <c r="G24" s="29"/>
      <c r="H24" s="29"/>
      <c r="I24" s="29"/>
      <c r="J24" s="29"/>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x14ac:dyDescent="0.25">
      <c r="D25" s="134"/>
      <c r="E25" s="134"/>
      <c r="F25" s="135"/>
    </row>
  </sheetData>
  <sheetProtection algorithmName="SHA-512" hashValue="ha6awn2pPaN/C56fWAFrT2m5u8+nEn6pfbMsBUswYih9UubQX+t+veWq8aGacPz6j31xd7+I8uKIQhO+myg8Rg==" saltValue="PX1Q3ZrByrWJocHXv+Dm6Q==" spinCount="100000" sheet="1" formatCells="0" formatColumns="0" formatRows="0" insertColumns="0" insertRows="0" insertHyperlinks="0" deleteColumns="0" deleteRows="0" autoFilter="0" pivotTables="0"/>
  <protectedRanges>
    <protectedRange sqref="C14:V22" name="Range1"/>
  </protectedRanges>
  <mergeCells count="25">
    <mergeCell ref="Y11:AB11"/>
    <mergeCell ref="AC11:AH11"/>
    <mergeCell ref="Q12:R12"/>
    <mergeCell ref="W12:X12"/>
    <mergeCell ref="Y12:Z12"/>
    <mergeCell ref="AC12:AD12"/>
    <mergeCell ref="AH12:AH13"/>
    <mergeCell ref="S12:T12"/>
    <mergeCell ref="U12:V12"/>
    <mergeCell ref="B4:H4"/>
    <mergeCell ref="C12:C13"/>
    <mergeCell ref="AA12:AB12"/>
    <mergeCell ref="F10:J11"/>
    <mergeCell ref="K10:N11"/>
    <mergeCell ref="B10:E11"/>
    <mergeCell ref="B12:B13"/>
    <mergeCell ref="D12:D13"/>
    <mergeCell ref="E12:E13"/>
    <mergeCell ref="O12:P12"/>
    <mergeCell ref="O10:AH10"/>
    <mergeCell ref="O11:P11"/>
    <mergeCell ref="Q11:R11"/>
    <mergeCell ref="S11:T11"/>
    <mergeCell ref="U11:V11"/>
    <mergeCell ref="W11:X11"/>
  </mergeCells>
  <dataValidations count="2">
    <dataValidation type="list" allowBlank="1" showInputMessage="1" showErrorMessage="1" sqref="E14:E22 H14:I22" xr:uid="{9B43EF3B-AF7F-46AF-9758-A4DA33002A67}">
      <formula1>INDIRECT(D14)</formula1>
    </dataValidation>
    <dataValidation type="list" allowBlank="1" showInputMessage="1" showErrorMessage="1" sqref="D14:D22" xr:uid="{F90089E5-9CD4-42A5-BAE9-C0DB6A84FED1}">
      <formula1>Category</formula1>
    </dataValidation>
  </dataValidations>
  <printOptions horizontalCentered="1"/>
  <pageMargins left="0.31496062992125984" right="0.31496062992125984" top="0.35433070866141736" bottom="0.74803149606299213" header="0.31496062992125984" footer="0.31496062992125984"/>
  <pageSetup paperSize="9"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37587EF-068F-4546-8962-D4304E6878AF}">
          <x14:formula1>
            <xm:f>Data!$B$4:$B$5</xm:f>
          </x14:formula1>
          <xm:sqref>F14:F22</xm:sqref>
        </x14:dataValidation>
        <x14:dataValidation type="list" allowBlank="1" showInputMessage="1" showErrorMessage="1" xr:uid="{7252B0FB-FB7C-4792-90E1-062870E46E2B}">
          <x14:formula1>
            <xm:f>Data!$C$4:$C$8</xm:f>
          </x14:formula1>
          <xm:sqref>G14:G22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57D7-2C35-4A0E-BEA0-059037ABCA58}">
  <sheetPr>
    <tabColor rgb="FF92D050"/>
    <pageSetUpPr fitToPage="1"/>
  </sheetPr>
  <dimension ref="B2:AT41"/>
  <sheetViews>
    <sheetView zoomScale="120" zoomScaleNormal="120" workbookViewId="0">
      <pane xSplit="5" ySplit="11" topLeftCell="F18" activePane="bottomRight" state="frozen"/>
      <selection activeCell="O13" sqref="O13"/>
      <selection pane="topRight" activeCell="O13" sqref="O13"/>
      <selection pane="bottomLeft" activeCell="O13" sqref="O13"/>
      <selection pane="bottomRight" activeCell="R36" activeCellId="5" sqref="Q21 R24:R25 R27:R28 R30:R31 R33:R34 R36:R37"/>
    </sheetView>
  </sheetViews>
  <sheetFormatPr defaultColWidth="9.140625" defaultRowHeight="12" x14ac:dyDescent="0.2"/>
  <cols>
    <col min="1" max="1" width="3.42578125" style="4" customWidth="1"/>
    <col min="2" max="2" width="9.140625" style="4"/>
    <col min="3" max="3" width="10.85546875" style="4" customWidth="1"/>
    <col min="4" max="4" width="24.140625" style="4" customWidth="1"/>
    <col min="5" max="5" width="38.42578125" style="4" bestFit="1" customWidth="1"/>
    <col min="6" max="6" width="10.140625" style="100" hidden="1" customWidth="1"/>
    <col min="7" max="7" width="10.140625" style="100" customWidth="1"/>
    <col min="8" max="8" width="28.140625" style="4" customWidth="1"/>
    <col min="9" max="9" width="12.140625" style="106" customWidth="1"/>
    <col min="10" max="10" width="13.28515625" style="106" customWidth="1"/>
    <col min="11" max="11" width="9.85546875" style="4" hidden="1" customWidth="1"/>
    <col min="12" max="12" width="9.42578125" style="4" hidden="1" customWidth="1"/>
    <col min="13" max="13" width="11" style="4" hidden="1" customWidth="1"/>
    <col min="14" max="14" width="8.85546875" style="4" customWidth="1"/>
    <col min="15" max="16" width="11.85546875" style="4" hidden="1" customWidth="1"/>
    <col min="17" max="17" width="11.85546875" style="4" customWidth="1"/>
    <col min="18" max="18" width="12.85546875" style="4" customWidth="1"/>
    <col min="19" max="19" width="12.85546875" style="4" hidden="1" customWidth="1"/>
    <col min="20" max="20" width="15.42578125" style="102" customWidth="1"/>
    <col min="21" max="21" width="11.85546875" style="4" customWidth="1"/>
    <col min="22" max="22" width="11" style="4" bestFit="1" customWidth="1"/>
    <col min="23" max="23" width="10" style="4" bestFit="1" customWidth="1"/>
    <col min="24" max="24" width="9.5703125" style="4" bestFit="1" customWidth="1"/>
    <col min="25" max="26" width="10" style="4" bestFit="1" customWidth="1"/>
    <col min="27" max="27" width="10.5703125" style="4" bestFit="1" customWidth="1"/>
    <col min="28" max="28" width="10" style="4" bestFit="1" customWidth="1"/>
    <col min="29" max="29" width="9.140625" style="4"/>
    <col min="30" max="30" width="12.85546875" style="4" customWidth="1"/>
    <col min="31" max="31" width="9.140625" style="4"/>
    <col min="32" max="32" width="10" style="4" bestFit="1" customWidth="1"/>
    <col min="33" max="33" width="9.5703125" style="4" bestFit="1" customWidth="1"/>
    <col min="34" max="35" width="10.5703125" style="4" bestFit="1" customWidth="1"/>
    <col min="36" max="36" width="10" style="4" bestFit="1" customWidth="1"/>
    <col min="37" max="37" width="10.5703125" style="4" customWidth="1"/>
    <col min="38" max="39" width="10" style="4" bestFit="1" customWidth="1"/>
    <col min="40" max="40" width="12.7109375" style="4" customWidth="1"/>
    <col min="41" max="41" width="10.42578125" style="4" bestFit="1" customWidth="1"/>
    <col min="42" max="42" width="9.140625" style="4"/>
    <col min="43" max="43" width="9.5703125" style="4" bestFit="1" customWidth="1"/>
    <col min="44" max="44" width="10.42578125" style="4" bestFit="1" customWidth="1"/>
    <col min="45" max="45" width="10" style="4" bestFit="1" customWidth="1"/>
    <col min="46" max="46" width="12.42578125" style="4" bestFit="1" customWidth="1"/>
    <col min="47" max="263" width="9.140625" style="4"/>
    <col min="264" max="264" width="16.5703125" style="4" bestFit="1" customWidth="1"/>
    <col min="265" max="265" width="38.42578125" style="4" bestFit="1" customWidth="1"/>
    <col min="266" max="266" width="0" style="4" hidden="1" customWidth="1"/>
    <col min="267" max="267" width="36.5703125" style="4" customWidth="1"/>
    <col min="268" max="268" width="12.140625" style="4" customWidth="1"/>
    <col min="269" max="269" width="7.5703125" style="4" bestFit="1" customWidth="1"/>
    <col min="270" max="270" width="4.42578125" style="4" bestFit="1" customWidth="1"/>
    <col min="271" max="271" width="9.85546875" style="4" bestFit="1" customWidth="1"/>
    <col min="272" max="272" width="9.42578125" style="4" bestFit="1" customWidth="1"/>
    <col min="273" max="273" width="8.85546875" style="4" customWidth="1"/>
    <col min="274" max="274" width="9.140625" style="4"/>
    <col min="275" max="275" width="12.85546875" style="4" customWidth="1"/>
    <col min="276" max="276" width="9.140625" style="4"/>
    <col min="277" max="277" width="11.85546875" style="4" customWidth="1"/>
    <col min="278" max="278" width="11" style="4" bestFit="1" customWidth="1"/>
    <col min="279" max="279" width="10" style="4" bestFit="1" customWidth="1"/>
    <col min="280" max="280" width="9.5703125" style="4" bestFit="1" customWidth="1"/>
    <col min="281" max="282" width="10" style="4" bestFit="1" customWidth="1"/>
    <col min="283" max="283" width="10.5703125" style="4" bestFit="1" customWidth="1"/>
    <col min="284" max="284" width="10" style="4" bestFit="1" customWidth="1"/>
    <col min="285" max="285" width="9.140625" style="4"/>
    <col min="286" max="286" width="11" style="4" bestFit="1" customWidth="1"/>
    <col min="287" max="287" width="9.140625" style="4"/>
    <col min="288" max="288" width="10" style="4" bestFit="1" customWidth="1"/>
    <col min="289" max="289" width="9.5703125" style="4" bestFit="1" customWidth="1"/>
    <col min="290" max="291" width="10.5703125" style="4" bestFit="1" customWidth="1"/>
    <col min="292" max="292" width="10" style="4" bestFit="1" customWidth="1"/>
    <col min="293" max="293" width="9.140625" style="4"/>
    <col min="294" max="295" width="10" style="4" bestFit="1" customWidth="1"/>
    <col min="296" max="296" width="10.5703125" style="4" bestFit="1" customWidth="1"/>
    <col min="297" max="297" width="10.42578125" style="4" bestFit="1" customWidth="1"/>
    <col min="298" max="298" width="9.140625" style="4"/>
    <col min="299" max="299" width="9.5703125" style="4" bestFit="1" customWidth="1"/>
    <col min="300" max="300" width="10.42578125" style="4" bestFit="1" customWidth="1"/>
    <col min="301" max="301" width="10" style="4" bestFit="1" customWidth="1"/>
    <col min="302" max="302" width="12.42578125" style="4" bestFit="1" customWidth="1"/>
    <col min="303" max="519" width="9.140625" style="4"/>
    <col min="520" max="520" width="16.5703125" style="4" bestFit="1" customWidth="1"/>
    <col min="521" max="521" width="38.42578125" style="4" bestFit="1" customWidth="1"/>
    <col min="522" max="522" width="0" style="4" hidden="1" customWidth="1"/>
    <col min="523" max="523" width="36.5703125" style="4" customWidth="1"/>
    <col min="524" max="524" width="12.140625" style="4" customWidth="1"/>
    <col min="525" max="525" width="7.5703125" style="4" bestFit="1" customWidth="1"/>
    <col min="526" max="526" width="4.42578125" style="4" bestFit="1" customWidth="1"/>
    <col min="527" max="527" width="9.85546875" style="4" bestFit="1" customWidth="1"/>
    <col min="528" max="528" width="9.42578125" style="4" bestFit="1" customWidth="1"/>
    <col min="529" max="529" width="8.85546875" style="4" customWidth="1"/>
    <col min="530" max="530" width="9.140625" style="4"/>
    <col min="531" max="531" width="12.85546875" style="4" customWidth="1"/>
    <col min="532" max="532" width="9.140625" style="4"/>
    <col min="533" max="533" width="11.85546875" style="4" customWidth="1"/>
    <col min="534" max="534" width="11" style="4" bestFit="1" customWidth="1"/>
    <col min="535" max="535" width="10" style="4" bestFit="1" customWidth="1"/>
    <col min="536" max="536" width="9.5703125" style="4" bestFit="1" customWidth="1"/>
    <col min="537" max="538" width="10" style="4" bestFit="1" customWidth="1"/>
    <col min="539" max="539" width="10.5703125" style="4" bestFit="1" customWidth="1"/>
    <col min="540" max="540" width="10" style="4" bestFit="1" customWidth="1"/>
    <col min="541" max="541" width="9.140625" style="4"/>
    <col min="542" max="542" width="11" style="4" bestFit="1" customWidth="1"/>
    <col min="543" max="543" width="9.140625" style="4"/>
    <col min="544" max="544" width="10" style="4" bestFit="1" customWidth="1"/>
    <col min="545" max="545" width="9.5703125" style="4" bestFit="1" customWidth="1"/>
    <col min="546" max="547" width="10.5703125" style="4" bestFit="1" customWidth="1"/>
    <col min="548" max="548" width="10" style="4" bestFit="1" customWidth="1"/>
    <col min="549" max="549" width="9.140625" style="4"/>
    <col min="550" max="551" width="10" style="4" bestFit="1" customWidth="1"/>
    <col min="552" max="552" width="10.5703125" style="4" bestFit="1" customWidth="1"/>
    <col min="553" max="553" width="10.42578125" style="4" bestFit="1" customWidth="1"/>
    <col min="554" max="554" width="9.140625" style="4"/>
    <col min="555" max="555" width="9.5703125" style="4" bestFit="1" customWidth="1"/>
    <col min="556" max="556" width="10.42578125" style="4" bestFit="1" customWidth="1"/>
    <col min="557" max="557" width="10" style="4" bestFit="1" customWidth="1"/>
    <col min="558" max="558" width="12.42578125" style="4" bestFit="1" customWidth="1"/>
    <col min="559" max="775" width="9.140625" style="4"/>
    <col min="776" max="776" width="16.5703125" style="4" bestFit="1" customWidth="1"/>
    <col min="777" max="777" width="38.42578125" style="4" bestFit="1" customWidth="1"/>
    <col min="778" max="778" width="0" style="4" hidden="1" customWidth="1"/>
    <col min="779" max="779" width="36.5703125" style="4" customWidth="1"/>
    <col min="780" max="780" width="12.140625" style="4" customWidth="1"/>
    <col min="781" max="781" width="7.5703125" style="4" bestFit="1" customWidth="1"/>
    <col min="782" max="782" width="4.42578125" style="4" bestFit="1" customWidth="1"/>
    <col min="783" max="783" width="9.85546875" style="4" bestFit="1" customWidth="1"/>
    <col min="784" max="784" width="9.42578125" style="4" bestFit="1" customWidth="1"/>
    <col min="785" max="785" width="8.85546875" style="4" customWidth="1"/>
    <col min="786" max="786" width="9.140625" style="4"/>
    <col min="787" max="787" width="12.85546875" style="4" customWidth="1"/>
    <col min="788" max="788" width="9.140625" style="4"/>
    <col min="789" max="789" width="11.85546875" style="4" customWidth="1"/>
    <col min="790" max="790" width="11" style="4" bestFit="1" customWidth="1"/>
    <col min="791" max="791" width="10" style="4" bestFit="1" customWidth="1"/>
    <col min="792" max="792" width="9.5703125" style="4" bestFit="1" customWidth="1"/>
    <col min="793" max="794" width="10" style="4" bestFit="1" customWidth="1"/>
    <col min="795" max="795" width="10.5703125" style="4" bestFit="1" customWidth="1"/>
    <col min="796" max="796" width="10" style="4" bestFit="1" customWidth="1"/>
    <col min="797" max="797" width="9.140625" style="4"/>
    <col min="798" max="798" width="11" style="4" bestFit="1" customWidth="1"/>
    <col min="799" max="799" width="9.140625" style="4"/>
    <col min="800" max="800" width="10" style="4" bestFit="1" customWidth="1"/>
    <col min="801" max="801" width="9.5703125" style="4" bestFit="1" customWidth="1"/>
    <col min="802" max="803" width="10.5703125" style="4" bestFit="1" customWidth="1"/>
    <col min="804" max="804" width="10" style="4" bestFit="1" customWidth="1"/>
    <col min="805" max="805" width="9.140625" style="4"/>
    <col min="806" max="807" width="10" style="4" bestFit="1" customWidth="1"/>
    <col min="808" max="808" width="10.5703125" style="4" bestFit="1" customWidth="1"/>
    <col min="809" max="809" width="10.42578125" style="4" bestFit="1" customWidth="1"/>
    <col min="810" max="810" width="9.140625" style="4"/>
    <col min="811" max="811" width="9.5703125" style="4" bestFit="1" customWidth="1"/>
    <col min="812" max="812" width="10.42578125" style="4" bestFit="1" customWidth="1"/>
    <col min="813" max="813" width="10" style="4" bestFit="1" customWidth="1"/>
    <col min="814" max="814" width="12.42578125" style="4" bestFit="1" customWidth="1"/>
    <col min="815" max="1031" width="9.140625" style="4"/>
    <col min="1032" max="1032" width="16.5703125" style="4" bestFit="1" customWidth="1"/>
    <col min="1033" max="1033" width="38.42578125" style="4" bestFit="1" customWidth="1"/>
    <col min="1034" max="1034" width="0" style="4" hidden="1" customWidth="1"/>
    <col min="1035" max="1035" width="36.5703125" style="4" customWidth="1"/>
    <col min="1036" max="1036" width="12.140625" style="4" customWidth="1"/>
    <col min="1037" max="1037" width="7.5703125" style="4" bestFit="1" customWidth="1"/>
    <col min="1038" max="1038" width="4.42578125" style="4" bestFit="1" customWidth="1"/>
    <col min="1039" max="1039" width="9.85546875" style="4" bestFit="1" customWidth="1"/>
    <col min="1040" max="1040" width="9.42578125" style="4" bestFit="1" customWidth="1"/>
    <col min="1041" max="1041" width="8.85546875" style="4" customWidth="1"/>
    <col min="1042" max="1042" width="9.140625" style="4"/>
    <col min="1043" max="1043" width="12.85546875" style="4" customWidth="1"/>
    <col min="1044" max="1044" width="9.140625" style="4"/>
    <col min="1045" max="1045" width="11.85546875" style="4" customWidth="1"/>
    <col min="1046" max="1046" width="11" style="4" bestFit="1" customWidth="1"/>
    <col min="1047" max="1047" width="10" style="4" bestFit="1" customWidth="1"/>
    <col min="1048" max="1048" width="9.5703125" style="4" bestFit="1" customWidth="1"/>
    <col min="1049" max="1050" width="10" style="4" bestFit="1" customWidth="1"/>
    <col min="1051" max="1051" width="10.5703125" style="4" bestFit="1" customWidth="1"/>
    <col min="1052" max="1052" width="10" style="4" bestFit="1" customWidth="1"/>
    <col min="1053" max="1053" width="9.140625" style="4"/>
    <col min="1054" max="1054" width="11" style="4" bestFit="1" customWidth="1"/>
    <col min="1055" max="1055" width="9.140625" style="4"/>
    <col min="1056" max="1056" width="10" style="4" bestFit="1" customWidth="1"/>
    <col min="1057" max="1057" width="9.5703125" style="4" bestFit="1" customWidth="1"/>
    <col min="1058" max="1059" width="10.5703125" style="4" bestFit="1" customWidth="1"/>
    <col min="1060" max="1060" width="10" style="4" bestFit="1" customWidth="1"/>
    <col min="1061" max="1061" width="9.140625" style="4"/>
    <col min="1062" max="1063" width="10" style="4" bestFit="1" customWidth="1"/>
    <col min="1064" max="1064" width="10.5703125" style="4" bestFit="1" customWidth="1"/>
    <col min="1065" max="1065" width="10.42578125" style="4" bestFit="1" customWidth="1"/>
    <col min="1066" max="1066" width="9.140625" style="4"/>
    <col min="1067" max="1067" width="9.5703125" style="4" bestFit="1" customWidth="1"/>
    <col min="1068" max="1068" width="10.42578125" style="4" bestFit="1" customWidth="1"/>
    <col min="1069" max="1069" width="10" style="4" bestFit="1" customWidth="1"/>
    <col min="1070" max="1070" width="12.42578125" style="4" bestFit="1" customWidth="1"/>
    <col min="1071" max="1287" width="9.140625" style="4"/>
    <col min="1288" max="1288" width="16.5703125" style="4" bestFit="1" customWidth="1"/>
    <col min="1289" max="1289" width="38.42578125" style="4" bestFit="1" customWidth="1"/>
    <col min="1290" max="1290" width="0" style="4" hidden="1" customWidth="1"/>
    <col min="1291" max="1291" width="36.5703125" style="4" customWidth="1"/>
    <col min="1292" max="1292" width="12.140625" style="4" customWidth="1"/>
    <col min="1293" max="1293" width="7.5703125" style="4" bestFit="1" customWidth="1"/>
    <col min="1294" max="1294" width="4.42578125" style="4" bestFit="1" customWidth="1"/>
    <col min="1295" max="1295" width="9.85546875" style="4" bestFit="1" customWidth="1"/>
    <col min="1296" max="1296" width="9.42578125" style="4" bestFit="1" customWidth="1"/>
    <col min="1297" max="1297" width="8.85546875" style="4" customWidth="1"/>
    <col min="1298" max="1298" width="9.140625" style="4"/>
    <col min="1299" max="1299" width="12.85546875" style="4" customWidth="1"/>
    <col min="1300" max="1300" width="9.140625" style="4"/>
    <col min="1301" max="1301" width="11.85546875" style="4" customWidth="1"/>
    <col min="1302" max="1302" width="11" style="4" bestFit="1" customWidth="1"/>
    <col min="1303" max="1303" width="10" style="4" bestFit="1" customWidth="1"/>
    <col min="1304" max="1304" width="9.5703125" style="4" bestFit="1" customWidth="1"/>
    <col min="1305" max="1306" width="10" style="4" bestFit="1" customWidth="1"/>
    <col min="1307" max="1307" width="10.5703125" style="4" bestFit="1" customWidth="1"/>
    <col min="1308" max="1308" width="10" style="4" bestFit="1" customWidth="1"/>
    <col min="1309" max="1309" width="9.140625" style="4"/>
    <col min="1310" max="1310" width="11" style="4" bestFit="1" customWidth="1"/>
    <col min="1311" max="1311" width="9.140625" style="4"/>
    <col min="1312" max="1312" width="10" style="4" bestFit="1" customWidth="1"/>
    <col min="1313" max="1313" width="9.5703125" style="4" bestFit="1" customWidth="1"/>
    <col min="1314" max="1315" width="10.5703125" style="4" bestFit="1" customWidth="1"/>
    <col min="1316" max="1316" width="10" style="4" bestFit="1" customWidth="1"/>
    <col min="1317" max="1317" width="9.140625" style="4"/>
    <col min="1318" max="1319" width="10" style="4" bestFit="1" customWidth="1"/>
    <col min="1320" max="1320" width="10.5703125" style="4" bestFit="1" customWidth="1"/>
    <col min="1321" max="1321" width="10.42578125" style="4" bestFit="1" customWidth="1"/>
    <col min="1322" max="1322" width="9.140625" style="4"/>
    <col min="1323" max="1323" width="9.5703125" style="4" bestFit="1" customWidth="1"/>
    <col min="1324" max="1324" width="10.42578125" style="4" bestFit="1" customWidth="1"/>
    <col min="1325" max="1325" width="10" style="4" bestFit="1" customWidth="1"/>
    <col min="1326" max="1326" width="12.42578125" style="4" bestFit="1" customWidth="1"/>
    <col min="1327" max="1543" width="9.140625" style="4"/>
    <col min="1544" max="1544" width="16.5703125" style="4" bestFit="1" customWidth="1"/>
    <col min="1545" max="1545" width="38.42578125" style="4" bestFit="1" customWidth="1"/>
    <col min="1546" max="1546" width="0" style="4" hidden="1" customWidth="1"/>
    <col min="1547" max="1547" width="36.5703125" style="4" customWidth="1"/>
    <col min="1548" max="1548" width="12.140625" style="4" customWidth="1"/>
    <col min="1549" max="1549" width="7.5703125" style="4" bestFit="1" customWidth="1"/>
    <col min="1550" max="1550" width="4.42578125" style="4" bestFit="1" customWidth="1"/>
    <col min="1551" max="1551" width="9.85546875" style="4" bestFit="1" customWidth="1"/>
    <col min="1552" max="1552" width="9.42578125" style="4" bestFit="1" customWidth="1"/>
    <col min="1553" max="1553" width="8.85546875" style="4" customWidth="1"/>
    <col min="1554" max="1554" width="9.140625" style="4"/>
    <col min="1555" max="1555" width="12.85546875" style="4" customWidth="1"/>
    <col min="1556" max="1556" width="9.140625" style="4"/>
    <col min="1557" max="1557" width="11.85546875" style="4" customWidth="1"/>
    <col min="1558" max="1558" width="11" style="4" bestFit="1" customWidth="1"/>
    <col min="1559" max="1559" width="10" style="4" bestFit="1" customWidth="1"/>
    <col min="1560" max="1560" width="9.5703125" style="4" bestFit="1" customWidth="1"/>
    <col min="1561" max="1562" width="10" style="4" bestFit="1" customWidth="1"/>
    <col min="1563" max="1563" width="10.5703125" style="4" bestFit="1" customWidth="1"/>
    <col min="1564" max="1564" width="10" style="4" bestFit="1" customWidth="1"/>
    <col min="1565" max="1565" width="9.140625" style="4"/>
    <col min="1566" max="1566" width="11" style="4" bestFit="1" customWidth="1"/>
    <col min="1567" max="1567" width="9.140625" style="4"/>
    <col min="1568" max="1568" width="10" style="4" bestFit="1" customWidth="1"/>
    <col min="1569" max="1569" width="9.5703125" style="4" bestFit="1" customWidth="1"/>
    <col min="1570" max="1571" width="10.5703125" style="4" bestFit="1" customWidth="1"/>
    <col min="1572" max="1572" width="10" style="4" bestFit="1" customWidth="1"/>
    <col min="1573" max="1573" width="9.140625" style="4"/>
    <col min="1574" max="1575" width="10" style="4" bestFit="1" customWidth="1"/>
    <col min="1576" max="1576" width="10.5703125" style="4" bestFit="1" customWidth="1"/>
    <col min="1577" max="1577" width="10.42578125" style="4" bestFit="1" customWidth="1"/>
    <col min="1578" max="1578" width="9.140625" style="4"/>
    <col min="1579" max="1579" width="9.5703125" style="4" bestFit="1" customWidth="1"/>
    <col min="1580" max="1580" width="10.42578125" style="4" bestFit="1" customWidth="1"/>
    <col min="1581" max="1581" width="10" style="4" bestFit="1" customWidth="1"/>
    <col min="1582" max="1582" width="12.42578125" style="4" bestFit="1" customWidth="1"/>
    <col min="1583" max="1799" width="9.140625" style="4"/>
    <col min="1800" max="1800" width="16.5703125" style="4" bestFit="1" customWidth="1"/>
    <col min="1801" max="1801" width="38.42578125" style="4" bestFit="1" customWidth="1"/>
    <col min="1802" max="1802" width="0" style="4" hidden="1" customWidth="1"/>
    <col min="1803" max="1803" width="36.5703125" style="4" customWidth="1"/>
    <col min="1804" max="1804" width="12.140625" style="4" customWidth="1"/>
    <col min="1805" max="1805" width="7.5703125" style="4" bestFit="1" customWidth="1"/>
    <col min="1806" max="1806" width="4.42578125" style="4" bestFit="1" customWidth="1"/>
    <col min="1807" max="1807" width="9.85546875" style="4" bestFit="1" customWidth="1"/>
    <col min="1808" max="1808" width="9.42578125" style="4" bestFit="1" customWidth="1"/>
    <col min="1809" max="1809" width="8.85546875" style="4" customWidth="1"/>
    <col min="1810" max="1810" width="9.140625" style="4"/>
    <col min="1811" max="1811" width="12.85546875" style="4" customWidth="1"/>
    <col min="1812" max="1812" width="9.140625" style="4"/>
    <col min="1813" max="1813" width="11.85546875" style="4" customWidth="1"/>
    <col min="1814" max="1814" width="11" style="4" bestFit="1" customWidth="1"/>
    <col min="1815" max="1815" width="10" style="4" bestFit="1" customWidth="1"/>
    <col min="1816" max="1816" width="9.5703125" style="4" bestFit="1" customWidth="1"/>
    <col min="1817" max="1818" width="10" style="4" bestFit="1" customWidth="1"/>
    <col min="1819" max="1819" width="10.5703125" style="4" bestFit="1" customWidth="1"/>
    <col min="1820" max="1820" width="10" style="4" bestFit="1" customWidth="1"/>
    <col min="1821" max="1821" width="9.140625" style="4"/>
    <col min="1822" max="1822" width="11" style="4" bestFit="1" customWidth="1"/>
    <col min="1823" max="1823" width="9.140625" style="4"/>
    <col min="1824" max="1824" width="10" style="4" bestFit="1" customWidth="1"/>
    <col min="1825" max="1825" width="9.5703125" style="4" bestFit="1" customWidth="1"/>
    <col min="1826" max="1827" width="10.5703125" style="4" bestFit="1" customWidth="1"/>
    <col min="1828" max="1828" width="10" style="4" bestFit="1" customWidth="1"/>
    <col min="1829" max="1829" width="9.140625" style="4"/>
    <col min="1830" max="1831" width="10" style="4" bestFit="1" customWidth="1"/>
    <col min="1832" max="1832" width="10.5703125" style="4" bestFit="1" customWidth="1"/>
    <col min="1833" max="1833" width="10.42578125" style="4" bestFit="1" customWidth="1"/>
    <col min="1834" max="1834" width="9.140625" style="4"/>
    <col min="1835" max="1835" width="9.5703125" style="4" bestFit="1" customWidth="1"/>
    <col min="1836" max="1836" width="10.42578125" style="4" bestFit="1" customWidth="1"/>
    <col min="1837" max="1837" width="10" style="4" bestFit="1" customWidth="1"/>
    <col min="1838" max="1838" width="12.42578125" style="4" bestFit="1" customWidth="1"/>
    <col min="1839" max="2055" width="9.140625" style="4"/>
    <col min="2056" max="2056" width="16.5703125" style="4" bestFit="1" customWidth="1"/>
    <col min="2057" max="2057" width="38.42578125" style="4" bestFit="1" customWidth="1"/>
    <col min="2058" max="2058" width="0" style="4" hidden="1" customWidth="1"/>
    <col min="2059" max="2059" width="36.5703125" style="4" customWidth="1"/>
    <col min="2060" max="2060" width="12.140625" style="4" customWidth="1"/>
    <col min="2061" max="2061" width="7.5703125" style="4" bestFit="1" customWidth="1"/>
    <col min="2062" max="2062" width="4.42578125" style="4" bestFit="1" customWidth="1"/>
    <col min="2063" max="2063" width="9.85546875" style="4" bestFit="1" customWidth="1"/>
    <col min="2064" max="2064" width="9.42578125" style="4" bestFit="1" customWidth="1"/>
    <col min="2065" max="2065" width="8.85546875" style="4" customWidth="1"/>
    <col min="2066" max="2066" width="9.140625" style="4"/>
    <col min="2067" max="2067" width="12.85546875" style="4" customWidth="1"/>
    <col min="2068" max="2068" width="9.140625" style="4"/>
    <col min="2069" max="2069" width="11.85546875" style="4" customWidth="1"/>
    <col min="2070" max="2070" width="11" style="4" bestFit="1" customWidth="1"/>
    <col min="2071" max="2071" width="10" style="4" bestFit="1" customWidth="1"/>
    <col min="2072" max="2072" width="9.5703125" style="4" bestFit="1" customWidth="1"/>
    <col min="2073" max="2074" width="10" style="4" bestFit="1" customWidth="1"/>
    <col min="2075" max="2075" width="10.5703125" style="4" bestFit="1" customWidth="1"/>
    <col min="2076" max="2076" width="10" style="4" bestFit="1" customWidth="1"/>
    <col min="2077" max="2077" width="9.140625" style="4"/>
    <col min="2078" max="2078" width="11" style="4" bestFit="1" customWidth="1"/>
    <col min="2079" max="2079" width="9.140625" style="4"/>
    <col min="2080" max="2080" width="10" style="4" bestFit="1" customWidth="1"/>
    <col min="2081" max="2081" width="9.5703125" style="4" bestFit="1" customWidth="1"/>
    <col min="2082" max="2083" width="10.5703125" style="4" bestFit="1" customWidth="1"/>
    <col min="2084" max="2084" width="10" style="4" bestFit="1" customWidth="1"/>
    <col min="2085" max="2085" width="9.140625" style="4"/>
    <col min="2086" max="2087" width="10" style="4" bestFit="1" customWidth="1"/>
    <col min="2088" max="2088" width="10.5703125" style="4" bestFit="1" customWidth="1"/>
    <col min="2089" max="2089" width="10.42578125" style="4" bestFit="1" customWidth="1"/>
    <col min="2090" max="2090" width="9.140625" style="4"/>
    <col min="2091" max="2091" width="9.5703125" style="4" bestFit="1" customWidth="1"/>
    <col min="2092" max="2092" width="10.42578125" style="4" bestFit="1" customWidth="1"/>
    <col min="2093" max="2093" width="10" style="4" bestFit="1" customWidth="1"/>
    <col min="2094" max="2094" width="12.42578125" style="4" bestFit="1" customWidth="1"/>
    <col min="2095" max="2311" width="9.140625" style="4"/>
    <col min="2312" max="2312" width="16.5703125" style="4" bestFit="1" customWidth="1"/>
    <col min="2313" max="2313" width="38.42578125" style="4" bestFit="1" customWidth="1"/>
    <col min="2314" max="2314" width="0" style="4" hidden="1" customWidth="1"/>
    <col min="2315" max="2315" width="36.5703125" style="4" customWidth="1"/>
    <col min="2316" max="2316" width="12.140625" style="4" customWidth="1"/>
    <col min="2317" max="2317" width="7.5703125" style="4" bestFit="1" customWidth="1"/>
    <col min="2318" max="2318" width="4.42578125" style="4" bestFit="1" customWidth="1"/>
    <col min="2319" max="2319" width="9.85546875" style="4" bestFit="1" customWidth="1"/>
    <col min="2320" max="2320" width="9.42578125" style="4" bestFit="1" customWidth="1"/>
    <col min="2321" max="2321" width="8.85546875" style="4" customWidth="1"/>
    <col min="2322" max="2322" width="9.140625" style="4"/>
    <col min="2323" max="2323" width="12.85546875" style="4" customWidth="1"/>
    <col min="2324" max="2324" width="9.140625" style="4"/>
    <col min="2325" max="2325" width="11.85546875" style="4" customWidth="1"/>
    <col min="2326" max="2326" width="11" style="4" bestFit="1" customWidth="1"/>
    <col min="2327" max="2327" width="10" style="4" bestFit="1" customWidth="1"/>
    <col min="2328" max="2328" width="9.5703125" style="4" bestFit="1" customWidth="1"/>
    <col min="2329" max="2330" width="10" style="4" bestFit="1" customWidth="1"/>
    <col min="2331" max="2331" width="10.5703125" style="4" bestFit="1" customWidth="1"/>
    <col min="2332" max="2332" width="10" style="4" bestFit="1" customWidth="1"/>
    <col min="2333" max="2333" width="9.140625" style="4"/>
    <col min="2334" max="2334" width="11" style="4" bestFit="1" customWidth="1"/>
    <col min="2335" max="2335" width="9.140625" style="4"/>
    <col min="2336" max="2336" width="10" style="4" bestFit="1" customWidth="1"/>
    <col min="2337" max="2337" width="9.5703125" style="4" bestFit="1" customWidth="1"/>
    <col min="2338" max="2339" width="10.5703125" style="4" bestFit="1" customWidth="1"/>
    <col min="2340" max="2340" width="10" style="4" bestFit="1" customWidth="1"/>
    <col min="2341" max="2341" width="9.140625" style="4"/>
    <col min="2342" max="2343" width="10" style="4" bestFit="1" customWidth="1"/>
    <col min="2344" max="2344" width="10.5703125" style="4" bestFit="1" customWidth="1"/>
    <col min="2345" max="2345" width="10.42578125" style="4" bestFit="1" customWidth="1"/>
    <col min="2346" max="2346" width="9.140625" style="4"/>
    <col min="2347" max="2347" width="9.5703125" style="4" bestFit="1" customWidth="1"/>
    <col min="2348" max="2348" width="10.42578125" style="4" bestFit="1" customWidth="1"/>
    <col min="2349" max="2349" width="10" style="4" bestFit="1" customWidth="1"/>
    <col min="2350" max="2350" width="12.42578125" style="4" bestFit="1" customWidth="1"/>
    <col min="2351" max="2567" width="9.140625" style="4"/>
    <col min="2568" max="2568" width="16.5703125" style="4" bestFit="1" customWidth="1"/>
    <col min="2569" max="2569" width="38.42578125" style="4" bestFit="1" customWidth="1"/>
    <col min="2570" max="2570" width="0" style="4" hidden="1" customWidth="1"/>
    <col min="2571" max="2571" width="36.5703125" style="4" customWidth="1"/>
    <col min="2572" max="2572" width="12.140625" style="4" customWidth="1"/>
    <col min="2573" max="2573" width="7.5703125" style="4" bestFit="1" customWidth="1"/>
    <col min="2574" max="2574" width="4.42578125" style="4" bestFit="1" customWidth="1"/>
    <col min="2575" max="2575" width="9.85546875" style="4" bestFit="1" customWidth="1"/>
    <col min="2576" max="2576" width="9.42578125" style="4" bestFit="1" customWidth="1"/>
    <col min="2577" max="2577" width="8.85546875" style="4" customWidth="1"/>
    <col min="2578" max="2578" width="9.140625" style="4"/>
    <col min="2579" max="2579" width="12.85546875" style="4" customWidth="1"/>
    <col min="2580" max="2580" width="9.140625" style="4"/>
    <col min="2581" max="2581" width="11.85546875" style="4" customWidth="1"/>
    <col min="2582" max="2582" width="11" style="4" bestFit="1" customWidth="1"/>
    <col min="2583" max="2583" width="10" style="4" bestFit="1" customWidth="1"/>
    <col min="2584" max="2584" width="9.5703125" style="4" bestFit="1" customWidth="1"/>
    <col min="2585" max="2586" width="10" style="4" bestFit="1" customWidth="1"/>
    <col min="2587" max="2587" width="10.5703125" style="4" bestFit="1" customWidth="1"/>
    <col min="2588" max="2588" width="10" style="4" bestFit="1" customWidth="1"/>
    <col min="2589" max="2589" width="9.140625" style="4"/>
    <col min="2590" max="2590" width="11" style="4" bestFit="1" customWidth="1"/>
    <col min="2591" max="2591" width="9.140625" style="4"/>
    <col min="2592" max="2592" width="10" style="4" bestFit="1" customWidth="1"/>
    <col min="2593" max="2593" width="9.5703125" style="4" bestFit="1" customWidth="1"/>
    <col min="2594" max="2595" width="10.5703125" style="4" bestFit="1" customWidth="1"/>
    <col min="2596" max="2596" width="10" style="4" bestFit="1" customWidth="1"/>
    <col min="2597" max="2597" width="9.140625" style="4"/>
    <col min="2598" max="2599" width="10" style="4" bestFit="1" customWidth="1"/>
    <col min="2600" max="2600" width="10.5703125" style="4" bestFit="1" customWidth="1"/>
    <col min="2601" max="2601" width="10.42578125" style="4" bestFit="1" customWidth="1"/>
    <col min="2602" max="2602" width="9.140625" style="4"/>
    <col min="2603" max="2603" width="9.5703125" style="4" bestFit="1" customWidth="1"/>
    <col min="2604" max="2604" width="10.42578125" style="4" bestFit="1" customWidth="1"/>
    <col min="2605" max="2605" width="10" style="4" bestFit="1" customWidth="1"/>
    <col min="2606" max="2606" width="12.42578125" style="4" bestFit="1" customWidth="1"/>
    <col min="2607" max="2823" width="9.140625" style="4"/>
    <col min="2824" max="2824" width="16.5703125" style="4" bestFit="1" customWidth="1"/>
    <col min="2825" max="2825" width="38.42578125" style="4" bestFit="1" customWidth="1"/>
    <col min="2826" max="2826" width="0" style="4" hidden="1" customWidth="1"/>
    <col min="2827" max="2827" width="36.5703125" style="4" customWidth="1"/>
    <col min="2828" max="2828" width="12.140625" style="4" customWidth="1"/>
    <col min="2829" max="2829" width="7.5703125" style="4" bestFit="1" customWidth="1"/>
    <col min="2830" max="2830" width="4.42578125" style="4" bestFit="1" customWidth="1"/>
    <col min="2831" max="2831" width="9.85546875" style="4" bestFit="1" customWidth="1"/>
    <col min="2832" max="2832" width="9.42578125" style="4" bestFit="1" customWidth="1"/>
    <col min="2833" max="2833" width="8.85546875" style="4" customWidth="1"/>
    <col min="2834" max="2834" width="9.140625" style="4"/>
    <col min="2835" max="2835" width="12.85546875" style="4" customWidth="1"/>
    <col min="2836" max="2836" width="9.140625" style="4"/>
    <col min="2837" max="2837" width="11.85546875" style="4" customWidth="1"/>
    <col min="2838" max="2838" width="11" style="4" bestFit="1" customWidth="1"/>
    <col min="2839" max="2839" width="10" style="4" bestFit="1" customWidth="1"/>
    <col min="2840" max="2840" width="9.5703125" style="4" bestFit="1" customWidth="1"/>
    <col min="2841" max="2842" width="10" style="4" bestFit="1" customWidth="1"/>
    <col min="2843" max="2843" width="10.5703125" style="4" bestFit="1" customWidth="1"/>
    <col min="2844" max="2844" width="10" style="4" bestFit="1" customWidth="1"/>
    <col min="2845" max="2845" width="9.140625" style="4"/>
    <col min="2846" max="2846" width="11" style="4" bestFit="1" customWidth="1"/>
    <col min="2847" max="2847" width="9.140625" style="4"/>
    <col min="2848" max="2848" width="10" style="4" bestFit="1" customWidth="1"/>
    <col min="2849" max="2849" width="9.5703125" style="4" bestFit="1" customWidth="1"/>
    <col min="2850" max="2851" width="10.5703125" style="4" bestFit="1" customWidth="1"/>
    <col min="2852" max="2852" width="10" style="4" bestFit="1" customWidth="1"/>
    <col min="2853" max="2853" width="9.140625" style="4"/>
    <col min="2854" max="2855" width="10" style="4" bestFit="1" customWidth="1"/>
    <col min="2856" max="2856" width="10.5703125" style="4" bestFit="1" customWidth="1"/>
    <col min="2857" max="2857" width="10.42578125" style="4" bestFit="1" customWidth="1"/>
    <col min="2858" max="2858" width="9.140625" style="4"/>
    <col min="2859" max="2859" width="9.5703125" style="4" bestFit="1" customWidth="1"/>
    <col min="2860" max="2860" width="10.42578125" style="4" bestFit="1" customWidth="1"/>
    <col min="2861" max="2861" width="10" style="4" bestFit="1" customWidth="1"/>
    <col min="2862" max="2862" width="12.42578125" style="4" bestFit="1" customWidth="1"/>
    <col min="2863" max="3079" width="9.140625" style="4"/>
    <col min="3080" max="3080" width="16.5703125" style="4" bestFit="1" customWidth="1"/>
    <col min="3081" max="3081" width="38.42578125" style="4" bestFit="1" customWidth="1"/>
    <col min="3082" max="3082" width="0" style="4" hidden="1" customWidth="1"/>
    <col min="3083" max="3083" width="36.5703125" style="4" customWidth="1"/>
    <col min="3084" max="3084" width="12.140625" style="4" customWidth="1"/>
    <col min="3085" max="3085" width="7.5703125" style="4" bestFit="1" customWidth="1"/>
    <col min="3086" max="3086" width="4.42578125" style="4" bestFit="1" customWidth="1"/>
    <col min="3087" max="3087" width="9.85546875" style="4" bestFit="1" customWidth="1"/>
    <col min="3088" max="3088" width="9.42578125" style="4" bestFit="1" customWidth="1"/>
    <col min="3089" max="3089" width="8.85546875" style="4" customWidth="1"/>
    <col min="3090" max="3090" width="9.140625" style="4"/>
    <col min="3091" max="3091" width="12.85546875" style="4" customWidth="1"/>
    <col min="3092" max="3092" width="9.140625" style="4"/>
    <col min="3093" max="3093" width="11.85546875" style="4" customWidth="1"/>
    <col min="3094" max="3094" width="11" style="4" bestFit="1" customWidth="1"/>
    <col min="3095" max="3095" width="10" style="4" bestFit="1" customWidth="1"/>
    <col min="3096" max="3096" width="9.5703125" style="4" bestFit="1" customWidth="1"/>
    <col min="3097" max="3098" width="10" style="4" bestFit="1" customWidth="1"/>
    <col min="3099" max="3099" width="10.5703125" style="4" bestFit="1" customWidth="1"/>
    <col min="3100" max="3100" width="10" style="4" bestFit="1" customWidth="1"/>
    <col min="3101" max="3101" width="9.140625" style="4"/>
    <col min="3102" max="3102" width="11" style="4" bestFit="1" customWidth="1"/>
    <col min="3103" max="3103" width="9.140625" style="4"/>
    <col min="3104" max="3104" width="10" style="4" bestFit="1" customWidth="1"/>
    <col min="3105" max="3105" width="9.5703125" style="4" bestFit="1" customWidth="1"/>
    <col min="3106" max="3107" width="10.5703125" style="4" bestFit="1" customWidth="1"/>
    <col min="3108" max="3108" width="10" style="4" bestFit="1" customWidth="1"/>
    <col min="3109" max="3109" width="9.140625" style="4"/>
    <col min="3110" max="3111" width="10" style="4" bestFit="1" customWidth="1"/>
    <col min="3112" max="3112" width="10.5703125" style="4" bestFit="1" customWidth="1"/>
    <col min="3113" max="3113" width="10.42578125" style="4" bestFit="1" customWidth="1"/>
    <col min="3114" max="3114" width="9.140625" style="4"/>
    <col min="3115" max="3115" width="9.5703125" style="4" bestFit="1" customWidth="1"/>
    <col min="3116" max="3116" width="10.42578125" style="4" bestFit="1" customWidth="1"/>
    <col min="3117" max="3117" width="10" style="4" bestFit="1" customWidth="1"/>
    <col min="3118" max="3118" width="12.42578125" style="4" bestFit="1" customWidth="1"/>
    <col min="3119" max="3335" width="9.140625" style="4"/>
    <col min="3336" max="3336" width="16.5703125" style="4" bestFit="1" customWidth="1"/>
    <col min="3337" max="3337" width="38.42578125" style="4" bestFit="1" customWidth="1"/>
    <col min="3338" max="3338" width="0" style="4" hidden="1" customWidth="1"/>
    <col min="3339" max="3339" width="36.5703125" style="4" customWidth="1"/>
    <col min="3340" max="3340" width="12.140625" style="4" customWidth="1"/>
    <col min="3341" max="3341" width="7.5703125" style="4" bestFit="1" customWidth="1"/>
    <col min="3342" max="3342" width="4.42578125" style="4" bestFit="1" customWidth="1"/>
    <col min="3343" max="3343" width="9.85546875" style="4" bestFit="1" customWidth="1"/>
    <col min="3344" max="3344" width="9.42578125" style="4" bestFit="1" customWidth="1"/>
    <col min="3345" max="3345" width="8.85546875" style="4" customWidth="1"/>
    <col min="3346" max="3346" width="9.140625" style="4"/>
    <col min="3347" max="3347" width="12.85546875" style="4" customWidth="1"/>
    <col min="3348" max="3348" width="9.140625" style="4"/>
    <col min="3349" max="3349" width="11.85546875" style="4" customWidth="1"/>
    <col min="3350" max="3350" width="11" style="4" bestFit="1" customWidth="1"/>
    <col min="3351" max="3351" width="10" style="4" bestFit="1" customWidth="1"/>
    <col min="3352" max="3352" width="9.5703125" style="4" bestFit="1" customWidth="1"/>
    <col min="3353" max="3354" width="10" style="4" bestFit="1" customWidth="1"/>
    <col min="3355" max="3355" width="10.5703125" style="4" bestFit="1" customWidth="1"/>
    <col min="3356" max="3356" width="10" style="4" bestFit="1" customWidth="1"/>
    <col min="3357" max="3357" width="9.140625" style="4"/>
    <col min="3358" max="3358" width="11" style="4" bestFit="1" customWidth="1"/>
    <col min="3359" max="3359" width="9.140625" style="4"/>
    <col min="3360" max="3360" width="10" style="4" bestFit="1" customWidth="1"/>
    <col min="3361" max="3361" width="9.5703125" style="4" bestFit="1" customWidth="1"/>
    <col min="3362" max="3363" width="10.5703125" style="4" bestFit="1" customWidth="1"/>
    <col min="3364" max="3364" width="10" style="4" bestFit="1" customWidth="1"/>
    <col min="3365" max="3365" width="9.140625" style="4"/>
    <col min="3366" max="3367" width="10" style="4" bestFit="1" customWidth="1"/>
    <col min="3368" max="3368" width="10.5703125" style="4" bestFit="1" customWidth="1"/>
    <col min="3369" max="3369" width="10.42578125" style="4" bestFit="1" customWidth="1"/>
    <col min="3370" max="3370" width="9.140625" style="4"/>
    <col min="3371" max="3371" width="9.5703125" style="4" bestFit="1" customWidth="1"/>
    <col min="3372" max="3372" width="10.42578125" style="4" bestFit="1" customWidth="1"/>
    <col min="3373" max="3373" width="10" style="4" bestFit="1" customWidth="1"/>
    <col min="3374" max="3374" width="12.42578125" style="4" bestFit="1" customWidth="1"/>
    <col min="3375" max="3591" width="9.140625" style="4"/>
    <col min="3592" max="3592" width="16.5703125" style="4" bestFit="1" customWidth="1"/>
    <col min="3593" max="3593" width="38.42578125" style="4" bestFit="1" customWidth="1"/>
    <col min="3594" max="3594" width="0" style="4" hidden="1" customWidth="1"/>
    <col min="3595" max="3595" width="36.5703125" style="4" customWidth="1"/>
    <col min="3596" max="3596" width="12.140625" style="4" customWidth="1"/>
    <col min="3597" max="3597" width="7.5703125" style="4" bestFit="1" customWidth="1"/>
    <col min="3598" max="3598" width="4.42578125" style="4" bestFit="1" customWidth="1"/>
    <col min="3599" max="3599" width="9.85546875" style="4" bestFit="1" customWidth="1"/>
    <col min="3600" max="3600" width="9.42578125" style="4" bestFit="1" customWidth="1"/>
    <col min="3601" max="3601" width="8.85546875" style="4" customWidth="1"/>
    <col min="3602" max="3602" width="9.140625" style="4"/>
    <col min="3603" max="3603" width="12.85546875" style="4" customWidth="1"/>
    <col min="3604" max="3604" width="9.140625" style="4"/>
    <col min="3605" max="3605" width="11.85546875" style="4" customWidth="1"/>
    <col min="3606" max="3606" width="11" style="4" bestFit="1" customWidth="1"/>
    <col min="3607" max="3607" width="10" style="4" bestFit="1" customWidth="1"/>
    <col min="3608" max="3608" width="9.5703125" style="4" bestFit="1" customWidth="1"/>
    <col min="3609" max="3610" width="10" style="4" bestFit="1" customWidth="1"/>
    <col min="3611" max="3611" width="10.5703125" style="4" bestFit="1" customWidth="1"/>
    <col min="3612" max="3612" width="10" style="4" bestFit="1" customWidth="1"/>
    <col min="3613" max="3613" width="9.140625" style="4"/>
    <col min="3614" max="3614" width="11" style="4" bestFit="1" customWidth="1"/>
    <col min="3615" max="3615" width="9.140625" style="4"/>
    <col min="3616" max="3616" width="10" style="4" bestFit="1" customWidth="1"/>
    <col min="3617" max="3617" width="9.5703125" style="4" bestFit="1" customWidth="1"/>
    <col min="3618" max="3619" width="10.5703125" style="4" bestFit="1" customWidth="1"/>
    <col min="3620" max="3620" width="10" style="4" bestFit="1" customWidth="1"/>
    <col min="3621" max="3621" width="9.140625" style="4"/>
    <col min="3622" max="3623" width="10" style="4" bestFit="1" customWidth="1"/>
    <col min="3624" max="3624" width="10.5703125" style="4" bestFit="1" customWidth="1"/>
    <col min="3625" max="3625" width="10.42578125" style="4" bestFit="1" customWidth="1"/>
    <col min="3626" max="3626" width="9.140625" style="4"/>
    <col min="3627" max="3627" width="9.5703125" style="4" bestFit="1" customWidth="1"/>
    <col min="3628" max="3628" width="10.42578125" style="4" bestFit="1" customWidth="1"/>
    <col min="3629" max="3629" width="10" style="4" bestFit="1" customWidth="1"/>
    <col min="3630" max="3630" width="12.42578125" style="4" bestFit="1" customWidth="1"/>
    <col min="3631" max="3847" width="9.140625" style="4"/>
    <col min="3848" max="3848" width="16.5703125" style="4" bestFit="1" customWidth="1"/>
    <col min="3849" max="3849" width="38.42578125" style="4" bestFit="1" customWidth="1"/>
    <col min="3850" max="3850" width="0" style="4" hidden="1" customWidth="1"/>
    <col min="3851" max="3851" width="36.5703125" style="4" customWidth="1"/>
    <col min="3852" max="3852" width="12.140625" style="4" customWidth="1"/>
    <col min="3853" max="3853" width="7.5703125" style="4" bestFit="1" customWidth="1"/>
    <col min="3854" max="3854" width="4.42578125" style="4" bestFit="1" customWidth="1"/>
    <col min="3855" max="3855" width="9.85546875" style="4" bestFit="1" customWidth="1"/>
    <col min="3856" max="3856" width="9.42578125" style="4" bestFit="1" customWidth="1"/>
    <col min="3857" max="3857" width="8.85546875" style="4" customWidth="1"/>
    <col min="3858" max="3858" width="9.140625" style="4"/>
    <col min="3859" max="3859" width="12.85546875" style="4" customWidth="1"/>
    <col min="3860" max="3860" width="9.140625" style="4"/>
    <col min="3861" max="3861" width="11.85546875" style="4" customWidth="1"/>
    <col min="3862" max="3862" width="11" style="4" bestFit="1" customWidth="1"/>
    <col min="3863" max="3863" width="10" style="4" bestFit="1" customWidth="1"/>
    <col min="3864" max="3864" width="9.5703125" style="4" bestFit="1" customWidth="1"/>
    <col min="3865" max="3866" width="10" style="4" bestFit="1" customWidth="1"/>
    <col min="3867" max="3867" width="10.5703125" style="4" bestFit="1" customWidth="1"/>
    <col min="3868" max="3868" width="10" style="4" bestFit="1" customWidth="1"/>
    <col min="3869" max="3869" width="9.140625" style="4"/>
    <col min="3870" max="3870" width="11" style="4" bestFit="1" customWidth="1"/>
    <col min="3871" max="3871" width="9.140625" style="4"/>
    <col min="3872" max="3872" width="10" style="4" bestFit="1" customWidth="1"/>
    <col min="3873" max="3873" width="9.5703125" style="4" bestFit="1" customWidth="1"/>
    <col min="3874" max="3875" width="10.5703125" style="4" bestFit="1" customWidth="1"/>
    <col min="3876" max="3876" width="10" style="4" bestFit="1" customWidth="1"/>
    <col min="3877" max="3877" width="9.140625" style="4"/>
    <col min="3878" max="3879" width="10" style="4" bestFit="1" customWidth="1"/>
    <col min="3880" max="3880" width="10.5703125" style="4" bestFit="1" customWidth="1"/>
    <col min="3881" max="3881" width="10.42578125" style="4" bestFit="1" customWidth="1"/>
    <col min="3882" max="3882" width="9.140625" style="4"/>
    <col min="3883" max="3883" width="9.5703125" style="4" bestFit="1" customWidth="1"/>
    <col min="3884" max="3884" width="10.42578125" style="4" bestFit="1" customWidth="1"/>
    <col min="3885" max="3885" width="10" style="4" bestFit="1" customWidth="1"/>
    <col min="3886" max="3886" width="12.42578125" style="4" bestFit="1" customWidth="1"/>
    <col min="3887" max="4103" width="9.140625" style="4"/>
    <col min="4104" max="4104" width="16.5703125" style="4" bestFit="1" customWidth="1"/>
    <col min="4105" max="4105" width="38.42578125" style="4" bestFit="1" customWidth="1"/>
    <col min="4106" max="4106" width="0" style="4" hidden="1" customWidth="1"/>
    <col min="4107" max="4107" width="36.5703125" style="4" customWidth="1"/>
    <col min="4108" max="4108" width="12.140625" style="4" customWidth="1"/>
    <col min="4109" max="4109" width="7.5703125" style="4" bestFit="1" customWidth="1"/>
    <col min="4110" max="4110" width="4.42578125" style="4" bestFit="1" customWidth="1"/>
    <col min="4111" max="4111" width="9.85546875" style="4" bestFit="1" customWidth="1"/>
    <col min="4112" max="4112" width="9.42578125" style="4" bestFit="1" customWidth="1"/>
    <col min="4113" max="4113" width="8.85546875" style="4" customWidth="1"/>
    <col min="4114" max="4114" width="9.140625" style="4"/>
    <col min="4115" max="4115" width="12.85546875" style="4" customWidth="1"/>
    <col min="4116" max="4116" width="9.140625" style="4"/>
    <col min="4117" max="4117" width="11.85546875" style="4" customWidth="1"/>
    <col min="4118" max="4118" width="11" style="4" bestFit="1" customWidth="1"/>
    <col min="4119" max="4119" width="10" style="4" bestFit="1" customWidth="1"/>
    <col min="4120" max="4120" width="9.5703125" style="4" bestFit="1" customWidth="1"/>
    <col min="4121" max="4122" width="10" style="4" bestFit="1" customWidth="1"/>
    <col min="4123" max="4123" width="10.5703125" style="4" bestFit="1" customWidth="1"/>
    <col min="4124" max="4124" width="10" style="4" bestFit="1" customWidth="1"/>
    <col min="4125" max="4125" width="9.140625" style="4"/>
    <col min="4126" max="4126" width="11" style="4" bestFit="1" customWidth="1"/>
    <col min="4127" max="4127" width="9.140625" style="4"/>
    <col min="4128" max="4128" width="10" style="4" bestFit="1" customWidth="1"/>
    <col min="4129" max="4129" width="9.5703125" style="4" bestFit="1" customWidth="1"/>
    <col min="4130" max="4131" width="10.5703125" style="4" bestFit="1" customWidth="1"/>
    <col min="4132" max="4132" width="10" style="4" bestFit="1" customWidth="1"/>
    <col min="4133" max="4133" width="9.140625" style="4"/>
    <col min="4134" max="4135" width="10" style="4" bestFit="1" customWidth="1"/>
    <col min="4136" max="4136" width="10.5703125" style="4" bestFit="1" customWidth="1"/>
    <col min="4137" max="4137" width="10.42578125" style="4" bestFit="1" customWidth="1"/>
    <col min="4138" max="4138" width="9.140625" style="4"/>
    <col min="4139" max="4139" width="9.5703125" style="4" bestFit="1" customWidth="1"/>
    <col min="4140" max="4140" width="10.42578125" style="4" bestFit="1" customWidth="1"/>
    <col min="4141" max="4141" width="10" style="4" bestFit="1" customWidth="1"/>
    <col min="4142" max="4142" width="12.42578125" style="4" bestFit="1" customWidth="1"/>
    <col min="4143" max="4359" width="9.140625" style="4"/>
    <col min="4360" max="4360" width="16.5703125" style="4" bestFit="1" customWidth="1"/>
    <col min="4361" max="4361" width="38.42578125" style="4" bestFit="1" customWidth="1"/>
    <col min="4362" max="4362" width="0" style="4" hidden="1" customWidth="1"/>
    <col min="4363" max="4363" width="36.5703125" style="4" customWidth="1"/>
    <col min="4364" max="4364" width="12.140625" style="4" customWidth="1"/>
    <col min="4365" max="4365" width="7.5703125" style="4" bestFit="1" customWidth="1"/>
    <col min="4366" max="4366" width="4.42578125" style="4" bestFit="1" customWidth="1"/>
    <col min="4367" max="4367" width="9.85546875" style="4" bestFit="1" customWidth="1"/>
    <col min="4368" max="4368" width="9.42578125" style="4" bestFit="1" customWidth="1"/>
    <col min="4369" max="4369" width="8.85546875" style="4" customWidth="1"/>
    <col min="4370" max="4370" width="9.140625" style="4"/>
    <col min="4371" max="4371" width="12.85546875" style="4" customWidth="1"/>
    <col min="4372" max="4372" width="9.140625" style="4"/>
    <col min="4373" max="4373" width="11.85546875" style="4" customWidth="1"/>
    <col min="4374" max="4374" width="11" style="4" bestFit="1" customWidth="1"/>
    <col min="4375" max="4375" width="10" style="4" bestFit="1" customWidth="1"/>
    <col min="4376" max="4376" width="9.5703125" style="4" bestFit="1" customWidth="1"/>
    <col min="4377" max="4378" width="10" style="4" bestFit="1" customWidth="1"/>
    <col min="4379" max="4379" width="10.5703125" style="4" bestFit="1" customWidth="1"/>
    <col min="4380" max="4380" width="10" style="4" bestFit="1" customWidth="1"/>
    <col min="4381" max="4381" width="9.140625" style="4"/>
    <col min="4382" max="4382" width="11" style="4" bestFit="1" customWidth="1"/>
    <col min="4383" max="4383" width="9.140625" style="4"/>
    <col min="4384" max="4384" width="10" style="4" bestFit="1" customWidth="1"/>
    <col min="4385" max="4385" width="9.5703125" style="4" bestFit="1" customWidth="1"/>
    <col min="4386" max="4387" width="10.5703125" style="4" bestFit="1" customWidth="1"/>
    <col min="4388" max="4388" width="10" style="4" bestFit="1" customWidth="1"/>
    <col min="4389" max="4389" width="9.140625" style="4"/>
    <col min="4390" max="4391" width="10" style="4" bestFit="1" customWidth="1"/>
    <col min="4392" max="4392" width="10.5703125" style="4" bestFit="1" customWidth="1"/>
    <col min="4393" max="4393" width="10.42578125" style="4" bestFit="1" customWidth="1"/>
    <col min="4394" max="4394" width="9.140625" style="4"/>
    <col min="4395" max="4395" width="9.5703125" style="4" bestFit="1" customWidth="1"/>
    <col min="4396" max="4396" width="10.42578125" style="4" bestFit="1" customWidth="1"/>
    <col min="4397" max="4397" width="10" style="4" bestFit="1" customWidth="1"/>
    <col min="4398" max="4398" width="12.42578125" style="4" bestFit="1" customWidth="1"/>
    <col min="4399" max="4615" width="9.140625" style="4"/>
    <col min="4616" max="4616" width="16.5703125" style="4" bestFit="1" customWidth="1"/>
    <col min="4617" max="4617" width="38.42578125" style="4" bestFit="1" customWidth="1"/>
    <col min="4618" max="4618" width="0" style="4" hidden="1" customWidth="1"/>
    <col min="4619" max="4619" width="36.5703125" style="4" customWidth="1"/>
    <col min="4620" max="4620" width="12.140625" style="4" customWidth="1"/>
    <col min="4621" max="4621" width="7.5703125" style="4" bestFit="1" customWidth="1"/>
    <col min="4622" max="4622" width="4.42578125" style="4" bestFit="1" customWidth="1"/>
    <col min="4623" max="4623" width="9.85546875" style="4" bestFit="1" customWidth="1"/>
    <col min="4624" max="4624" width="9.42578125" style="4" bestFit="1" customWidth="1"/>
    <col min="4625" max="4625" width="8.85546875" style="4" customWidth="1"/>
    <col min="4626" max="4626" width="9.140625" style="4"/>
    <col min="4627" max="4627" width="12.85546875" style="4" customWidth="1"/>
    <col min="4628" max="4628" width="9.140625" style="4"/>
    <col min="4629" max="4629" width="11.85546875" style="4" customWidth="1"/>
    <col min="4630" max="4630" width="11" style="4" bestFit="1" customWidth="1"/>
    <col min="4631" max="4631" width="10" style="4" bestFit="1" customWidth="1"/>
    <col min="4632" max="4632" width="9.5703125" style="4" bestFit="1" customWidth="1"/>
    <col min="4633" max="4634" width="10" style="4" bestFit="1" customWidth="1"/>
    <col min="4635" max="4635" width="10.5703125" style="4" bestFit="1" customWidth="1"/>
    <col min="4636" max="4636" width="10" style="4" bestFit="1" customWidth="1"/>
    <col min="4637" max="4637" width="9.140625" style="4"/>
    <col min="4638" max="4638" width="11" style="4" bestFit="1" customWidth="1"/>
    <col min="4639" max="4639" width="9.140625" style="4"/>
    <col min="4640" max="4640" width="10" style="4" bestFit="1" customWidth="1"/>
    <col min="4641" max="4641" width="9.5703125" style="4" bestFit="1" customWidth="1"/>
    <col min="4642" max="4643" width="10.5703125" style="4" bestFit="1" customWidth="1"/>
    <col min="4644" max="4644" width="10" style="4" bestFit="1" customWidth="1"/>
    <col min="4645" max="4645" width="9.140625" style="4"/>
    <col min="4646" max="4647" width="10" style="4" bestFit="1" customWidth="1"/>
    <col min="4648" max="4648" width="10.5703125" style="4" bestFit="1" customWidth="1"/>
    <col min="4649" max="4649" width="10.42578125" style="4" bestFit="1" customWidth="1"/>
    <col min="4650" max="4650" width="9.140625" style="4"/>
    <col min="4651" max="4651" width="9.5703125" style="4" bestFit="1" customWidth="1"/>
    <col min="4652" max="4652" width="10.42578125" style="4" bestFit="1" customWidth="1"/>
    <col min="4653" max="4653" width="10" style="4" bestFit="1" customWidth="1"/>
    <col min="4654" max="4654" width="12.42578125" style="4" bestFit="1" customWidth="1"/>
    <col min="4655" max="4871" width="9.140625" style="4"/>
    <col min="4872" max="4872" width="16.5703125" style="4" bestFit="1" customWidth="1"/>
    <col min="4873" max="4873" width="38.42578125" style="4" bestFit="1" customWidth="1"/>
    <col min="4874" max="4874" width="0" style="4" hidden="1" customWidth="1"/>
    <col min="4875" max="4875" width="36.5703125" style="4" customWidth="1"/>
    <col min="4876" max="4876" width="12.140625" style="4" customWidth="1"/>
    <col min="4877" max="4877" width="7.5703125" style="4" bestFit="1" customWidth="1"/>
    <col min="4878" max="4878" width="4.42578125" style="4" bestFit="1" customWidth="1"/>
    <col min="4879" max="4879" width="9.85546875" style="4" bestFit="1" customWidth="1"/>
    <col min="4880" max="4880" width="9.42578125" style="4" bestFit="1" customWidth="1"/>
    <col min="4881" max="4881" width="8.85546875" style="4" customWidth="1"/>
    <col min="4882" max="4882" width="9.140625" style="4"/>
    <col min="4883" max="4883" width="12.85546875" style="4" customWidth="1"/>
    <col min="4884" max="4884" width="9.140625" style="4"/>
    <col min="4885" max="4885" width="11.85546875" style="4" customWidth="1"/>
    <col min="4886" max="4886" width="11" style="4" bestFit="1" customWidth="1"/>
    <col min="4887" max="4887" width="10" style="4" bestFit="1" customWidth="1"/>
    <col min="4888" max="4888" width="9.5703125" style="4" bestFit="1" customWidth="1"/>
    <col min="4889" max="4890" width="10" style="4" bestFit="1" customWidth="1"/>
    <col min="4891" max="4891" width="10.5703125" style="4" bestFit="1" customWidth="1"/>
    <col min="4892" max="4892" width="10" style="4" bestFit="1" customWidth="1"/>
    <col min="4893" max="4893" width="9.140625" style="4"/>
    <col min="4894" max="4894" width="11" style="4" bestFit="1" customWidth="1"/>
    <col min="4895" max="4895" width="9.140625" style="4"/>
    <col min="4896" max="4896" width="10" style="4" bestFit="1" customWidth="1"/>
    <col min="4897" max="4897" width="9.5703125" style="4" bestFit="1" customWidth="1"/>
    <col min="4898" max="4899" width="10.5703125" style="4" bestFit="1" customWidth="1"/>
    <col min="4900" max="4900" width="10" style="4" bestFit="1" customWidth="1"/>
    <col min="4901" max="4901" width="9.140625" style="4"/>
    <col min="4902" max="4903" width="10" style="4" bestFit="1" customWidth="1"/>
    <col min="4904" max="4904" width="10.5703125" style="4" bestFit="1" customWidth="1"/>
    <col min="4905" max="4905" width="10.42578125" style="4" bestFit="1" customWidth="1"/>
    <col min="4906" max="4906" width="9.140625" style="4"/>
    <col min="4907" max="4907" width="9.5703125" style="4" bestFit="1" customWidth="1"/>
    <col min="4908" max="4908" width="10.42578125" style="4" bestFit="1" customWidth="1"/>
    <col min="4909" max="4909" width="10" style="4" bestFit="1" customWidth="1"/>
    <col min="4910" max="4910" width="12.42578125" style="4" bestFit="1" customWidth="1"/>
    <col min="4911" max="5127" width="9.140625" style="4"/>
    <col min="5128" max="5128" width="16.5703125" style="4" bestFit="1" customWidth="1"/>
    <col min="5129" max="5129" width="38.42578125" style="4" bestFit="1" customWidth="1"/>
    <col min="5130" max="5130" width="0" style="4" hidden="1" customWidth="1"/>
    <col min="5131" max="5131" width="36.5703125" style="4" customWidth="1"/>
    <col min="5132" max="5132" width="12.140625" style="4" customWidth="1"/>
    <col min="5133" max="5133" width="7.5703125" style="4" bestFit="1" customWidth="1"/>
    <col min="5134" max="5134" width="4.42578125" style="4" bestFit="1" customWidth="1"/>
    <col min="5135" max="5135" width="9.85546875" style="4" bestFit="1" customWidth="1"/>
    <col min="5136" max="5136" width="9.42578125" style="4" bestFit="1" customWidth="1"/>
    <col min="5137" max="5137" width="8.85546875" style="4" customWidth="1"/>
    <col min="5138" max="5138" width="9.140625" style="4"/>
    <col min="5139" max="5139" width="12.85546875" style="4" customWidth="1"/>
    <col min="5140" max="5140" width="9.140625" style="4"/>
    <col min="5141" max="5141" width="11.85546875" style="4" customWidth="1"/>
    <col min="5142" max="5142" width="11" style="4" bestFit="1" customWidth="1"/>
    <col min="5143" max="5143" width="10" style="4" bestFit="1" customWidth="1"/>
    <col min="5144" max="5144" width="9.5703125" style="4" bestFit="1" customWidth="1"/>
    <col min="5145" max="5146" width="10" style="4" bestFit="1" customWidth="1"/>
    <col min="5147" max="5147" width="10.5703125" style="4" bestFit="1" customWidth="1"/>
    <col min="5148" max="5148" width="10" style="4" bestFit="1" customWidth="1"/>
    <col min="5149" max="5149" width="9.140625" style="4"/>
    <col min="5150" max="5150" width="11" style="4" bestFit="1" customWidth="1"/>
    <col min="5151" max="5151" width="9.140625" style="4"/>
    <col min="5152" max="5152" width="10" style="4" bestFit="1" customWidth="1"/>
    <col min="5153" max="5153" width="9.5703125" style="4" bestFit="1" customWidth="1"/>
    <col min="5154" max="5155" width="10.5703125" style="4" bestFit="1" customWidth="1"/>
    <col min="5156" max="5156" width="10" style="4" bestFit="1" customWidth="1"/>
    <col min="5157" max="5157" width="9.140625" style="4"/>
    <col min="5158" max="5159" width="10" style="4" bestFit="1" customWidth="1"/>
    <col min="5160" max="5160" width="10.5703125" style="4" bestFit="1" customWidth="1"/>
    <col min="5161" max="5161" width="10.42578125" style="4" bestFit="1" customWidth="1"/>
    <col min="5162" max="5162" width="9.140625" style="4"/>
    <col min="5163" max="5163" width="9.5703125" style="4" bestFit="1" customWidth="1"/>
    <col min="5164" max="5164" width="10.42578125" style="4" bestFit="1" customWidth="1"/>
    <col min="5165" max="5165" width="10" style="4" bestFit="1" customWidth="1"/>
    <col min="5166" max="5166" width="12.42578125" style="4" bestFit="1" customWidth="1"/>
    <col min="5167" max="5383" width="9.140625" style="4"/>
    <col min="5384" max="5384" width="16.5703125" style="4" bestFit="1" customWidth="1"/>
    <col min="5385" max="5385" width="38.42578125" style="4" bestFit="1" customWidth="1"/>
    <col min="5386" max="5386" width="0" style="4" hidden="1" customWidth="1"/>
    <col min="5387" max="5387" width="36.5703125" style="4" customWidth="1"/>
    <col min="5388" max="5388" width="12.140625" style="4" customWidth="1"/>
    <col min="5389" max="5389" width="7.5703125" style="4" bestFit="1" customWidth="1"/>
    <col min="5390" max="5390" width="4.42578125" style="4" bestFit="1" customWidth="1"/>
    <col min="5391" max="5391" width="9.85546875" style="4" bestFit="1" customWidth="1"/>
    <col min="5392" max="5392" width="9.42578125" style="4" bestFit="1" customWidth="1"/>
    <col min="5393" max="5393" width="8.85546875" style="4" customWidth="1"/>
    <col min="5394" max="5394" width="9.140625" style="4"/>
    <col min="5395" max="5395" width="12.85546875" style="4" customWidth="1"/>
    <col min="5396" max="5396" width="9.140625" style="4"/>
    <col min="5397" max="5397" width="11.85546875" style="4" customWidth="1"/>
    <col min="5398" max="5398" width="11" style="4" bestFit="1" customWidth="1"/>
    <col min="5399" max="5399" width="10" style="4" bestFit="1" customWidth="1"/>
    <col min="5400" max="5400" width="9.5703125" style="4" bestFit="1" customWidth="1"/>
    <col min="5401" max="5402" width="10" style="4" bestFit="1" customWidth="1"/>
    <col min="5403" max="5403" width="10.5703125" style="4" bestFit="1" customWidth="1"/>
    <col min="5404" max="5404" width="10" style="4" bestFit="1" customWidth="1"/>
    <col min="5405" max="5405" width="9.140625" style="4"/>
    <col min="5406" max="5406" width="11" style="4" bestFit="1" customWidth="1"/>
    <col min="5407" max="5407" width="9.140625" style="4"/>
    <col min="5408" max="5408" width="10" style="4" bestFit="1" customWidth="1"/>
    <col min="5409" max="5409" width="9.5703125" style="4" bestFit="1" customWidth="1"/>
    <col min="5410" max="5411" width="10.5703125" style="4" bestFit="1" customWidth="1"/>
    <col min="5412" max="5412" width="10" style="4" bestFit="1" customWidth="1"/>
    <col min="5413" max="5413" width="9.140625" style="4"/>
    <col min="5414" max="5415" width="10" style="4" bestFit="1" customWidth="1"/>
    <col min="5416" max="5416" width="10.5703125" style="4" bestFit="1" customWidth="1"/>
    <col min="5417" max="5417" width="10.42578125" style="4" bestFit="1" customWidth="1"/>
    <col min="5418" max="5418" width="9.140625" style="4"/>
    <col min="5419" max="5419" width="9.5703125" style="4" bestFit="1" customWidth="1"/>
    <col min="5420" max="5420" width="10.42578125" style="4" bestFit="1" customWidth="1"/>
    <col min="5421" max="5421" width="10" style="4" bestFit="1" customWidth="1"/>
    <col min="5422" max="5422" width="12.42578125" style="4" bestFit="1" customWidth="1"/>
    <col min="5423" max="5639" width="9.140625" style="4"/>
    <col min="5640" max="5640" width="16.5703125" style="4" bestFit="1" customWidth="1"/>
    <col min="5641" max="5641" width="38.42578125" style="4" bestFit="1" customWidth="1"/>
    <col min="5642" max="5642" width="0" style="4" hidden="1" customWidth="1"/>
    <col min="5643" max="5643" width="36.5703125" style="4" customWidth="1"/>
    <col min="5644" max="5644" width="12.140625" style="4" customWidth="1"/>
    <col min="5645" max="5645" width="7.5703125" style="4" bestFit="1" customWidth="1"/>
    <col min="5646" max="5646" width="4.42578125" style="4" bestFit="1" customWidth="1"/>
    <col min="5647" max="5647" width="9.85546875" style="4" bestFit="1" customWidth="1"/>
    <col min="5648" max="5648" width="9.42578125" style="4" bestFit="1" customWidth="1"/>
    <col min="5649" max="5649" width="8.85546875" style="4" customWidth="1"/>
    <col min="5650" max="5650" width="9.140625" style="4"/>
    <col min="5651" max="5651" width="12.85546875" style="4" customWidth="1"/>
    <col min="5652" max="5652" width="9.140625" style="4"/>
    <col min="5653" max="5653" width="11.85546875" style="4" customWidth="1"/>
    <col min="5654" max="5654" width="11" style="4" bestFit="1" customWidth="1"/>
    <col min="5655" max="5655" width="10" style="4" bestFit="1" customWidth="1"/>
    <col min="5656" max="5656" width="9.5703125" style="4" bestFit="1" customWidth="1"/>
    <col min="5657" max="5658" width="10" style="4" bestFit="1" customWidth="1"/>
    <col min="5659" max="5659" width="10.5703125" style="4" bestFit="1" customWidth="1"/>
    <col min="5660" max="5660" width="10" style="4" bestFit="1" customWidth="1"/>
    <col min="5661" max="5661" width="9.140625" style="4"/>
    <col min="5662" max="5662" width="11" style="4" bestFit="1" customWidth="1"/>
    <col min="5663" max="5663" width="9.140625" style="4"/>
    <col min="5664" max="5664" width="10" style="4" bestFit="1" customWidth="1"/>
    <col min="5665" max="5665" width="9.5703125" style="4" bestFit="1" customWidth="1"/>
    <col min="5666" max="5667" width="10.5703125" style="4" bestFit="1" customWidth="1"/>
    <col min="5668" max="5668" width="10" style="4" bestFit="1" customWidth="1"/>
    <col min="5669" max="5669" width="9.140625" style="4"/>
    <col min="5670" max="5671" width="10" style="4" bestFit="1" customWidth="1"/>
    <col min="5672" max="5672" width="10.5703125" style="4" bestFit="1" customWidth="1"/>
    <col min="5673" max="5673" width="10.42578125" style="4" bestFit="1" customWidth="1"/>
    <col min="5674" max="5674" width="9.140625" style="4"/>
    <col min="5675" max="5675" width="9.5703125" style="4" bestFit="1" customWidth="1"/>
    <col min="5676" max="5676" width="10.42578125" style="4" bestFit="1" customWidth="1"/>
    <col min="5677" max="5677" width="10" style="4" bestFit="1" customWidth="1"/>
    <col min="5678" max="5678" width="12.42578125" style="4" bestFit="1" customWidth="1"/>
    <col min="5679" max="5895" width="9.140625" style="4"/>
    <col min="5896" max="5896" width="16.5703125" style="4" bestFit="1" customWidth="1"/>
    <col min="5897" max="5897" width="38.42578125" style="4" bestFit="1" customWidth="1"/>
    <col min="5898" max="5898" width="0" style="4" hidden="1" customWidth="1"/>
    <col min="5899" max="5899" width="36.5703125" style="4" customWidth="1"/>
    <col min="5900" max="5900" width="12.140625" style="4" customWidth="1"/>
    <col min="5901" max="5901" width="7.5703125" style="4" bestFit="1" customWidth="1"/>
    <col min="5902" max="5902" width="4.42578125" style="4" bestFit="1" customWidth="1"/>
    <col min="5903" max="5903" width="9.85546875" style="4" bestFit="1" customWidth="1"/>
    <col min="5904" max="5904" width="9.42578125" style="4" bestFit="1" customWidth="1"/>
    <col min="5905" max="5905" width="8.85546875" style="4" customWidth="1"/>
    <col min="5906" max="5906" width="9.140625" style="4"/>
    <col min="5907" max="5907" width="12.85546875" style="4" customWidth="1"/>
    <col min="5908" max="5908" width="9.140625" style="4"/>
    <col min="5909" max="5909" width="11.85546875" style="4" customWidth="1"/>
    <col min="5910" max="5910" width="11" style="4" bestFit="1" customWidth="1"/>
    <col min="5911" max="5911" width="10" style="4" bestFit="1" customWidth="1"/>
    <col min="5912" max="5912" width="9.5703125" style="4" bestFit="1" customWidth="1"/>
    <col min="5913" max="5914" width="10" style="4" bestFit="1" customWidth="1"/>
    <col min="5915" max="5915" width="10.5703125" style="4" bestFit="1" customWidth="1"/>
    <col min="5916" max="5916" width="10" style="4" bestFit="1" customWidth="1"/>
    <col min="5917" max="5917" width="9.140625" style="4"/>
    <col min="5918" max="5918" width="11" style="4" bestFit="1" customWidth="1"/>
    <col min="5919" max="5919" width="9.140625" style="4"/>
    <col min="5920" max="5920" width="10" style="4" bestFit="1" customWidth="1"/>
    <col min="5921" max="5921" width="9.5703125" style="4" bestFit="1" customWidth="1"/>
    <col min="5922" max="5923" width="10.5703125" style="4" bestFit="1" customWidth="1"/>
    <col min="5924" max="5924" width="10" style="4" bestFit="1" customWidth="1"/>
    <col min="5925" max="5925" width="9.140625" style="4"/>
    <col min="5926" max="5927" width="10" style="4" bestFit="1" customWidth="1"/>
    <col min="5928" max="5928" width="10.5703125" style="4" bestFit="1" customWidth="1"/>
    <col min="5929" max="5929" width="10.42578125" style="4" bestFit="1" customWidth="1"/>
    <col min="5930" max="5930" width="9.140625" style="4"/>
    <col min="5931" max="5931" width="9.5703125" style="4" bestFit="1" customWidth="1"/>
    <col min="5932" max="5932" width="10.42578125" style="4" bestFit="1" customWidth="1"/>
    <col min="5933" max="5933" width="10" style="4" bestFit="1" customWidth="1"/>
    <col min="5934" max="5934" width="12.42578125" style="4" bestFit="1" customWidth="1"/>
    <col min="5935" max="6151" width="9.140625" style="4"/>
    <col min="6152" max="6152" width="16.5703125" style="4" bestFit="1" customWidth="1"/>
    <col min="6153" max="6153" width="38.42578125" style="4" bestFit="1" customWidth="1"/>
    <col min="6154" max="6154" width="0" style="4" hidden="1" customWidth="1"/>
    <col min="6155" max="6155" width="36.5703125" style="4" customWidth="1"/>
    <col min="6156" max="6156" width="12.140625" style="4" customWidth="1"/>
    <col min="6157" max="6157" width="7.5703125" style="4" bestFit="1" customWidth="1"/>
    <col min="6158" max="6158" width="4.42578125" style="4" bestFit="1" customWidth="1"/>
    <col min="6159" max="6159" width="9.85546875" style="4" bestFit="1" customWidth="1"/>
    <col min="6160" max="6160" width="9.42578125" style="4" bestFit="1" customWidth="1"/>
    <col min="6161" max="6161" width="8.85546875" style="4" customWidth="1"/>
    <col min="6162" max="6162" width="9.140625" style="4"/>
    <col min="6163" max="6163" width="12.85546875" style="4" customWidth="1"/>
    <col min="6164" max="6164" width="9.140625" style="4"/>
    <col min="6165" max="6165" width="11.85546875" style="4" customWidth="1"/>
    <col min="6166" max="6166" width="11" style="4" bestFit="1" customWidth="1"/>
    <col min="6167" max="6167" width="10" style="4" bestFit="1" customWidth="1"/>
    <col min="6168" max="6168" width="9.5703125" style="4" bestFit="1" customWidth="1"/>
    <col min="6169" max="6170" width="10" style="4" bestFit="1" customWidth="1"/>
    <col min="6171" max="6171" width="10.5703125" style="4" bestFit="1" customWidth="1"/>
    <col min="6172" max="6172" width="10" style="4" bestFit="1" customWidth="1"/>
    <col min="6173" max="6173" width="9.140625" style="4"/>
    <col min="6174" max="6174" width="11" style="4" bestFit="1" customWidth="1"/>
    <col min="6175" max="6175" width="9.140625" style="4"/>
    <col min="6176" max="6176" width="10" style="4" bestFit="1" customWidth="1"/>
    <col min="6177" max="6177" width="9.5703125" style="4" bestFit="1" customWidth="1"/>
    <col min="6178" max="6179" width="10.5703125" style="4" bestFit="1" customWidth="1"/>
    <col min="6180" max="6180" width="10" style="4" bestFit="1" customWidth="1"/>
    <col min="6181" max="6181" width="9.140625" style="4"/>
    <col min="6182" max="6183" width="10" style="4" bestFit="1" customWidth="1"/>
    <col min="6184" max="6184" width="10.5703125" style="4" bestFit="1" customWidth="1"/>
    <col min="6185" max="6185" width="10.42578125" style="4" bestFit="1" customWidth="1"/>
    <col min="6186" max="6186" width="9.140625" style="4"/>
    <col min="6187" max="6187" width="9.5703125" style="4" bestFit="1" customWidth="1"/>
    <col min="6188" max="6188" width="10.42578125" style="4" bestFit="1" customWidth="1"/>
    <col min="6189" max="6189" width="10" style="4" bestFit="1" customWidth="1"/>
    <col min="6190" max="6190" width="12.42578125" style="4" bestFit="1" customWidth="1"/>
    <col min="6191" max="6407" width="9.140625" style="4"/>
    <col min="6408" max="6408" width="16.5703125" style="4" bestFit="1" customWidth="1"/>
    <col min="6409" max="6409" width="38.42578125" style="4" bestFit="1" customWidth="1"/>
    <col min="6410" max="6410" width="0" style="4" hidden="1" customWidth="1"/>
    <col min="6411" max="6411" width="36.5703125" style="4" customWidth="1"/>
    <col min="6412" max="6412" width="12.140625" style="4" customWidth="1"/>
    <col min="6413" max="6413" width="7.5703125" style="4" bestFit="1" customWidth="1"/>
    <col min="6414" max="6414" width="4.42578125" style="4" bestFit="1" customWidth="1"/>
    <col min="6415" max="6415" width="9.85546875" style="4" bestFit="1" customWidth="1"/>
    <col min="6416" max="6416" width="9.42578125" style="4" bestFit="1" customWidth="1"/>
    <col min="6417" max="6417" width="8.85546875" style="4" customWidth="1"/>
    <col min="6418" max="6418" width="9.140625" style="4"/>
    <col min="6419" max="6419" width="12.85546875" style="4" customWidth="1"/>
    <col min="6420" max="6420" width="9.140625" style="4"/>
    <col min="6421" max="6421" width="11.85546875" style="4" customWidth="1"/>
    <col min="6422" max="6422" width="11" style="4" bestFit="1" customWidth="1"/>
    <col min="6423" max="6423" width="10" style="4" bestFit="1" customWidth="1"/>
    <col min="6424" max="6424" width="9.5703125" style="4" bestFit="1" customWidth="1"/>
    <col min="6425" max="6426" width="10" style="4" bestFit="1" customWidth="1"/>
    <col min="6427" max="6427" width="10.5703125" style="4" bestFit="1" customWidth="1"/>
    <col min="6428" max="6428" width="10" style="4" bestFit="1" customWidth="1"/>
    <col min="6429" max="6429" width="9.140625" style="4"/>
    <col min="6430" max="6430" width="11" style="4" bestFit="1" customWidth="1"/>
    <col min="6431" max="6431" width="9.140625" style="4"/>
    <col min="6432" max="6432" width="10" style="4" bestFit="1" customWidth="1"/>
    <col min="6433" max="6433" width="9.5703125" style="4" bestFit="1" customWidth="1"/>
    <col min="6434" max="6435" width="10.5703125" style="4" bestFit="1" customWidth="1"/>
    <col min="6436" max="6436" width="10" style="4" bestFit="1" customWidth="1"/>
    <col min="6437" max="6437" width="9.140625" style="4"/>
    <col min="6438" max="6439" width="10" style="4" bestFit="1" customWidth="1"/>
    <col min="6440" max="6440" width="10.5703125" style="4" bestFit="1" customWidth="1"/>
    <col min="6441" max="6441" width="10.42578125" style="4" bestFit="1" customWidth="1"/>
    <col min="6442" max="6442" width="9.140625" style="4"/>
    <col min="6443" max="6443" width="9.5703125" style="4" bestFit="1" customWidth="1"/>
    <col min="6444" max="6444" width="10.42578125" style="4" bestFit="1" customWidth="1"/>
    <col min="6445" max="6445" width="10" style="4" bestFit="1" customWidth="1"/>
    <col min="6446" max="6446" width="12.42578125" style="4" bestFit="1" customWidth="1"/>
    <col min="6447" max="6663" width="9.140625" style="4"/>
    <col min="6664" max="6664" width="16.5703125" style="4" bestFit="1" customWidth="1"/>
    <col min="6665" max="6665" width="38.42578125" style="4" bestFit="1" customWidth="1"/>
    <col min="6666" max="6666" width="0" style="4" hidden="1" customWidth="1"/>
    <col min="6667" max="6667" width="36.5703125" style="4" customWidth="1"/>
    <col min="6668" max="6668" width="12.140625" style="4" customWidth="1"/>
    <col min="6669" max="6669" width="7.5703125" style="4" bestFit="1" customWidth="1"/>
    <col min="6670" max="6670" width="4.42578125" style="4" bestFit="1" customWidth="1"/>
    <col min="6671" max="6671" width="9.85546875" style="4" bestFit="1" customWidth="1"/>
    <col min="6672" max="6672" width="9.42578125" style="4" bestFit="1" customWidth="1"/>
    <col min="6673" max="6673" width="8.85546875" style="4" customWidth="1"/>
    <col min="6674" max="6674" width="9.140625" style="4"/>
    <col min="6675" max="6675" width="12.85546875" style="4" customWidth="1"/>
    <col min="6676" max="6676" width="9.140625" style="4"/>
    <col min="6677" max="6677" width="11.85546875" style="4" customWidth="1"/>
    <col min="6678" max="6678" width="11" style="4" bestFit="1" customWidth="1"/>
    <col min="6679" max="6679" width="10" style="4" bestFit="1" customWidth="1"/>
    <col min="6680" max="6680" width="9.5703125" style="4" bestFit="1" customWidth="1"/>
    <col min="6681" max="6682" width="10" style="4" bestFit="1" customWidth="1"/>
    <col min="6683" max="6683" width="10.5703125" style="4" bestFit="1" customWidth="1"/>
    <col min="6684" max="6684" width="10" style="4" bestFit="1" customWidth="1"/>
    <col min="6685" max="6685" width="9.140625" style="4"/>
    <col min="6686" max="6686" width="11" style="4" bestFit="1" customWidth="1"/>
    <col min="6687" max="6687" width="9.140625" style="4"/>
    <col min="6688" max="6688" width="10" style="4" bestFit="1" customWidth="1"/>
    <col min="6689" max="6689" width="9.5703125" style="4" bestFit="1" customWidth="1"/>
    <col min="6690" max="6691" width="10.5703125" style="4" bestFit="1" customWidth="1"/>
    <col min="6692" max="6692" width="10" style="4" bestFit="1" customWidth="1"/>
    <col min="6693" max="6693" width="9.140625" style="4"/>
    <col min="6694" max="6695" width="10" style="4" bestFit="1" customWidth="1"/>
    <col min="6696" max="6696" width="10.5703125" style="4" bestFit="1" customWidth="1"/>
    <col min="6697" max="6697" width="10.42578125" style="4" bestFit="1" customWidth="1"/>
    <col min="6698" max="6698" width="9.140625" style="4"/>
    <col min="6699" max="6699" width="9.5703125" style="4" bestFit="1" customWidth="1"/>
    <col min="6700" max="6700" width="10.42578125" style="4" bestFit="1" customWidth="1"/>
    <col min="6701" max="6701" width="10" style="4" bestFit="1" customWidth="1"/>
    <col min="6702" max="6702" width="12.42578125" style="4" bestFit="1" customWidth="1"/>
    <col min="6703" max="6919" width="9.140625" style="4"/>
    <col min="6920" max="6920" width="16.5703125" style="4" bestFit="1" customWidth="1"/>
    <col min="6921" max="6921" width="38.42578125" style="4" bestFit="1" customWidth="1"/>
    <col min="6922" max="6922" width="0" style="4" hidden="1" customWidth="1"/>
    <col min="6923" max="6923" width="36.5703125" style="4" customWidth="1"/>
    <col min="6924" max="6924" width="12.140625" style="4" customWidth="1"/>
    <col min="6925" max="6925" width="7.5703125" style="4" bestFit="1" customWidth="1"/>
    <col min="6926" max="6926" width="4.42578125" style="4" bestFit="1" customWidth="1"/>
    <col min="6927" max="6927" width="9.85546875" style="4" bestFit="1" customWidth="1"/>
    <col min="6928" max="6928" width="9.42578125" style="4" bestFit="1" customWidth="1"/>
    <col min="6929" max="6929" width="8.85546875" style="4" customWidth="1"/>
    <col min="6930" max="6930" width="9.140625" style="4"/>
    <col min="6931" max="6931" width="12.85546875" style="4" customWidth="1"/>
    <col min="6932" max="6932" width="9.140625" style="4"/>
    <col min="6933" max="6933" width="11.85546875" style="4" customWidth="1"/>
    <col min="6934" max="6934" width="11" style="4" bestFit="1" customWidth="1"/>
    <col min="6935" max="6935" width="10" style="4" bestFit="1" customWidth="1"/>
    <col min="6936" max="6936" width="9.5703125" style="4" bestFit="1" customWidth="1"/>
    <col min="6937" max="6938" width="10" style="4" bestFit="1" customWidth="1"/>
    <col min="6939" max="6939" width="10.5703125" style="4" bestFit="1" customWidth="1"/>
    <col min="6940" max="6940" width="10" style="4" bestFit="1" customWidth="1"/>
    <col min="6941" max="6941" width="9.140625" style="4"/>
    <col min="6942" max="6942" width="11" style="4" bestFit="1" customWidth="1"/>
    <col min="6943" max="6943" width="9.140625" style="4"/>
    <col min="6944" max="6944" width="10" style="4" bestFit="1" customWidth="1"/>
    <col min="6945" max="6945" width="9.5703125" style="4" bestFit="1" customWidth="1"/>
    <col min="6946" max="6947" width="10.5703125" style="4" bestFit="1" customWidth="1"/>
    <col min="6948" max="6948" width="10" style="4" bestFit="1" customWidth="1"/>
    <col min="6949" max="6949" width="9.140625" style="4"/>
    <col min="6950" max="6951" width="10" style="4" bestFit="1" customWidth="1"/>
    <col min="6952" max="6952" width="10.5703125" style="4" bestFit="1" customWidth="1"/>
    <col min="6953" max="6953" width="10.42578125" style="4" bestFit="1" customWidth="1"/>
    <col min="6954" max="6954" width="9.140625" style="4"/>
    <col min="6955" max="6955" width="9.5703125" style="4" bestFit="1" customWidth="1"/>
    <col min="6956" max="6956" width="10.42578125" style="4" bestFit="1" customWidth="1"/>
    <col min="6957" max="6957" width="10" style="4" bestFit="1" customWidth="1"/>
    <col min="6958" max="6958" width="12.42578125" style="4" bestFit="1" customWidth="1"/>
    <col min="6959" max="7175" width="9.140625" style="4"/>
    <col min="7176" max="7176" width="16.5703125" style="4" bestFit="1" customWidth="1"/>
    <col min="7177" max="7177" width="38.42578125" style="4" bestFit="1" customWidth="1"/>
    <col min="7178" max="7178" width="0" style="4" hidden="1" customWidth="1"/>
    <col min="7179" max="7179" width="36.5703125" style="4" customWidth="1"/>
    <col min="7180" max="7180" width="12.140625" style="4" customWidth="1"/>
    <col min="7181" max="7181" width="7.5703125" style="4" bestFit="1" customWidth="1"/>
    <col min="7182" max="7182" width="4.42578125" style="4" bestFit="1" customWidth="1"/>
    <col min="7183" max="7183" width="9.85546875" style="4" bestFit="1" customWidth="1"/>
    <col min="7184" max="7184" width="9.42578125" style="4" bestFit="1" customWidth="1"/>
    <col min="7185" max="7185" width="8.85546875" style="4" customWidth="1"/>
    <col min="7186" max="7186" width="9.140625" style="4"/>
    <col min="7187" max="7187" width="12.85546875" style="4" customWidth="1"/>
    <col min="7188" max="7188" width="9.140625" style="4"/>
    <col min="7189" max="7189" width="11.85546875" style="4" customWidth="1"/>
    <col min="7190" max="7190" width="11" style="4" bestFit="1" customWidth="1"/>
    <col min="7191" max="7191" width="10" style="4" bestFit="1" customWidth="1"/>
    <col min="7192" max="7192" width="9.5703125" style="4" bestFit="1" customWidth="1"/>
    <col min="7193" max="7194" width="10" style="4" bestFit="1" customWidth="1"/>
    <col min="7195" max="7195" width="10.5703125" style="4" bestFit="1" customWidth="1"/>
    <col min="7196" max="7196" width="10" style="4" bestFit="1" customWidth="1"/>
    <col min="7197" max="7197" width="9.140625" style="4"/>
    <col min="7198" max="7198" width="11" style="4" bestFit="1" customWidth="1"/>
    <col min="7199" max="7199" width="9.140625" style="4"/>
    <col min="7200" max="7200" width="10" style="4" bestFit="1" customWidth="1"/>
    <col min="7201" max="7201" width="9.5703125" style="4" bestFit="1" customWidth="1"/>
    <col min="7202" max="7203" width="10.5703125" style="4" bestFit="1" customWidth="1"/>
    <col min="7204" max="7204" width="10" style="4" bestFit="1" customWidth="1"/>
    <col min="7205" max="7205" width="9.140625" style="4"/>
    <col min="7206" max="7207" width="10" style="4" bestFit="1" customWidth="1"/>
    <col min="7208" max="7208" width="10.5703125" style="4" bestFit="1" customWidth="1"/>
    <col min="7209" max="7209" width="10.42578125" style="4" bestFit="1" customWidth="1"/>
    <col min="7210" max="7210" width="9.140625" style="4"/>
    <col min="7211" max="7211" width="9.5703125" style="4" bestFit="1" customWidth="1"/>
    <col min="7212" max="7212" width="10.42578125" style="4" bestFit="1" customWidth="1"/>
    <col min="7213" max="7213" width="10" style="4" bestFit="1" customWidth="1"/>
    <col min="7214" max="7214" width="12.42578125" style="4" bestFit="1" customWidth="1"/>
    <col min="7215" max="7431" width="9.140625" style="4"/>
    <col min="7432" max="7432" width="16.5703125" style="4" bestFit="1" customWidth="1"/>
    <col min="7433" max="7433" width="38.42578125" style="4" bestFit="1" customWidth="1"/>
    <col min="7434" max="7434" width="0" style="4" hidden="1" customWidth="1"/>
    <col min="7435" max="7435" width="36.5703125" style="4" customWidth="1"/>
    <col min="7436" max="7436" width="12.140625" style="4" customWidth="1"/>
    <col min="7437" max="7437" width="7.5703125" style="4" bestFit="1" customWidth="1"/>
    <col min="7438" max="7438" width="4.42578125" style="4" bestFit="1" customWidth="1"/>
    <col min="7439" max="7439" width="9.85546875" style="4" bestFit="1" customWidth="1"/>
    <col min="7440" max="7440" width="9.42578125" style="4" bestFit="1" customWidth="1"/>
    <col min="7441" max="7441" width="8.85546875" style="4" customWidth="1"/>
    <col min="7442" max="7442" width="9.140625" style="4"/>
    <col min="7443" max="7443" width="12.85546875" style="4" customWidth="1"/>
    <col min="7444" max="7444" width="9.140625" style="4"/>
    <col min="7445" max="7445" width="11.85546875" style="4" customWidth="1"/>
    <col min="7446" max="7446" width="11" style="4" bestFit="1" customWidth="1"/>
    <col min="7447" max="7447" width="10" style="4" bestFit="1" customWidth="1"/>
    <col min="7448" max="7448" width="9.5703125" style="4" bestFit="1" customWidth="1"/>
    <col min="7449" max="7450" width="10" style="4" bestFit="1" customWidth="1"/>
    <col min="7451" max="7451" width="10.5703125" style="4" bestFit="1" customWidth="1"/>
    <col min="7452" max="7452" width="10" style="4" bestFit="1" customWidth="1"/>
    <col min="7453" max="7453" width="9.140625" style="4"/>
    <col min="7454" max="7454" width="11" style="4" bestFit="1" customWidth="1"/>
    <col min="7455" max="7455" width="9.140625" style="4"/>
    <col min="7456" max="7456" width="10" style="4" bestFit="1" customWidth="1"/>
    <col min="7457" max="7457" width="9.5703125" style="4" bestFit="1" customWidth="1"/>
    <col min="7458" max="7459" width="10.5703125" style="4" bestFit="1" customWidth="1"/>
    <col min="7460" max="7460" width="10" style="4" bestFit="1" customWidth="1"/>
    <col min="7461" max="7461" width="9.140625" style="4"/>
    <col min="7462" max="7463" width="10" style="4" bestFit="1" customWidth="1"/>
    <col min="7464" max="7464" width="10.5703125" style="4" bestFit="1" customWidth="1"/>
    <col min="7465" max="7465" width="10.42578125" style="4" bestFit="1" customWidth="1"/>
    <col min="7466" max="7466" width="9.140625" style="4"/>
    <col min="7467" max="7467" width="9.5703125" style="4" bestFit="1" customWidth="1"/>
    <col min="7468" max="7468" width="10.42578125" style="4" bestFit="1" customWidth="1"/>
    <col min="7469" max="7469" width="10" style="4" bestFit="1" customWidth="1"/>
    <col min="7470" max="7470" width="12.42578125" style="4" bestFit="1" customWidth="1"/>
    <col min="7471" max="7687" width="9.140625" style="4"/>
    <col min="7688" max="7688" width="16.5703125" style="4" bestFit="1" customWidth="1"/>
    <col min="7689" max="7689" width="38.42578125" style="4" bestFit="1" customWidth="1"/>
    <col min="7690" max="7690" width="0" style="4" hidden="1" customWidth="1"/>
    <col min="7691" max="7691" width="36.5703125" style="4" customWidth="1"/>
    <col min="7692" max="7692" width="12.140625" style="4" customWidth="1"/>
    <col min="7693" max="7693" width="7.5703125" style="4" bestFit="1" customWidth="1"/>
    <col min="7694" max="7694" width="4.42578125" style="4" bestFit="1" customWidth="1"/>
    <col min="7695" max="7695" width="9.85546875" style="4" bestFit="1" customWidth="1"/>
    <col min="7696" max="7696" width="9.42578125" style="4" bestFit="1" customWidth="1"/>
    <col min="7697" max="7697" width="8.85546875" style="4" customWidth="1"/>
    <col min="7698" max="7698" width="9.140625" style="4"/>
    <col min="7699" max="7699" width="12.85546875" style="4" customWidth="1"/>
    <col min="7700" max="7700" width="9.140625" style="4"/>
    <col min="7701" max="7701" width="11.85546875" style="4" customWidth="1"/>
    <col min="7702" max="7702" width="11" style="4" bestFit="1" customWidth="1"/>
    <col min="7703" max="7703" width="10" style="4" bestFit="1" customWidth="1"/>
    <col min="7704" max="7704" width="9.5703125" style="4" bestFit="1" customWidth="1"/>
    <col min="7705" max="7706" width="10" style="4" bestFit="1" customWidth="1"/>
    <col min="7707" max="7707" width="10.5703125" style="4" bestFit="1" customWidth="1"/>
    <col min="7708" max="7708" width="10" style="4" bestFit="1" customWidth="1"/>
    <col min="7709" max="7709" width="9.140625" style="4"/>
    <col min="7710" max="7710" width="11" style="4" bestFit="1" customWidth="1"/>
    <col min="7711" max="7711" width="9.140625" style="4"/>
    <col min="7712" max="7712" width="10" style="4" bestFit="1" customWidth="1"/>
    <col min="7713" max="7713" width="9.5703125" style="4" bestFit="1" customWidth="1"/>
    <col min="7714" max="7715" width="10.5703125" style="4" bestFit="1" customWidth="1"/>
    <col min="7716" max="7716" width="10" style="4" bestFit="1" customWidth="1"/>
    <col min="7717" max="7717" width="9.140625" style="4"/>
    <col min="7718" max="7719" width="10" style="4" bestFit="1" customWidth="1"/>
    <col min="7720" max="7720" width="10.5703125" style="4" bestFit="1" customWidth="1"/>
    <col min="7721" max="7721" width="10.42578125" style="4" bestFit="1" customWidth="1"/>
    <col min="7722" max="7722" width="9.140625" style="4"/>
    <col min="7723" max="7723" width="9.5703125" style="4" bestFit="1" customWidth="1"/>
    <col min="7724" max="7724" width="10.42578125" style="4" bestFit="1" customWidth="1"/>
    <col min="7725" max="7725" width="10" style="4" bestFit="1" customWidth="1"/>
    <col min="7726" max="7726" width="12.42578125" style="4" bestFit="1" customWidth="1"/>
    <col min="7727" max="7943" width="9.140625" style="4"/>
    <col min="7944" max="7944" width="16.5703125" style="4" bestFit="1" customWidth="1"/>
    <col min="7945" max="7945" width="38.42578125" style="4" bestFit="1" customWidth="1"/>
    <col min="7946" max="7946" width="0" style="4" hidden="1" customWidth="1"/>
    <col min="7947" max="7947" width="36.5703125" style="4" customWidth="1"/>
    <col min="7948" max="7948" width="12.140625" style="4" customWidth="1"/>
    <col min="7949" max="7949" width="7.5703125" style="4" bestFit="1" customWidth="1"/>
    <col min="7950" max="7950" width="4.42578125" style="4" bestFit="1" customWidth="1"/>
    <col min="7951" max="7951" width="9.85546875" style="4" bestFit="1" customWidth="1"/>
    <col min="7952" max="7952" width="9.42578125" style="4" bestFit="1" customWidth="1"/>
    <col min="7953" max="7953" width="8.85546875" style="4" customWidth="1"/>
    <col min="7954" max="7954" width="9.140625" style="4"/>
    <col min="7955" max="7955" width="12.85546875" style="4" customWidth="1"/>
    <col min="7956" max="7956" width="9.140625" style="4"/>
    <col min="7957" max="7957" width="11.85546875" style="4" customWidth="1"/>
    <col min="7958" max="7958" width="11" style="4" bestFit="1" customWidth="1"/>
    <col min="7959" max="7959" width="10" style="4" bestFit="1" customWidth="1"/>
    <col min="7960" max="7960" width="9.5703125" style="4" bestFit="1" customWidth="1"/>
    <col min="7961" max="7962" width="10" style="4" bestFit="1" customWidth="1"/>
    <col min="7963" max="7963" width="10.5703125" style="4" bestFit="1" customWidth="1"/>
    <col min="7964" max="7964" width="10" style="4" bestFit="1" customWidth="1"/>
    <col min="7965" max="7965" width="9.140625" style="4"/>
    <col min="7966" max="7966" width="11" style="4" bestFit="1" customWidth="1"/>
    <col min="7967" max="7967" width="9.140625" style="4"/>
    <col min="7968" max="7968" width="10" style="4" bestFit="1" customWidth="1"/>
    <col min="7969" max="7969" width="9.5703125" style="4" bestFit="1" customWidth="1"/>
    <col min="7970" max="7971" width="10.5703125" style="4" bestFit="1" customWidth="1"/>
    <col min="7972" max="7972" width="10" style="4" bestFit="1" customWidth="1"/>
    <col min="7973" max="7973" width="9.140625" style="4"/>
    <col min="7974" max="7975" width="10" style="4" bestFit="1" customWidth="1"/>
    <col min="7976" max="7976" width="10.5703125" style="4" bestFit="1" customWidth="1"/>
    <col min="7977" max="7977" width="10.42578125" style="4" bestFit="1" customWidth="1"/>
    <col min="7978" max="7978" width="9.140625" style="4"/>
    <col min="7979" max="7979" width="9.5703125" style="4" bestFit="1" customWidth="1"/>
    <col min="7980" max="7980" width="10.42578125" style="4" bestFit="1" customWidth="1"/>
    <col min="7981" max="7981" width="10" style="4" bestFit="1" customWidth="1"/>
    <col min="7982" max="7982" width="12.42578125" style="4" bestFit="1" customWidth="1"/>
    <col min="7983" max="8199" width="9.140625" style="4"/>
    <col min="8200" max="8200" width="16.5703125" style="4" bestFit="1" customWidth="1"/>
    <col min="8201" max="8201" width="38.42578125" style="4" bestFit="1" customWidth="1"/>
    <col min="8202" max="8202" width="0" style="4" hidden="1" customWidth="1"/>
    <col min="8203" max="8203" width="36.5703125" style="4" customWidth="1"/>
    <col min="8204" max="8204" width="12.140625" style="4" customWidth="1"/>
    <col min="8205" max="8205" width="7.5703125" style="4" bestFit="1" customWidth="1"/>
    <col min="8206" max="8206" width="4.42578125" style="4" bestFit="1" customWidth="1"/>
    <col min="8207" max="8207" width="9.85546875" style="4" bestFit="1" customWidth="1"/>
    <col min="8208" max="8208" width="9.42578125" style="4" bestFit="1" customWidth="1"/>
    <col min="8209" max="8209" width="8.85546875" style="4" customWidth="1"/>
    <col min="8210" max="8210" width="9.140625" style="4"/>
    <col min="8211" max="8211" width="12.85546875" style="4" customWidth="1"/>
    <col min="8212" max="8212" width="9.140625" style="4"/>
    <col min="8213" max="8213" width="11.85546875" style="4" customWidth="1"/>
    <col min="8214" max="8214" width="11" style="4" bestFit="1" customWidth="1"/>
    <col min="8215" max="8215" width="10" style="4" bestFit="1" customWidth="1"/>
    <col min="8216" max="8216" width="9.5703125" style="4" bestFit="1" customWidth="1"/>
    <col min="8217" max="8218" width="10" style="4" bestFit="1" customWidth="1"/>
    <col min="8219" max="8219" width="10.5703125" style="4" bestFit="1" customWidth="1"/>
    <col min="8220" max="8220" width="10" style="4" bestFit="1" customWidth="1"/>
    <col min="8221" max="8221" width="9.140625" style="4"/>
    <col min="8222" max="8222" width="11" style="4" bestFit="1" customWidth="1"/>
    <col min="8223" max="8223" width="9.140625" style="4"/>
    <col min="8224" max="8224" width="10" style="4" bestFit="1" customWidth="1"/>
    <col min="8225" max="8225" width="9.5703125" style="4" bestFit="1" customWidth="1"/>
    <col min="8226" max="8227" width="10.5703125" style="4" bestFit="1" customWidth="1"/>
    <col min="8228" max="8228" width="10" style="4" bestFit="1" customWidth="1"/>
    <col min="8229" max="8229" width="9.140625" style="4"/>
    <col min="8230" max="8231" width="10" style="4" bestFit="1" customWidth="1"/>
    <col min="8232" max="8232" width="10.5703125" style="4" bestFit="1" customWidth="1"/>
    <col min="8233" max="8233" width="10.42578125" style="4" bestFit="1" customWidth="1"/>
    <col min="8234" max="8234" width="9.140625" style="4"/>
    <col min="8235" max="8235" width="9.5703125" style="4" bestFit="1" customWidth="1"/>
    <col min="8236" max="8236" width="10.42578125" style="4" bestFit="1" customWidth="1"/>
    <col min="8237" max="8237" width="10" style="4" bestFit="1" customWidth="1"/>
    <col min="8238" max="8238" width="12.42578125" style="4" bestFit="1" customWidth="1"/>
    <col min="8239" max="8455" width="9.140625" style="4"/>
    <col min="8456" max="8456" width="16.5703125" style="4" bestFit="1" customWidth="1"/>
    <col min="8457" max="8457" width="38.42578125" style="4" bestFit="1" customWidth="1"/>
    <col min="8458" max="8458" width="0" style="4" hidden="1" customWidth="1"/>
    <col min="8459" max="8459" width="36.5703125" style="4" customWidth="1"/>
    <col min="8460" max="8460" width="12.140625" style="4" customWidth="1"/>
    <col min="8461" max="8461" width="7.5703125" style="4" bestFit="1" customWidth="1"/>
    <col min="8462" max="8462" width="4.42578125" style="4" bestFit="1" customWidth="1"/>
    <col min="8463" max="8463" width="9.85546875" style="4" bestFit="1" customWidth="1"/>
    <col min="8464" max="8464" width="9.42578125" style="4" bestFit="1" customWidth="1"/>
    <col min="8465" max="8465" width="8.85546875" style="4" customWidth="1"/>
    <col min="8466" max="8466" width="9.140625" style="4"/>
    <col min="8467" max="8467" width="12.85546875" style="4" customWidth="1"/>
    <col min="8468" max="8468" width="9.140625" style="4"/>
    <col min="8469" max="8469" width="11.85546875" style="4" customWidth="1"/>
    <col min="8470" max="8470" width="11" style="4" bestFit="1" customWidth="1"/>
    <col min="8471" max="8471" width="10" style="4" bestFit="1" customWidth="1"/>
    <col min="8472" max="8472" width="9.5703125" style="4" bestFit="1" customWidth="1"/>
    <col min="8473" max="8474" width="10" style="4" bestFit="1" customWidth="1"/>
    <col min="8475" max="8475" width="10.5703125" style="4" bestFit="1" customWidth="1"/>
    <col min="8476" max="8476" width="10" style="4" bestFit="1" customWidth="1"/>
    <col min="8477" max="8477" width="9.140625" style="4"/>
    <col min="8478" max="8478" width="11" style="4" bestFit="1" customWidth="1"/>
    <col min="8479" max="8479" width="9.140625" style="4"/>
    <col min="8480" max="8480" width="10" style="4" bestFit="1" customWidth="1"/>
    <col min="8481" max="8481" width="9.5703125" style="4" bestFit="1" customWidth="1"/>
    <col min="8482" max="8483" width="10.5703125" style="4" bestFit="1" customWidth="1"/>
    <col min="8484" max="8484" width="10" style="4" bestFit="1" customWidth="1"/>
    <col min="8485" max="8485" width="9.140625" style="4"/>
    <col min="8486" max="8487" width="10" style="4" bestFit="1" customWidth="1"/>
    <col min="8488" max="8488" width="10.5703125" style="4" bestFit="1" customWidth="1"/>
    <col min="8489" max="8489" width="10.42578125" style="4" bestFit="1" customWidth="1"/>
    <col min="8490" max="8490" width="9.140625" style="4"/>
    <col min="8491" max="8491" width="9.5703125" style="4" bestFit="1" customWidth="1"/>
    <col min="8492" max="8492" width="10.42578125" style="4" bestFit="1" customWidth="1"/>
    <col min="8493" max="8493" width="10" style="4" bestFit="1" customWidth="1"/>
    <col min="8494" max="8494" width="12.42578125" style="4" bestFit="1" customWidth="1"/>
    <col min="8495" max="8711" width="9.140625" style="4"/>
    <col min="8712" max="8712" width="16.5703125" style="4" bestFit="1" customWidth="1"/>
    <col min="8713" max="8713" width="38.42578125" style="4" bestFit="1" customWidth="1"/>
    <col min="8714" max="8714" width="0" style="4" hidden="1" customWidth="1"/>
    <col min="8715" max="8715" width="36.5703125" style="4" customWidth="1"/>
    <col min="8716" max="8716" width="12.140625" style="4" customWidth="1"/>
    <col min="8717" max="8717" width="7.5703125" style="4" bestFit="1" customWidth="1"/>
    <col min="8718" max="8718" width="4.42578125" style="4" bestFit="1" customWidth="1"/>
    <col min="8719" max="8719" width="9.85546875" style="4" bestFit="1" customWidth="1"/>
    <col min="8720" max="8720" width="9.42578125" style="4" bestFit="1" customWidth="1"/>
    <col min="8721" max="8721" width="8.85546875" style="4" customWidth="1"/>
    <col min="8722" max="8722" width="9.140625" style="4"/>
    <col min="8723" max="8723" width="12.85546875" style="4" customWidth="1"/>
    <col min="8724" max="8724" width="9.140625" style="4"/>
    <col min="8725" max="8725" width="11.85546875" style="4" customWidth="1"/>
    <col min="8726" max="8726" width="11" style="4" bestFit="1" customWidth="1"/>
    <col min="8727" max="8727" width="10" style="4" bestFit="1" customWidth="1"/>
    <col min="8728" max="8728" width="9.5703125" style="4" bestFit="1" customWidth="1"/>
    <col min="8729" max="8730" width="10" style="4" bestFit="1" customWidth="1"/>
    <col min="8731" max="8731" width="10.5703125" style="4" bestFit="1" customWidth="1"/>
    <col min="8732" max="8732" width="10" style="4" bestFit="1" customWidth="1"/>
    <col min="8733" max="8733" width="9.140625" style="4"/>
    <col min="8734" max="8734" width="11" style="4" bestFit="1" customWidth="1"/>
    <col min="8735" max="8735" width="9.140625" style="4"/>
    <col min="8736" max="8736" width="10" style="4" bestFit="1" customWidth="1"/>
    <col min="8737" max="8737" width="9.5703125" style="4" bestFit="1" customWidth="1"/>
    <col min="8738" max="8739" width="10.5703125" style="4" bestFit="1" customWidth="1"/>
    <col min="8740" max="8740" width="10" style="4" bestFit="1" customWidth="1"/>
    <col min="8741" max="8741" width="9.140625" style="4"/>
    <col min="8742" max="8743" width="10" style="4" bestFit="1" customWidth="1"/>
    <col min="8744" max="8744" width="10.5703125" style="4" bestFit="1" customWidth="1"/>
    <col min="8745" max="8745" width="10.42578125" style="4" bestFit="1" customWidth="1"/>
    <col min="8746" max="8746" width="9.140625" style="4"/>
    <col min="8747" max="8747" width="9.5703125" style="4" bestFit="1" customWidth="1"/>
    <col min="8748" max="8748" width="10.42578125" style="4" bestFit="1" customWidth="1"/>
    <col min="8749" max="8749" width="10" style="4" bestFit="1" customWidth="1"/>
    <col min="8750" max="8750" width="12.42578125" style="4" bestFit="1" customWidth="1"/>
    <col min="8751" max="8967" width="9.140625" style="4"/>
    <col min="8968" max="8968" width="16.5703125" style="4" bestFit="1" customWidth="1"/>
    <col min="8969" max="8969" width="38.42578125" style="4" bestFit="1" customWidth="1"/>
    <col min="8970" max="8970" width="0" style="4" hidden="1" customWidth="1"/>
    <col min="8971" max="8971" width="36.5703125" style="4" customWidth="1"/>
    <col min="8972" max="8972" width="12.140625" style="4" customWidth="1"/>
    <col min="8973" max="8973" width="7.5703125" style="4" bestFit="1" customWidth="1"/>
    <col min="8974" max="8974" width="4.42578125" style="4" bestFit="1" customWidth="1"/>
    <col min="8975" max="8975" width="9.85546875" style="4" bestFit="1" customWidth="1"/>
    <col min="8976" max="8976" width="9.42578125" style="4" bestFit="1" customWidth="1"/>
    <col min="8977" max="8977" width="8.85546875" style="4" customWidth="1"/>
    <col min="8978" max="8978" width="9.140625" style="4"/>
    <col min="8979" max="8979" width="12.85546875" style="4" customWidth="1"/>
    <col min="8980" max="8980" width="9.140625" style="4"/>
    <col min="8981" max="8981" width="11.85546875" style="4" customWidth="1"/>
    <col min="8982" max="8982" width="11" style="4" bestFit="1" customWidth="1"/>
    <col min="8983" max="8983" width="10" style="4" bestFit="1" customWidth="1"/>
    <col min="8984" max="8984" width="9.5703125" style="4" bestFit="1" customWidth="1"/>
    <col min="8985" max="8986" width="10" style="4" bestFit="1" customWidth="1"/>
    <col min="8987" max="8987" width="10.5703125" style="4" bestFit="1" customWidth="1"/>
    <col min="8988" max="8988" width="10" style="4" bestFit="1" customWidth="1"/>
    <col min="8989" max="8989" width="9.140625" style="4"/>
    <col min="8990" max="8990" width="11" style="4" bestFit="1" customWidth="1"/>
    <col min="8991" max="8991" width="9.140625" style="4"/>
    <col min="8992" max="8992" width="10" style="4" bestFit="1" customWidth="1"/>
    <col min="8993" max="8993" width="9.5703125" style="4" bestFit="1" customWidth="1"/>
    <col min="8994" max="8995" width="10.5703125" style="4" bestFit="1" customWidth="1"/>
    <col min="8996" max="8996" width="10" style="4" bestFit="1" customWidth="1"/>
    <col min="8997" max="8997" width="9.140625" style="4"/>
    <col min="8998" max="8999" width="10" style="4" bestFit="1" customWidth="1"/>
    <col min="9000" max="9000" width="10.5703125" style="4" bestFit="1" customWidth="1"/>
    <col min="9001" max="9001" width="10.42578125" style="4" bestFit="1" customWidth="1"/>
    <col min="9002" max="9002" width="9.140625" style="4"/>
    <col min="9003" max="9003" width="9.5703125" style="4" bestFit="1" customWidth="1"/>
    <col min="9004" max="9004" width="10.42578125" style="4" bestFit="1" customWidth="1"/>
    <col min="9005" max="9005" width="10" style="4" bestFit="1" customWidth="1"/>
    <col min="9006" max="9006" width="12.42578125" style="4" bestFit="1" customWidth="1"/>
    <col min="9007" max="9223" width="9.140625" style="4"/>
    <col min="9224" max="9224" width="16.5703125" style="4" bestFit="1" customWidth="1"/>
    <col min="9225" max="9225" width="38.42578125" style="4" bestFit="1" customWidth="1"/>
    <col min="9226" max="9226" width="0" style="4" hidden="1" customWidth="1"/>
    <col min="9227" max="9227" width="36.5703125" style="4" customWidth="1"/>
    <col min="9228" max="9228" width="12.140625" style="4" customWidth="1"/>
    <col min="9229" max="9229" width="7.5703125" style="4" bestFit="1" customWidth="1"/>
    <col min="9230" max="9230" width="4.42578125" style="4" bestFit="1" customWidth="1"/>
    <col min="9231" max="9231" width="9.85546875" style="4" bestFit="1" customWidth="1"/>
    <col min="9232" max="9232" width="9.42578125" style="4" bestFit="1" customWidth="1"/>
    <col min="9233" max="9233" width="8.85546875" style="4" customWidth="1"/>
    <col min="9234" max="9234" width="9.140625" style="4"/>
    <col min="9235" max="9235" width="12.85546875" style="4" customWidth="1"/>
    <col min="9236" max="9236" width="9.140625" style="4"/>
    <col min="9237" max="9237" width="11.85546875" style="4" customWidth="1"/>
    <col min="9238" max="9238" width="11" style="4" bestFit="1" customWidth="1"/>
    <col min="9239" max="9239" width="10" style="4" bestFit="1" customWidth="1"/>
    <col min="9240" max="9240" width="9.5703125" style="4" bestFit="1" customWidth="1"/>
    <col min="9241" max="9242" width="10" style="4" bestFit="1" customWidth="1"/>
    <col min="9243" max="9243" width="10.5703125" style="4" bestFit="1" customWidth="1"/>
    <col min="9244" max="9244" width="10" style="4" bestFit="1" customWidth="1"/>
    <col min="9245" max="9245" width="9.140625" style="4"/>
    <col min="9246" max="9246" width="11" style="4" bestFit="1" customWidth="1"/>
    <col min="9247" max="9247" width="9.140625" style="4"/>
    <col min="9248" max="9248" width="10" style="4" bestFit="1" customWidth="1"/>
    <col min="9249" max="9249" width="9.5703125" style="4" bestFit="1" customWidth="1"/>
    <col min="9250" max="9251" width="10.5703125" style="4" bestFit="1" customWidth="1"/>
    <col min="9252" max="9252" width="10" style="4" bestFit="1" customWidth="1"/>
    <col min="9253" max="9253" width="9.140625" style="4"/>
    <col min="9254" max="9255" width="10" style="4" bestFit="1" customWidth="1"/>
    <col min="9256" max="9256" width="10.5703125" style="4" bestFit="1" customWidth="1"/>
    <col min="9257" max="9257" width="10.42578125" style="4" bestFit="1" customWidth="1"/>
    <col min="9258" max="9258" width="9.140625" style="4"/>
    <col min="9259" max="9259" width="9.5703125" style="4" bestFit="1" customWidth="1"/>
    <col min="9260" max="9260" width="10.42578125" style="4" bestFit="1" customWidth="1"/>
    <col min="9261" max="9261" width="10" style="4" bestFit="1" customWidth="1"/>
    <col min="9262" max="9262" width="12.42578125" style="4" bestFit="1" customWidth="1"/>
    <col min="9263" max="9479" width="9.140625" style="4"/>
    <col min="9480" max="9480" width="16.5703125" style="4" bestFit="1" customWidth="1"/>
    <col min="9481" max="9481" width="38.42578125" style="4" bestFit="1" customWidth="1"/>
    <col min="9482" max="9482" width="0" style="4" hidden="1" customWidth="1"/>
    <col min="9483" max="9483" width="36.5703125" style="4" customWidth="1"/>
    <col min="9484" max="9484" width="12.140625" style="4" customWidth="1"/>
    <col min="9485" max="9485" width="7.5703125" style="4" bestFit="1" customWidth="1"/>
    <col min="9486" max="9486" width="4.42578125" style="4" bestFit="1" customWidth="1"/>
    <col min="9487" max="9487" width="9.85546875" style="4" bestFit="1" customWidth="1"/>
    <col min="9488" max="9488" width="9.42578125" style="4" bestFit="1" customWidth="1"/>
    <col min="9489" max="9489" width="8.85546875" style="4" customWidth="1"/>
    <col min="9490" max="9490" width="9.140625" style="4"/>
    <col min="9491" max="9491" width="12.85546875" style="4" customWidth="1"/>
    <col min="9492" max="9492" width="9.140625" style="4"/>
    <col min="9493" max="9493" width="11.85546875" style="4" customWidth="1"/>
    <col min="9494" max="9494" width="11" style="4" bestFit="1" customWidth="1"/>
    <col min="9495" max="9495" width="10" style="4" bestFit="1" customWidth="1"/>
    <col min="9496" max="9496" width="9.5703125" style="4" bestFit="1" customWidth="1"/>
    <col min="9497" max="9498" width="10" style="4" bestFit="1" customWidth="1"/>
    <col min="9499" max="9499" width="10.5703125" style="4" bestFit="1" customWidth="1"/>
    <col min="9500" max="9500" width="10" style="4" bestFit="1" customWidth="1"/>
    <col min="9501" max="9501" width="9.140625" style="4"/>
    <col min="9502" max="9502" width="11" style="4" bestFit="1" customWidth="1"/>
    <col min="9503" max="9503" width="9.140625" style="4"/>
    <col min="9504" max="9504" width="10" style="4" bestFit="1" customWidth="1"/>
    <col min="9505" max="9505" width="9.5703125" style="4" bestFit="1" customWidth="1"/>
    <col min="9506" max="9507" width="10.5703125" style="4" bestFit="1" customWidth="1"/>
    <col min="9508" max="9508" width="10" style="4" bestFit="1" customWidth="1"/>
    <col min="9509" max="9509" width="9.140625" style="4"/>
    <col min="9510" max="9511" width="10" style="4" bestFit="1" customWidth="1"/>
    <col min="9512" max="9512" width="10.5703125" style="4" bestFit="1" customWidth="1"/>
    <col min="9513" max="9513" width="10.42578125" style="4" bestFit="1" customWidth="1"/>
    <col min="9514" max="9514" width="9.140625" style="4"/>
    <col min="9515" max="9515" width="9.5703125" style="4" bestFit="1" customWidth="1"/>
    <col min="9516" max="9516" width="10.42578125" style="4" bestFit="1" customWidth="1"/>
    <col min="9517" max="9517" width="10" style="4" bestFit="1" customWidth="1"/>
    <col min="9518" max="9518" width="12.42578125" style="4" bestFit="1" customWidth="1"/>
    <col min="9519" max="9735" width="9.140625" style="4"/>
    <col min="9736" max="9736" width="16.5703125" style="4" bestFit="1" customWidth="1"/>
    <col min="9737" max="9737" width="38.42578125" style="4" bestFit="1" customWidth="1"/>
    <col min="9738" max="9738" width="0" style="4" hidden="1" customWidth="1"/>
    <col min="9739" max="9739" width="36.5703125" style="4" customWidth="1"/>
    <col min="9740" max="9740" width="12.140625" style="4" customWidth="1"/>
    <col min="9741" max="9741" width="7.5703125" style="4" bestFit="1" customWidth="1"/>
    <col min="9742" max="9742" width="4.42578125" style="4" bestFit="1" customWidth="1"/>
    <col min="9743" max="9743" width="9.85546875" style="4" bestFit="1" customWidth="1"/>
    <col min="9744" max="9744" width="9.42578125" style="4" bestFit="1" customWidth="1"/>
    <col min="9745" max="9745" width="8.85546875" style="4" customWidth="1"/>
    <col min="9746" max="9746" width="9.140625" style="4"/>
    <col min="9747" max="9747" width="12.85546875" style="4" customWidth="1"/>
    <col min="9748" max="9748" width="9.140625" style="4"/>
    <col min="9749" max="9749" width="11.85546875" style="4" customWidth="1"/>
    <col min="9750" max="9750" width="11" style="4" bestFit="1" customWidth="1"/>
    <col min="9751" max="9751" width="10" style="4" bestFit="1" customWidth="1"/>
    <col min="9752" max="9752" width="9.5703125" style="4" bestFit="1" customWidth="1"/>
    <col min="9753" max="9754" width="10" style="4" bestFit="1" customWidth="1"/>
    <col min="9755" max="9755" width="10.5703125" style="4" bestFit="1" customWidth="1"/>
    <col min="9756" max="9756" width="10" style="4" bestFit="1" customWidth="1"/>
    <col min="9757" max="9757" width="9.140625" style="4"/>
    <col min="9758" max="9758" width="11" style="4" bestFit="1" customWidth="1"/>
    <col min="9759" max="9759" width="9.140625" style="4"/>
    <col min="9760" max="9760" width="10" style="4" bestFit="1" customWidth="1"/>
    <col min="9761" max="9761" width="9.5703125" style="4" bestFit="1" customWidth="1"/>
    <col min="9762" max="9763" width="10.5703125" style="4" bestFit="1" customWidth="1"/>
    <col min="9764" max="9764" width="10" style="4" bestFit="1" customWidth="1"/>
    <col min="9765" max="9765" width="9.140625" style="4"/>
    <col min="9766" max="9767" width="10" style="4" bestFit="1" customWidth="1"/>
    <col min="9768" max="9768" width="10.5703125" style="4" bestFit="1" customWidth="1"/>
    <col min="9769" max="9769" width="10.42578125" style="4" bestFit="1" customWidth="1"/>
    <col min="9770" max="9770" width="9.140625" style="4"/>
    <col min="9771" max="9771" width="9.5703125" style="4" bestFit="1" customWidth="1"/>
    <col min="9772" max="9772" width="10.42578125" style="4" bestFit="1" customWidth="1"/>
    <col min="9773" max="9773" width="10" style="4" bestFit="1" customWidth="1"/>
    <col min="9774" max="9774" width="12.42578125" style="4" bestFit="1" customWidth="1"/>
    <col min="9775" max="9991" width="9.140625" style="4"/>
    <col min="9992" max="9992" width="16.5703125" style="4" bestFit="1" customWidth="1"/>
    <col min="9993" max="9993" width="38.42578125" style="4" bestFit="1" customWidth="1"/>
    <col min="9994" max="9994" width="0" style="4" hidden="1" customWidth="1"/>
    <col min="9995" max="9995" width="36.5703125" style="4" customWidth="1"/>
    <col min="9996" max="9996" width="12.140625" style="4" customWidth="1"/>
    <col min="9997" max="9997" width="7.5703125" style="4" bestFit="1" customWidth="1"/>
    <col min="9998" max="9998" width="4.42578125" style="4" bestFit="1" customWidth="1"/>
    <col min="9999" max="9999" width="9.85546875" style="4" bestFit="1" customWidth="1"/>
    <col min="10000" max="10000" width="9.42578125" style="4" bestFit="1" customWidth="1"/>
    <col min="10001" max="10001" width="8.85546875" style="4" customWidth="1"/>
    <col min="10002" max="10002" width="9.140625" style="4"/>
    <col min="10003" max="10003" width="12.85546875" style="4" customWidth="1"/>
    <col min="10004" max="10004" width="9.140625" style="4"/>
    <col min="10005" max="10005" width="11.85546875" style="4" customWidth="1"/>
    <col min="10006" max="10006" width="11" style="4" bestFit="1" customWidth="1"/>
    <col min="10007" max="10007" width="10" style="4" bestFit="1" customWidth="1"/>
    <col min="10008" max="10008" width="9.5703125" style="4" bestFit="1" customWidth="1"/>
    <col min="10009" max="10010" width="10" style="4" bestFit="1" customWidth="1"/>
    <col min="10011" max="10011" width="10.5703125" style="4" bestFit="1" customWidth="1"/>
    <col min="10012" max="10012" width="10" style="4" bestFit="1" customWidth="1"/>
    <col min="10013" max="10013" width="9.140625" style="4"/>
    <col min="10014" max="10014" width="11" style="4" bestFit="1" customWidth="1"/>
    <col min="10015" max="10015" width="9.140625" style="4"/>
    <col min="10016" max="10016" width="10" style="4" bestFit="1" customWidth="1"/>
    <col min="10017" max="10017" width="9.5703125" style="4" bestFit="1" customWidth="1"/>
    <col min="10018" max="10019" width="10.5703125" style="4" bestFit="1" customWidth="1"/>
    <col min="10020" max="10020" width="10" style="4" bestFit="1" customWidth="1"/>
    <col min="10021" max="10021" width="9.140625" style="4"/>
    <col min="10022" max="10023" width="10" style="4" bestFit="1" customWidth="1"/>
    <col min="10024" max="10024" width="10.5703125" style="4" bestFit="1" customWidth="1"/>
    <col min="10025" max="10025" width="10.42578125" style="4" bestFit="1" customWidth="1"/>
    <col min="10026" max="10026" width="9.140625" style="4"/>
    <col min="10027" max="10027" width="9.5703125" style="4" bestFit="1" customWidth="1"/>
    <col min="10028" max="10028" width="10.42578125" style="4" bestFit="1" customWidth="1"/>
    <col min="10029" max="10029" width="10" style="4" bestFit="1" customWidth="1"/>
    <col min="10030" max="10030" width="12.42578125" style="4" bestFit="1" customWidth="1"/>
    <col min="10031" max="10247" width="9.140625" style="4"/>
    <col min="10248" max="10248" width="16.5703125" style="4" bestFit="1" customWidth="1"/>
    <col min="10249" max="10249" width="38.42578125" style="4" bestFit="1" customWidth="1"/>
    <col min="10250" max="10250" width="0" style="4" hidden="1" customWidth="1"/>
    <col min="10251" max="10251" width="36.5703125" style="4" customWidth="1"/>
    <col min="10252" max="10252" width="12.140625" style="4" customWidth="1"/>
    <col min="10253" max="10253" width="7.5703125" style="4" bestFit="1" customWidth="1"/>
    <col min="10254" max="10254" width="4.42578125" style="4" bestFit="1" customWidth="1"/>
    <col min="10255" max="10255" width="9.85546875" style="4" bestFit="1" customWidth="1"/>
    <col min="10256" max="10256" width="9.42578125" style="4" bestFit="1" customWidth="1"/>
    <col min="10257" max="10257" width="8.85546875" style="4" customWidth="1"/>
    <col min="10258" max="10258" width="9.140625" style="4"/>
    <col min="10259" max="10259" width="12.85546875" style="4" customWidth="1"/>
    <col min="10260" max="10260" width="9.140625" style="4"/>
    <col min="10261" max="10261" width="11.85546875" style="4" customWidth="1"/>
    <col min="10262" max="10262" width="11" style="4" bestFit="1" customWidth="1"/>
    <col min="10263" max="10263" width="10" style="4" bestFit="1" customWidth="1"/>
    <col min="10264" max="10264" width="9.5703125" style="4" bestFit="1" customWidth="1"/>
    <col min="10265" max="10266" width="10" style="4" bestFit="1" customWidth="1"/>
    <col min="10267" max="10267" width="10.5703125" style="4" bestFit="1" customWidth="1"/>
    <col min="10268" max="10268" width="10" style="4" bestFit="1" customWidth="1"/>
    <col min="10269" max="10269" width="9.140625" style="4"/>
    <col min="10270" max="10270" width="11" style="4" bestFit="1" customWidth="1"/>
    <col min="10271" max="10271" width="9.140625" style="4"/>
    <col min="10272" max="10272" width="10" style="4" bestFit="1" customWidth="1"/>
    <col min="10273" max="10273" width="9.5703125" style="4" bestFit="1" customWidth="1"/>
    <col min="10274" max="10275" width="10.5703125" style="4" bestFit="1" customWidth="1"/>
    <col min="10276" max="10276" width="10" style="4" bestFit="1" customWidth="1"/>
    <col min="10277" max="10277" width="9.140625" style="4"/>
    <col min="10278" max="10279" width="10" style="4" bestFit="1" customWidth="1"/>
    <col min="10280" max="10280" width="10.5703125" style="4" bestFit="1" customWidth="1"/>
    <col min="10281" max="10281" width="10.42578125" style="4" bestFit="1" customWidth="1"/>
    <col min="10282" max="10282" width="9.140625" style="4"/>
    <col min="10283" max="10283" width="9.5703125" style="4" bestFit="1" customWidth="1"/>
    <col min="10284" max="10284" width="10.42578125" style="4" bestFit="1" customWidth="1"/>
    <col min="10285" max="10285" width="10" style="4" bestFit="1" customWidth="1"/>
    <col min="10286" max="10286" width="12.42578125" style="4" bestFit="1" customWidth="1"/>
    <col min="10287" max="10503" width="9.140625" style="4"/>
    <col min="10504" max="10504" width="16.5703125" style="4" bestFit="1" customWidth="1"/>
    <col min="10505" max="10505" width="38.42578125" style="4" bestFit="1" customWidth="1"/>
    <col min="10506" max="10506" width="0" style="4" hidden="1" customWidth="1"/>
    <col min="10507" max="10507" width="36.5703125" style="4" customWidth="1"/>
    <col min="10508" max="10508" width="12.140625" style="4" customWidth="1"/>
    <col min="10509" max="10509" width="7.5703125" style="4" bestFit="1" customWidth="1"/>
    <col min="10510" max="10510" width="4.42578125" style="4" bestFit="1" customWidth="1"/>
    <col min="10511" max="10511" width="9.85546875" style="4" bestFit="1" customWidth="1"/>
    <col min="10512" max="10512" width="9.42578125" style="4" bestFit="1" customWidth="1"/>
    <col min="10513" max="10513" width="8.85546875" style="4" customWidth="1"/>
    <col min="10514" max="10514" width="9.140625" style="4"/>
    <col min="10515" max="10515" width="12.85546875" style="4" customWidth="1"/>
    <col min="10516" max="10516" width="9.140625" style="4"/>
    <col min="10517" max="10517" width="11.85546875" style="4" customWidth="1"/>
    <col min="10518" max="10518" width="11" style="4" bestFit="1" customWidth="1"/>
    <col min="10519" max="10519" width="10" style="4" bestFit="1" customWidth="1"/>
    <col min="10520" max="10520" width="9.5703125" style="4" bestFit="1" customWidth="1"/>
    <col min="10521" max="10522" width="10" style="4" bestFit="1" customWidth="1"/>
    <col min="10523" max="10523" width="10.5703125" style="4" bestFit="1" customWidth="1"/>
    <col min="10524" max="10524" width="10" style="4" bestFit="1" customWidth="1"/>
    <col min="10525" max="10525" width="9.140625" style="4"/>
    <col min="10526" max="10526" width="11" style="4" bestFit="1" customWidth="1"/>
    <col min="10527" max="10527" width="9.140625" style="4"/>
    <col min="10528" max="10528" width="10" style="4" bestFit="1" customWidth="1"/>
    <col min="10529" max="10529" width="9.5703125" style="4" bestFit="1" customWidth="1"/>
    <col min="10530" max="10531" width="10.5703125" style="4" bestFit="1" customWidth="1"/>
    <col min="10532" max="10532" width="10" style="4" bestFit="1" customWidth="1"/>
    <col min="10533" max="10533" width="9.140625" style="4"/>
    <col min="10534" max="10535" width="10" style="4" bestFit="1" customWidth="1"/>
    <col min="10536" max="10536" width="10.5703125" style="4" bestFit="1" customWidth="1"/>
    <col min="10537" max="10537" width="10.42578125" style="4" bestFit="1" customWidth="1"/>
    <col min="10538" max="10538" width="9.140625" style="4"/>
    <col min="10539" max="10539" width="9.5703125" style="4" bestFit="1" customWidth="1"/>
    <col min="10540" max="10540" width="10.42578125" style="4" bestFit="1" customWidth="1"/>
    <col min="10541" max="10541" width="10" style="4" bestFit="1" customWidth="1"/>
    <col min="10542" max="10542" width="12.42578125" style="4" bestFit="1" customWidth="1"/>
    <col min="10543" max="10759" width="9.140625" style="4"/>
    <col min="10760" max="10760" width="16.5703125" style="4" bestFit="1" customWidth="1"/>
    <col min="10761" max="10761" width="38.42578125" style="4" bestFit="1" customWidth="1"/>
    <col min="10762" max="10762" width="0" style="4" hidden="1" customWidth="1"/>
    <col min="10763" max="10763" width="36.5703125" style="4" customWidth="1"/>
    <col min="10764" max="10764" width="12.140625" style="4" customWidth="1"/>
    <col min="10765" max="10765" width="7.5703125" style="4" bestFit="1" customWidth="1"/>
    <col min="10766" max="10766" width="4.42578125" style="4" bestFit="1" customWidth="1"/>
    <col min="10767" max="10767" width="9.85546875" style="4" bestFit="1" customWidth="1"/>
    <col min="10768" max="10768" width="9.42578125" style="4" bestFit="1" customWidth="1"/>
    <col min="10769" max="10769" width="8.85546875" style="4" customWidth="1"/>
    <col min="10770" max="10770" width="9.140625" style="4"/>
    <col min="10771" max="10771" width="12.85546875" style="4" customWidth="1"/>
    <col min="10772" max="10772" width="9.140625" style="4"/>
    <col min="10773" max="10773" width="11.85546875" style="4" customWidth="1"/>
    <col min="10774" max="10774" width="11" style="4" bestFit="1" customWidth="1"/>
    <col min="10775" max="10775" width="10" style="4" bestFit="1" customWidth="1"/>
    <col min="10776" max="10776" width="9.5703125" style="4" bestFit="1" customWidth="1"/>
    <col min="10777" max="10778" width="10" style="4" bestFit="1" customWidth="1"/>
    <col min="10779" max="10779" width="10.5703125" style="4" bestFit="1" customWidth="1"/>
    <col min="10780" max="10780" width="10" style="4" bestFit="1" customWidth="1"/>
    <col min="10781" max="10781" width="9.140625" style="4"/>
    <col min="10782" max="10782" width="11" style="4" bestFit="1" customWidth="1"/>
    <col min="10783" max="10783" width="9.140625" style="4"/>
    <col min="10784" max="10784" width="10" style="4" bestFit="1" customWidth="1"/>
    <col min="10785" max="10785" width="9.5703125" style="4" bestFit="1" customWidth="1"/>
    <col min="10786" max="10787" width="10.5703125" style="4" bestFit="1" customWidth="1"/>
    <col min="10788" max="10788" width="10" style="4" bestFit="1" customWidth="1"/>
    <col min="10789" max="10789" width="9.140625" style="4"/>
    <col min="10790" max="10791" width="10" style="4" bestFit="1" customWidth="1"/>
    <col min="10792" max="10792" width="10.5703125" style="4" bestFit="1" customWidth="1"/>
    <col min="10793" max="10793" width="10.42578125" style="4" bestFit="1" customWidth="1"/>
    <col min="10794" max="10794" width="9.140625" style="4"/>
    <col min="10795" max="10795" width="9.5703125" style="4" bestFit="1" customWidth="1"/>
    <col min="10796" max="10796" width="10.42578125" style="4" bestFit="1" customWidth="1"/>
    <col min="10797" max="10797" width="10" style="4" bestFit="1" customWidth="1"/>
    <col min="10798" max="10798" width="12.42578125" style="4" bestFit="1" customWidth="1"/>
    <col min="10799" max="11015" width="9.140625" style="4"/>
    <col min="11016" max="11016" width="16.5703125" style="4" bestFit="1" customWidth="1"/>
    <col min="11017" max="11017" width="38.42578125" style="4" bestFit="1" customWidth="1"/>
    <col min="11018" max="11018" width="0" style="4" hidden="1" customWidth="1"/>
    <col min="11019" max="11019" width="36.5703125" style="4" customWidth="1"/>
    <col min="11020" max="11020" width="12.140625" style="4" customWidth="1"/>
    <col min="11021" max="11021" width="7.5703125" style="4" bestFit="1" customWidth="1"/>
    <col min="11022" max="11022" width="4.42578125" style="4" bestFit="1" customWidth="1"/>
    <col min="11023" max="11023" width="9.85546875" style="4" bestFit="1" customWidth="1"/>
    <col min="11024" max="11024" width="9.42578125" style="4" bestFit="1" customWidth="1"/>
    <col min="11025" max="11025" width="8.85546875" style="4" customWidth="1"/>
    <col min="11026" max="11026" width="9.140625" style="4"/>
    <col min="11027" max="11027" width="12.85546875" style="4" customWidth="1"/>
    <col min="11028" max="11028" width="9.140625" style="4"/>
    <col min="11029" max="11029" width="11.85546875" style="4" customWidth="1"/>
    <col min="11030" max="11030" width="11" style="4" bestFit="1" customWidth="1"/>
    <col min="11031" max="11031" width="10" style="4" bestFit="1" customWidth="1"/>
    <col min="11032" max="11032" width="9.5703125" style="4" bestFit="1" customWidth="1"/>
    <col min="11033" max="11034" width="10" style="4" bestFit="1" customWidth="1"/>
    <col min="11035" max="11035" width="10.5703125" style="4" bestFit="1" customWidth="1"/>
    <col min="11036" max="11036" width="10" style="4" bestFit="1" customWidth="1"/>
    <col min="11037" max="11037" width="9.140625" style="4"/>
    <col min="11038" max="11038" width="11" style="4" bestFit="1" customWidth="1"/>
    <col min="11039" max="11039" width="9.140625" style="4"/>
    <col min="11040" max="11040" width="10" style="4" bestFit="1" customWidth="1"/>
    <col min="11041" max="11041" width="9.5703125" style="4" bestFit="1" customWidth="1"/>
    <col min="11042" max="11043" width="10.5703125" style="4" bestFit="1" customWidth="1"/>
    <col min="11044" max="11044" width="10" style="4" bestFit="1" customWidth="1"/>
    <col min="11045" max="11045" width="9.140625" style="4"/>
    <col min="11046" max="11047" width="10" style="4" bestFit="1" customWidth="1"/>
    <col min="11048" max="11048" width="10.5703125" style="4" bestFit="1" customWidth="1"/>
    <col min="11049" max="11049" width="10.42578125" style="4" bestFit="1" customWidth="1"/>
    <col min="11050" max="11050" width="9.140625" style="4"/>
    <col min="11051" max="11051" width="9.5703125" style="4" bestFit="1" customWidth="1"/>
    <col min="11052" max="11052" width="10.42578125" style="4" bestFit="1" customWidth="1"/>
    <col min="11053" max="11053" width="10" style="4" bestFit="1" customWidth="1"/>
    <col min="11054" max="11054" width="12.42578125" style="4" bestFit="1" customWidth="1"/>
    <col min="11055" max="11271" width="9.140625" style="4"/>
    <col min="11272" max="11272" width="16.5703125" style="4" bestFit="1" customWidth="1"/>
    <col min="11273" max="11273" width="38.42578125" style="4" bestFit="1" customWidth="1"/>
    <col min="11274" max="11274" width="0" style="4" hidden="1" customWidth="1"/>
    <col min="11275" max="11275" width="36.5703125" style="4" customWidth="1"/>
    <col min="11276" max="11276" width="12.140625" style="4" customWidth="1"/>
    <col min="11277" max="11277" width="7.5703125" style="4" bestFit="1" customWidth="1"/>
    <col min="11278" max="11278" width="4.42578125" style="4" bestFit="1" customWidth="1"/>
    <col min="11279" max="11279" width="9.85546875" style="4" bestFit="1" customWidth="1"/>
    <col min="11280" max="11280" width="9.42578125" style="4" bestFit="1" customWidth="1"/>
    <col min="11281" max="11281" width="8.85546875" style="4" customWidth="1"/>
    <col min="11282" max="11282" width="9.140625" style="4"/>
    <col min="11283" max="11283" width="12.85546875" style="4" customWidth="1"/>
    <col min="11284" max="11284" width="9.140625" style="4"/>
    <col min="11285" max="11285" width="11.85546875" style="4" customWidth="1"/>
    <col min="11286" max="11286" width="11" style="4" bestFit="1" customWidth="1"/>
    <col min="11287" max="11287" width="10" style="4" bestFit="1" customWidth="1"/>
    <col min="11288" max="11288" width="9.5703125" style="4" bestFit="1" customWidth="1"/>
    <col min="11289" max="11290" width="10" style="4" bestFit="1" customWidth="1"/>
    <col min="11291" max="11291" width="10.5703125" style="4" bestFit="1" customWidth="1"/>
    <col min="11292" max="11292" width="10" style="4" bestFit="1" customWidth="1"/>
    <col min="11293" max="11293" width="9.140625" style="4"/>
    <col min="11294" max="11294" width="11" style="4" bestFit="1" customWidth="1"/>
    <col min="11295" max="11295" width="9.140625" style="4"/>
    <col min="11296" max="11296" width="10" style="4" bestFit="1" customWidth="1"/>
    <col min="11297" max="11297" width="9.5703125" style="4" bestFit="1" customWidth="1"/>
    <col min="11298" max="11299" width="10.5703125" style="4" bestFit="1" customWidth="1"/>
    <col min="11300" max="11300" width="10" style="4" bestFit="1" customWidth="1"/>
    <col min="11301" max="11301" width="9.140625" style="4"/>
    <col min="11302" max="11303" width="10" style="4" bestFit="1" customWidth="1"/>
    <col min="11304" max="11304" width="10.5703125" style="4" bestFit="1" customWidth="1"/>
    <col min="11305" max="11305" width="10.42578125" style="4" bestFit="1" customWidth="1"/>
    <col min="11306" max="11306" width="9.140625" style="4"/>
    <col min="11307" max="11307" width="9.5703125" style="4" bestFit="1" customWidth="1"/>
    <col min="11308" max="11308" width="10.42578125" style="4" bestFit="1" customWidth="1"/>
    <col min="11309" max="11309" width="10" style="4" bestFit="1" customWidth="1"/>
    <col min="11310" max="11310" width="12.42578125" style="4" bestFit="1" customWidth="1"/>
    <col min="11311" max="11527" width="9.140625" style="4"/>
    <col min="11528" max="11528" width="16.5703125" style="4" bestFit="1" customWidth="1"/>
    <col min="11529" max="11529" width="38.42578125" style="4" bestFit="1" customWidth="1"/>
    <col min="11530" max="11530" width="0" style="4" hidden="1" customWidth="1"/>
    <col min="11531" max="11531" width="36.5703125" style="4" customWidth="1"/>
    <col min="11532" max="11532" width="12.140625" style="4" customWidth="1"/>
    <col min="11533" max="11533" width="7.5703125" style="4" bestFit="1" customWidth="1"/>
    <col min="11534" max="11534" width="4.42578125" style="4" bestFit="1" customWidth="1"/>
    <col min="11535" max="11535" width="9.85546875" style="4" bestFit="1" customWidth="1"/>
    <col min="11536" max="11536" width="9.42578125" style="4" bestFit="1" customWidth="1"/>
    <col min="11537" max="11537" width="8.85546875" style="4" customWidth="1"/>
    <col min="11538" max="11538" width="9.140625" style="4"/>
    <col min="11539" max="11539" width="12.85546875" style="4" customWidth="1"/>
    <col min="11540" max="11540" width="9.140625" style="4"/>
    <col min="11541" max="11541" width="11.85546875" style="4" customWidth="1"/>
    <col min="11542" max="11542" width="11" style="4" bestFit="1" customWidth="1"/>
    <col min="11543" max="11543" width="10" style="4" bestFit="1" customWidth="1"/>
    <col min="11544" max="11544" width="9.5703125" style="4" bestFit="1" customWidth="1"/>
    <col min="11545" max="11546" width="10" style="4" bestFit="1" customWidth="1"/>
    <col min="11547" max="11547" width="10.5703125" style="4" bestFit="1" customWidth="1"/>
    <col min="11548" max="11548" width="10" style="4" bestFit="1" customWidth="1"/>
    <col min="11549" max="11549" width="9.140625" style="4"/>
    <col min="11550" max="11550" width="11" style="4" bestFit="1" customWidth="1"/>
    <col min="11551" max="11551" width="9.140625" style="4"/>
    <col min="11552" max="11552" width="10" style="4" bestFit="1" customWidth="1"/>
    <col min="11553" max="11553" width="9.5703125" style="4" bestFit="1" customWidth="1"/>
    <col min="11554" max="11555" width="10.5703125" style="4" bestFit="1" customWidth="1"/>
    <col min="11556" max="11556" width="10" style="4" bestFit="1" customWidth="1"/>
    <col min="11557" max="11557" width="9.140625" style="4"/>
    <col min="11558" max="11559" width="10" style="4" bestFit="1" customWidth="1"/>
    <col min="11560" max="11560" width="10.5703125" style="4" bestFit="1" customWidth="1"/>
    <col min="11561" max="11561" width="10.42578125" style="4" bestFit="1" customWidth="1"/>
    <col min="11562" max="11562" width="9.140625" style="4"/>
    <col min="11563" max="11563" width="9.5703125" style="4" bestFit="1" customWidth="1"/>
    <col min="11564" max="11564" width="10.42578125" style="4" bestFit="1" customWidth="1"/>
    <col min="11565" max="11565" width="10" style="4" bestFit="1" customWidth="1"/>
    <col min="11566" max="11566" width="12.42578125" style="4" bestFit="1" customWidth="1"/>
    <col min="11567" max="11783" width="9.140625" style="4"/>
    <col min="11784" max="11784" width="16.5703125" style="4" bestFit="1" customWidth="1"/>
    <col min="11785" max="11785" width="38.42578125" style="4" bestFit="1" customWidth="1"/>
    <col min="11786" max="11786" width="0" style="4" hidden="1" customWidth="1"/>
    <col min="11787" max="11787" width="36.5703125" style="4" customWidth="1"/>
    <col min="11788" max="11788" width="12.140625" style="4" customWidth="1"/>
    <col min="11789" max="11789" width="7.5703125" style="4" bestFit="1" customWidth="1"/>
    <col min="11790" max="11790" width="4.42578125" style="4" bestFit="1" customWidth="1"/>
    <col min="11791" max="11791" width="9.85546875" style="4" bestFit="1" customWidth="1"/>
    <col min="11792" max="11792" width="9.42578125" style="4" bestFit="1" customWidth="1"/>
    <col min="11793" max="11793" width="8.85546875" style="4" customWidth="1"/>
    <col min="11794" max="11794" width="9.140625" style="4"/>
    <col min="11795" max="11795" width="12.85546875" style="4" customWidth="1"/>
    <col min="11796" max="11796" width="9.140625" style="4"/>
    <col min="11797" max="11797" width="11.85546875" style="4" customWidth="1"/>
    <col min="11798" max="11798" width="11" style="4" bestFit="1" customWidth="1"/>
    <col min="11799" max="11799" width="10" style="4" bestFit="1" customWidth="1"/>
    <col min="11800" max="11800" width="9.5703125" style="4" bestFit="1" customWidth="1"/>
    <col min="11801" max="11802" width="10" style="4" bestFit="1" customWidth="1"/>
    <col min="11803" max="11803" width="10.5703125" style="4" bestFit="1" customWidth="1"/>
    <col min="11804" max="11804" width="10" style="4" bestFit="1" customWidth="1"/>
    <col min="11805" max="11805" width="9.140625" style="4"/>
    <col min="11806" max="11806" width="11" style="4" bestFit="1" customWidth="1"/>
    <col min="11807" max="11807" width="9.140625" style="4"/>
    <col min="11808" max="11808" width="10" style="4" bestFit="1" customWidth="1"/>
    <col min="11809" max="11809" width="9.5703125" style="4" bestFit="1" customWidth="1"/>
    <col min="11810" max="11811" width="10.5703125" style="4" bestFit="1" customWidth="1"/>
    <col min="11812" max="11812" width="10" style="4" bestFit="1" customWidth="1"/>
    <col min="11813" max="11813" width="9.140625" style="4"/>
    <col min="11814" max="11815" width="10" style="4" bestFit="1" customWidth="1"/>
    <col min="11816" max="11816" width="10.5703125" style="4" bestFit="1" customWidth="1"/>
    <col min="11817" max="11817" width="10.42578125" style="4" bestFit="1" customWidth="1"/>
    <col min="11818" max="11818" width="9.140625" style="4"/>
    <col min="11819" max="11819" width="9.5703125" style="4" bestFit="1" customWidth="1"/>
    <col min="11820" max="11820" width="10.42578125" style="4" bestFit="1" customWidth="1"/>
    <col min="11821" max="11821" width="10" style="4" bestFit="1" customWidth="1"/>
    <col min="11822" max="11822" width="12.42578125" style="4" bestFit="1" customWidth="1"/>
    <col min="11823" max="12039" width="9.140625" style="4"/>
    <col min="12040" max="12040" width="16.5703125" style="4" bestFit="1" customWidth="1"/>
    <col min="12041" max="12041" width="38.42578125" style="4" bestFit="1" customWidth="1"/>
    <col min="12042" max="12042" width="0" style="4" hidden="1" customWidth="1"/>
    <col min="12043" max="12043" width="36.5703125" style="4" customWidth="1"/>
    <col min="12044" max="12044" width="12.140625" style="4" customWidth="1"/>
    <col min="12045" max="12045" width="7.5703125" style="4" bestFit="1" customWidth="1"/>
    <col min="12046" max="12046" width="4.42578125" style="4" bestFit="1" customWidth="1"/>
    <col min="12047" max="12047" width="9.85546875" style="4" bestFit="1" customWidth="1"/>
    <col min="12048" max="12048" width="9.42578125" style="4" bestFit="1" customWidth="1"/>
    <col min="12049" max="12049" width="8.85546875" style="4" customWidth="1"/>
    <col min="12050" max="12050" width="9.140625" style="4"/>
    <col min="12051" max="12051" width="12.85546875" style="4" customWidth="1"/>
    <col min="12052" max="12052" width="9.140625" style="4"/>
    <col min="12053" max="12053" width="11.85546875" style="4" customWidth="1"/>
    <col min="12054" max="12054" width="11" style="4" bestFit="1" customWidth="1"/>
    <col min="12055" max="12055" width="10" style="4" bestFit="1" customWidth="1"/>
    <col min="12056" max="12056" width="9.5703125" style="4" bestFit="1" customWidth="1"/>
    <col min="12057" max="12058" width="10" style="4" bestFit="1" customWidth="1"/>
    <col min="12059" max="12059" width="10.5703125" style="4" bestFit="1" customWidth="1"/>
    <col min="12060" max="12060" width="10" style="4" bestFit="1" customWidth="1"/>
    <col min="12061" max="12061" width="9.140625" style="4"/>
    <col min="12062" max="12062" width="11" style="4" bestFit="1" customWidth="1"/>
    <col min="12063" max="12063" width="9.140625" style="4"/>
    <col min="12064" max="12064" width="10" style="4" bestFit="1" customWidth="1"/>
    <col min="12065" max="12065" width="9.5703125" style="4" bestFit="1" customWidth="1"/>
    <col min="12066" max="12067" width="10.5703125" style="4" bestFit="1" customWidth="1"/>
    <col min="12068" max="12068" width="10" style="4" bestFit="1" customWidth="1"/>
    <col min="12069" max="12069" width="9.140625" style="4"/>
    <col min="12070" max="12071" width="10" style="4" bestFit="1" customWidth="1"/>
    <col min="12072" max="12072" width="10.5703125" style="4" bestFit="1" customWidth="1"/>
    <col min="12073" max="12073" width="10.42578125" style="4" bestFit="1" customWidth="1"/>
    <col min="12074" max="12074" width="9.140625" style="4"/>
    <col min="12075" max="12075" width="9.5703125" style="4" bestFit="1" customWidth="1"/>
    <col min="12076" max="12076" width="10.42578125" style="4" bestFit="1" customWidth="1"/>
    <col min="12077" max="12077" width="10" style="4" bestFit="1" customWidth="1"/>
    <col min="12078" max="12078" width="12.42578125" style="4" bestFit="1" customWidth="1"/>
    <col min="12079" max="12295" width="9.140625" style="4"/>
    <col min="12296" max="12296" width="16.5703125" style="4" bestFit="1" customWidth="1"/>
    <col min="12297" max="12297" width="38.42578125" style="4" bestFit="1" customWidth="1"/>
    <col min="12298" max="12298" width="0" style="4" hidden="1" customWidth="1"/>
    <col min="12299" max="12299" width="36.5703125" style="4" customWidth="1"/>
    <col min="12300" max="12300" width="12.140625" style="4" customWidth="1"/>
    <col min="12301" max="12301" width="7.5703125" style="4" bestFit="1" customWidth="1"/>
    <col min="12302" max="12302" width="4.42578125" style="4" bestFit="1" customWidth="1"/>
    <col min="12303" max="12303" width="9.85546875" style="4" bestFit="1" customWidth="1"/>
    <col min="12304" max="12304" width="9.42578125" style="4" bestFit="1" customWidth="1"/>
    <col min="12305" max="12305" width="8.85546875" style="4" customWidth="1"/>
    <col min="12306" max="12306" width="9.140625" style="4"/>
    <col min="12307" max="12307" width="12.85546875" style="4" customWidth="1"/>
    <col min="12308" max="12308" width="9.140625" style="4"/>
    <col min="12309" max="12309" width="11.85546875" style="4" customWidth="1"/>
    <col min="12310" max="12310" width="11" style="4" bestFit="1" customWidth="1"/>
    <col min="12311" max="12311" width="10" style="4" bestFit="1" customWidth="1"/>
    <col min="12312" max="12312" width="9.5703125" style="4" bestFit="1" customWidth="1"/>
    <col min="12313" max="12314" width="10" style="4" bestFit="1" customWidth="1"/>
    <col min="12315" max="12315" width="10.5703125" style="4" bestFit="1" customWidth="1"/>
    <col min="12316" max="12316" width="10" style="4" bestFit="1" customWidth="1"/>
    <col min="12317" max="12317" width="9.140625" style="4"/>
    <col min="12318" max="12318" width="11" style="4" bestFit="1" customWidth="1"/>
    <col min="12319" max="12319" width="9.140625" style="4"/>
    <col min="12320" max="12320" width="10" style="4" bestFit="1" customWidth="1"/>
    <col min="12321" max="12321" width="9.5703125" style="4" bestFit="1" customWidth="1"/>
    <col min="12322" max="12323" width="10.5703125" style="4" bestFit="1" customWidth="1"/>
    <col min="12324" max="12324" width="10" style="4" bestFit="1" customWidth="1"/>
    <col min="12325" max="12325" width="9.140625" style="4"/>
    <col min="12326" max="12327" width="10" style="4" bestFit="1" customWidth="1"/>
    <col min="12328" max="12328" width="10.5703125" style="4" bestFit="1" customWidth="1"/>
    <col min="12329" max="12329" width="10.42578125" style="4" bestFit="1" customWidth="1"/>
    <col min="12330" max="12330" width="9.140625" style="4"/>
    <col min="12331" max="12331" width="9.5703125" style="4" bestFit="1" customWidth="1"/>
    <col min="12332" max="12332" width="10.42578125" style="4" bestFit="1" customWidth="1"/>
    <col min="12333" max="12333" width="10" style="4" bestFit="1" customWidth="1"/>
    <col min="12334" max="12334" width="12.42578125" style="4" bestFit="1" customWidth="1"/>
    <col min="12335" max="12551" width="9.140625" style="4"/>
    <col min="12552" max="12552" width="16.5703125" style="4" bestFit="1" customWidth="1"/>
    <col min="12553" max="12553" width="38.42578125" style="4" bestFit="1" customWidth="1"/>
    <col min="12554" max="12554" width="0" style="4" hidden="1" customWidth="1"/>
    <col min="12555" max="12555" width="36.5703125" style="4" customWidth="1"/>
    <col min="12556" max="12556" width="12.140625" style="4" customWidth="1"/>
    <col min="12557" max="12557" width="7.5703125" style="4" bestFit="1" customWidth="1"/>
    <col min="12558" max="12558" width="4.42578125" style="4" bestFit="1" customWidth="1"/>
    <col min="12559" max="12559" width="9.85546875" style="4" bestFit="1" customWidth="1"/>
    <col min="12560" max="12560" width="9.42578125" style="4" bestFit="1" customWidth="1"/>
    <col min="12561" max="12561" width="8.85546875" style="4" customWidth="1"/>
    <col min="12562" max="12562" width="9.140625" style="4"/>
    <col min="12563" max="12563" width="12.85546875" style="4" customWidth="1"/>
    <col min="12564" max="12564" width="9.140625" style="4"/>
    <col min="12565" max="12565" width="11.85546875" style="4" customWidth="1"/>
    <col min="12566" max="12566" width="11" style="4" bestFit="1" customWidth="1"/>
    <col min="12567" max="12567" width="10" style="4" bestFit="1" customWidth="1"/>
    <col min="12568" max="12568" width="9.5703125" style="4" bestFit="1" customWidth="1"/>
    <col min="12569" max="12570" width="10" style="4" bestFit="1" customWidth="1"/>
    <col min="12571" max="12571" width="10.5703125" style="4" bestFit="1" customWidth="1"/>
    <col min="12572" max="12572" width="10" style="4" bestFit="1" customWidth="1"/>
    <col min="12573" max="12573" width="9.140625" style="4"/>
    <col min="12574" max="12574" width="11" style="4" bestFit="1" customWidth="1"/>
    <col min="12575" max="12575" width="9.140625" style="4"/>
    <col min="12576" max="12576" width="10" style="4" bestFit="1" customWidth="1"/>
    <col min="12577" max="12577" width="9.5703125" style="4" bestFit="1" customWidth="1"/>
    <col min="12578" max="12579" width="10.5703125" style="4" bestFit="1" customWidth="1"/>
    <col min="12580" max="12580" width="10" style="4" bestFit="1" customWidth="1"/>
    <col min="12581" max="12581" width="9.140625" style="4"/>
    <col min="12582" max="12583" width="10" style="4" bestFit="1" customWidth="1"/>
    <col min="12584" max="12584" width="10.5703125" style="4" bestFit="1" customWidth="1"/>
    <col min="12585" max="12585" width="10.42578125" style="4" bestFit="1" customWidth="1"/>
    <col min="12586" max="12586" width="9.140625" style="4"/>
    <col min="12587" max="12587" width="9.5703125" style="4" bestFit="1" customWidth="1"/>
    <col min="12588" max="12588" width="10.42578125" style="4" bestFit="1" customWidth="1"/>
    <col min="12589" max="12589" width="10" style="4" bestFit="1" customWidth="1"/>
    <col min="12590" max="12590" width="12.42578125" style="4" bestFit="1" customWidth="1"/>
    <col min="12591" max="12807" width="9.140625" style="4"/>
    <col min="12808" max="12808" width="16.5703125" style="4" bestFit="1" customWidth="1"/>
    <col min="12809" max="12809" width="38.42578125" style="4" bestFit="1" customWidth="1"/>
    <col min="12810" max="12810" width="0" style="4" hidden="1" customWidth="1"/>
    <col min="12811" max="12811" width="36.5703125" style="4" customWidth="1"/>
    <col min="12812" max="12812" width="12.140625" style="4" customWidth="1"/>
    <col min="12813" max="12813" width="7.5703125" style="4" bestFit="1" customWidth="1"/>
    <col min="12814" max="12814" width="4.42578125" style="4" bestFit="1" customWidth="1"/>
    <col min="12815" max="12815" width="9.85546875" style="4" bestFit="1" customWidth="1"/>
    <col min="12816" max="12816" width="9.42578125" style="4" bestFit="1" customWidth="1"/>
    <col min="12817" max="12817" width="8.85546875" style="4" customWidth="1"/>
    <col min="12818" max="12818" width="9.140625" style="4"/>
    <col min="12819" max="12819" width="12.85546875" style="4" customWidth="1"/>
    <col min="12820" max="12820" width="9.140625" style="4"/>
    <col min="12821" max="12821" width="11.85546875" style="4" customWidth="1"/>
    <col min="12822" max="12822" width="11" style="4" bestFit="1" customWidth="1"/>
    <col min="12823" max="12823" width="10" style="4" bestFit="1" customWidth="1"/>
    <col min="12824" max="12824" width="9.5703125" style="4" bestFit="1" customWidth="1"/>
    <col min="12825" max="12826" width="10" style="4" bestFit="1" customWidth="1"/>
    <col min="12827" max="12827" width="10.5703125" style="4" bestFit="1" customWidth="1"/>
    <col min="12828" max="12828" width="10" style="4" bestFit="1" customWidth="1"/>
    <col min="12829" max="12829" width="9.140625" style="4"/>
    <col min="12830" max="12830" width="11" style="4" bestFit="1" customWidth="1"/>
    <col min="12831" max="12831" width="9.140625" style="4"/>
    <col min="12832" max="12832" width="10" style="4" bestFit="1" customWidth="1"/>
    <col min="12833" max="12833" width="9.5703125" style="4" bestFit="1" customWidth="1"/>
    <col min="12834" max="12835" width="10.5703125" style="4" bestFit="1" customWidth="1"/>
    <col min="12836" max="12836" width="10" style="4" bestFit="1" customWidth="1"/>
    <col min="12837" max="12837" width="9.140625" style="4"/>
    <col min="12838" max="12839" width="10" style="4" bestFit="1" customWidth="1"/>
    <col min="12840" max="12840" width="10.5703125" style="4" bestFit="1" customWidth="1"/>
    <col min="12841" max="12841" width="10.42578125" style="4" bestFit="1" customWidth="1"/>
    <col min="12842" max="12842" width="9.140625" style="4"/>
    <col min="12843" max="12843" width="9.5703125" style="4" bestFit="1" customWidth="1"/>
    <col min="12844" max="12844" width="10.42578125" style="4" bestFit="1" customWidth="1"/>
    <col min="12845" max="12845" width="10" style="4" bestFit="1" customWidth="1"/>
    <col min="12846" max="12846" width="12.42578125" style="4" bestFit="1" customWidth="1"/>
    <col min="12847" max="13063" width="9.140625" style="4"/>
    <col min="13064" max="13064" width="16.5703125" style="4" bestFit="1" customWidth="1"/>
    <col min="13065" max="13065" width="38.42578125" style="4" bestFit="1" customWidth="1"/>
    <col min="13066" max="13066" width="0" style="4" hidden="1" customWidth="1"/>
    <col min="13067" max="13067" width="36.5703125" style="4" customWidth="1"/>
    <col min="13068" max="13068" width="12.140625" style="4" customWidth="1"/>
    <col min="13069" max="13069" width="7.5703125" style="4" bestFit="1" customWidth="1"/>
    <col min="13070" max="13070" width="4.42578125" style="4" bestFit="1" customWidth="1"/>
    <col min="13071" max="13071" width="9.85546875" style="4" bestFit="1" customWidth="1"/>
    <col min="13072" max="13072" width="9.42578125" style="4" bestFit="1" customWidth="1"/>
    <col min="13073" max="13073" width="8.85546875" style="4" customWidth="1"/>
    <col min="13074" max="13074" width="9.140625" style="4"/>
    <col min="13075" max="13075" width="12.85546875" style="4" customWidth="1"/>
    <col min="13076" max="13076" width="9.140625" style="4"/>
    <col min="13077" max="13077" width="11.85546875" style="4" customWidth="1"/>
    <col min="13078" max="13078" width="11" style="4" bestFit="1" customWidth="1"/>
    <col min="13079" max="13079" width="10" style="4" bestFit="1" customWidth="1"/>
    <col min="13080" max="13080" width="9.5703125" style="4" bestFit="1" customWidth="1"/>
    <col min="13081" max="13082" width="10" style="4" bestFit="1" customWidth="1"/>
    <col min="13083" max="13083" width="10.5703125" style="4" bestFit="1" customWidth="1"/>
    <col min="13084" max="13084" width="10" style="4" bestFit="1" customWidth="1"/>
    <col min="13085" max="13085" width="9.140625" style="4"/>
    <col min="13086" max="13086" width="11" style="4" bestFit="1" customWidth="1"/>
    <col min="13087" max="13087" width="9.140625" style="4"/>
    <col min="13088" max="13088" width="10" style="4" bestFit="1" customWidth="1"/>
    <col min="13089" max="13089" width="9.5703125" style="4" bestFit="1" customWidth="1"/>
    <col min="13090" max="13091" width="10.5703125" style="4" bestFit="1" customWidth="1"/>
    <col min="13092" max="13092" width="10" style="4" bestFit="1" customWidth="1"/>
    <col min="13093" max="13093" width="9.140625" style="4"/>
    <col min="13094" max="13095" width="10" style="4" bestFit="1" customWidth="1"/>
    <col min="13096" max="13096" width="10.5703125" style="4" bestFit="1" customWidth="1"/>
    <col min="13097" max="13097" width="10.42578125" style="4" bestFit="1" customWidth="1"/>
    <col min="13098" max="13098" width="9.140625" style="4"/>
    <col min="13099" max="13099" width="9.5703125" style="4" bestFit="1" customWidth="1"/>
    <col min="13100" max="13100" width="10.42578125" style="4" bestFit="1" customWidth="1"/>
    <col min="13101" max="13101" width="10" style="4" bestFit="1" customWidth="1"/>
    <col min="13102" max="13102" width="12.42578125" style="4" bestFit="1" customWidth="1"/>
    <col min="13103" max="13319" width="9.140625" style="4"/>
    <col min="13320" max="13320" width="16.5703125" style="4" bestFit="1" customWidth="1"/>
    <col min="13321" max="13321" width="38.42578125" style="4" bestFit="1" customWidth="1"/>
    <col min="13322" max="13322" width="0" style="4" hidden="1" customWidth="1"/>
    <col min="13323" max="13323" width="36.5703125" style="4" customWidth="1"/>
    <col min="13324" max="13324" width="12.140625" style="4" customWidth="1"/>
    <col min="13325" max="13325" width="7.5703125" style="4" bestFit="1" customWidth="1"/>
    <col min="13326" max="13326" width="4.42578125" style="4" bestFit="1" customWidth="1"/>
    <col min="13327" max="13327" width="9.85546875" style="4" bestFit="1" customWidth="1"/>
    <col min="13328" max="13328" width="9.42578125" style="4" bestFit="1" customWidth="1"/>
    <col min="13329" max="13329" width="8.85546875" style="4" customWidth="1"/>
    <col min="13330" max="13330" width="9.140625" style="4"/>
    <col min="13331" max="13331" width="12.85546875" style="4" customWidth="1"/>
    <col min="13332" max="13332" width="9.140625" style="4"/>
    <col min="13333" max="13333" width="11.85546875" style="4" customWidth="1"/>
    <col min="13334" max="13334" width="11" style="4" bestFit="1" customWidth="1"/>
    <col min="13335" max="13335" width="10" style="4" bestFit="1" customWidth="1"/>
    <col min="13336" max="13336" width="9.5703125" style="4" bestFit="1" customWidth="1"/>
    <col min="13337" max="13338" width="10" style="4" bestFit="1" customWidth="1"/>
    <col min="13339" max="13339" width="10.5703125" style="4" bestFit="1" customWidth="1"/>
    <col min="13340" max="13340" width="10" style="4" bestFit="1" customWidth="1"/>
    <col min="13341" max="13341" width="9.140625" style="4"/>
    <col min="13342" max="13342" width="11" style="4" bestFit="1" customWidth="1"/>
    <col min="13343" max="13343" width="9.140625" style="4"/>
    <col min="13344" max="13344" width="10" style="4" bestFit="1" customWidth="1"/>
    <col min="13345" max="13345" width="9.5703125" style="4" bestFit="1" customWidth="1"/>
    <col min="13346" max="13347" width="10.5703125" style="4" bestFit="1" customWidth="1"/>
    <col min="13348" max="13348" width="10" style="4" bestFit="1" customWidth="1"/>
    <col min="13349" max="13349" width="9.140625" style="4"/>
    <col min="13350" max="13351" width="10" style="4" bestFit="1" customWidth="1"/>
    <col min="13352" max="13352" width="10.5703125" style="4" bestFit="1" customWidth="1"/>
    <col min="13353" max="13353" width="10.42578125" style="4" bestFit="1" customWidth="1"/>
    <col min="13354" max="13354" width="9.140625" style="4"/>
    <col min="13355" max="13355" width="9.5703125" style="4" bestFit="1" customWidth="1"/>
    <col min="13356" max="13356" width="10.42578125" style="4" bestFit="1" customWidth="1"/>
    <col min="13357" max="13357" width="10" style="4" bestFit="1" customWidth="1"/>
    <col min="13358" max="13358" width="12.42578125" style="4" bestFit="1" customWidth="1"/>
    <col min="13359" max="13575" width="9.140625" style="4"/>
    <col min="13576" max="13576" width="16.5703125" style="4" bestFit="1" customWidth="1"/>
    <col min="13577" max="13577" width="38.42578125" style="4" bestFit="1" customWidth="1"/>
    <col min="13578" max="13578" width="0" style="4" hidden="1" customWidth="1"/>
    <col min="13579" max="13579" width="36.5703125" style="4" customWidth="1"/>
    <col min="13580" max="13580" width="12.140625" style="4" customWidth="1"/>
    <col min="13581" max="13581" width="7.5703125" style="4" bestFit="1" customWidth="1"/>
    <col min="13582" max="13582" width="4.42578125" style="4" bestFit="1" customWidth="1"/>
    <col min="13583" max="13583" width="9.85546875" style="4" bestFit="1" customWidth="1"/>
    <col min="13584" max="13584" width="9.42578125" style="4" bestFit="1" customWidth="1"/>
    <col min="13585" max="13585" width="8.85546875" style="4" customWidth="1"/>
    <col min="13586" max="13586" width="9.140625" style="4"/>
    <col min="13587" max="13587" width="12.85546875" style="4" customWidth="1"/>
    <col min="13588" max="13588" width="9.140625" style="4"/>
    <col min="13589" max="13589" width="11.85546875" style="4" customWidth="1"/>
    <col min="13590" max="13590" width="11" style="4" bestFit="1" customWidth="1"/>
    <col min="13591" max="13591" width="10" style="4" bestFit="1" customWidth="1"/>
    <col min="13592" max="13592" width="9.5703125" style="4" bestFit="1" customWidth="1"/>
    <col min="13593" max="13594" width="10" style="4" bestFit="1" customWidth="1"/>
    <col min="13595" max="13595" width="10.5703125" style="4" bestFit="1" customWidth="1"/>
    <col min="13596" max="13596" width="10" style="4" bestFit="1" customWidth="1"/>
    <col min="13597" max="13597" width="9.140625" style="4"/>
    <col min="13598" max="13598" width="11" style="4" bestFit="1" customWidth="1"/>
    <col min="13599" max="13599" width="9.140625" style="4"/>
    <col min="13600" max="13600" width="10" style="4" bestFit="1" customWidth="1"/>
    <col min="13601" max="13601" width="9.5703125" style="4" bestFit="1" customWidth="1"/>
    <col min="13602" max="13603" width="10.5703125" style="4" bestFit="1" customWidth="1"/>
    <col min="13604" max="13604" width="10" style="4" bestFit="1" customWidth="1"/>
    <col min="13605" max="13605" width="9.140625" style="4"/>
    <col min="13606" max="13607" width="10" style="4" bestFit="1" customWidth="1"/>
    <col min="13608" max="13608" width="10.5703125" style="4" bestFit="1" customWidth="1"/>
    <col min="13609" max="13609" width="10.42578125" style="4" bestFit="1" customWidth="1"/>
    <col min="13610" max="13610" width="9.140625" style="4"/>
    <col min="13611" max="13611" width="9.5703125" style="4" bestFit="1" customWidth="1"/>
    <col min="13612" max="13612" width="10.42578125" style="4" bestFit="1" customWidth="1"/>
    <col min="13613" max="13613" width="10" style="4" bestFit="1" customWidth="1"/>
    <col min="13614" max="13614" width="12.42578125" style="4" bestFit="1" customWidth="1"/>
    <col min="13615" max="13831" width="9.140625" style="4"/>
    <col min="13832" max="13832" width="16.5703125" style="4" bestFit="1" customWidth="1"/>
    <col min="13833" max="13833" width="38.42578125" style="4" bestFit="1" customWidth="1"/>
    <col min="13834" max="13834" width="0" style="4" hidden="1" customWidth="1"/>
    <col min="13835" max="13835" width="36.5703125" style="4" customWidth="1"/>
    <col min="13836" max="13836" width="12.140625" style="4" customWidth="1"/>
    <col min="13837" max="13837" width="7.5703125" style="4" bestFit="1" customWidth="1"/>
    <col min="13838" max="13838" width="4.42578125" style="4" bestFit="1" customWidth="1"/>
    <col min="13839" max="13839" width="9.85546875" style="4" bestFit="1" customWidth="1"/>
    <col min="13840" max="13840" width="9.42578125" style="4" bestFit="1" customWidth="1"/>
    <col min="13841" max="13841" width="8.85546875" style="4" customWidth="1"/>
    <col min="13842" max="13842" width="9.140625" style="4"/>
    <col min="13843" max="13843" width="12.85546875" style="4" customWidth="1"/>
    <col min="13844" max="13844" width="9.140625" style="4"/>
    <col min="13845" max="13845" width="11.85546875" style="4" customWidth="1"/>
    <col min="13846" max="13846" width="11" style="4" bestFit="1" customWidth="1"/>
    <col min="13847" max="13847" width="10" style="4" bestFit="1" customWidth="1"/>
    <col min="13848" max="13848" width="9.5703125" style="4" bestFit="1" customWidth="1"/>
    <col min="13849" max="13850" width="10" style="4" bestFit="1" customWidth="1"/>
    <col min="13851" max="13851" width="10.5703125" style="4" bestFit="1" customWidth="1"/>
    <col min="13852" max="13852" width="10" style="4" bestFit="1" customWidth="1"/>
    <col min="13853" max="13853" width="9.140625" style="4"/>
    <col min="13854" max="13854" width="11" style="4" bestFit="1" customWidth="1"/>
    <col min="13855" max="13855" width="9.140625" style="4"/>
    <col min="13856" max="13856" width="10" style="4" bestFit="1" customWidth="1"/>
    <col min="13857" max="13857" width="9.5703125" style="4" bestFit="1" customWidth="1"/>
    <col min="13858" max="13859" width="10.5703125" style="4" bestFit="1" customWidth="1"/>
    <col min="13860" max="13860" width="10" style="4" bestFit="1" customWidth="1"/>
    <col min="13861" max="13861" width="9.140625" style="4"/>
    <col min="13862" max="13863" width="10" style="4" bestFit="1" customWidth="1"/>
    <col min="13864" max="13864" width="10.5703125" style="4" bestFit="1" customWidth="1"/>
    <col min="13865" max="13865" width="10.42578125" style="4" bestFit="1" customWidth="1"/>
    <col min="13866" max="13866" width="9.140625" style="4"/>
    <col min="13867" max="13867" width="9.5703125" style="4" bestFit="1" customWidth="1"/>
    <col min="13868" max="13868" width="10.42578125" style="4" bestFit="1" customWidth="1"/>
    <col min="13869" max="13869" width="10" style="4" bestFit="1" customWidth="1"/>
    <col min="13870" max="13870" width="12.42578125" style="4" bestFit="1" customWidth="1"/>
    <col min="13871" max="14087" width="9.140625" style="4"/>
    <col min="14088" max="14088" width="16.5703125" style="4" bestFit="1" customWidth="1"/>
    <col min="14089" max="14089" width="38.42578125" style="4" bestFit="1" customWidth="1"/>
    <col min="14090" max="14090" width="0" style="4" hidden="1" customWidth="1"/>
    <col min="14091" max="14091" width="36.5703125" style="4" customWidth="1"/>
    <col min="14092" max="14092" width="12.140625" style="4" customWidth="1"/>
    <col min="14093" max="14093" width="7.5703125" style="4" bestFit="1" customWidth="1"/>
    <col min="14094" max="14094" width="4.42578125" style="4" bestFit="1" customWidth="1"/>
    <col min="14095" max="14095" width="9.85546875" style="4" bestFit="1" customWidth="1"/>
    <col min="14096" max="14096" width="9.42578125" style="4" bestFit="1" customWidth="1"/>
    <col min="14097" max="14097" width="8.85546875" style="4" customWidth="1"/>
    <col min="14098" max="14098" width="9.140625" style="4"/>
    <col min="14099" max="14099" width="12.85546875" style="4" customWidth="1"/>
    <col min="14100" max="14100" width="9.140625" style="4"/>
    <col min="14101" max="14101" width="11.85546875" style="4" customWidth="1"/>
    <col min="14102" max="14102" width="11" style="4" bestFit="1" customWidth="1"/>
    <col min="14103" max="14103" width="10" style="4" bestFit="1" customWidth="1"/>
    <col min="14104" max="14104" width="9.5703125" style="4" bestFit="1" customWidth="1"/>
    <col min="14105" max="14106" width="10" style="4" bestFit="1" customWidth="1"/>
    <col min="14107" max="14107" width="10.5703125" style="4" bestFit="1" customWidth="1"/>
    <col min="14108" max="14108" width="10" style="4" bestFit="1" customWidth="1"/>
    <col min="14109" max="14109" width="9.140625" style="4"/>
    <col min="14110" max="14110" width="11" style="4" bestFit="1" customWidth="1"/>
    <col min="14111" max="14111" width="9.140625" style="4"/>
    <col min="14112" max="14112" width="10" style="4" bestFit="1" customWidth="1"/>
    <col min="14113" max="14113" width="9.5703125" style="4" bestFit="1" customWidth="1"/>
    <col min="14114" max="14115" width="10.5703125" style="4" bestFit="1" customWidth="1"/>
    <col min="14116" max="14116" width="10" style="4" bestFit="1" customWidth="1"/>
    <col min="14117" max="14117" width="9.140625" style="4"/>
    <col min="14118" max="14119" width="10" style="4" bestFit="1" customWidth="1"/>
    <col min="14120" max="14120" width="10.5703125" style="4" bestFit="1" customWidth="1"/>
    <col min="14121" max="14121" width="10.42578125" style="4" bestFit="1" customWidth="1"/>
    <col min="14122" max="14122" width="9.140625" style="4"/>
    <col min="14123" max="14123" width="9.5703125" style="4" bestFit="1" customWidth="1"/>
    <col min="14124" max="14124" width="10.42578125" style="4" bestFit="1" customWidth="1"/>
    <col min="14125" max="14125" width="10" style="4" bestFit="1" customWidth="1"/>
    <col min="14126" max="14126" width="12.42578125" style="4" bestFit="1" customWidth="1"/>
    <col min="14127" max="14343" width="9.140625" style="4"/>
    <col min="14344" max="14344" width="16.5703125" style="4" bestFit="1" customWidth="1"/>
    <col min="14345" max="14345" width="38.42578125" style="4" bestFit="1" customWidth="1"/>
    <col min="14346" max="14346" width="0" style="4" hidden="1" customWidth="1"/>
    <col min="14347" max="14347" width="36.5703125" style="4" customWidth="1"/>
    <col min="14348" max="14348" width="12.140625" style="4" customWidth="1"/>
    <col min="14349" max="14349" width="7.5703125" style="4" bestFit="1" customWidth="1"/>
    <col min="14350" max="14350" width="4.42578125" style="4" bestFit="1" customWidth="1"/>
    <col min="14351" max="14351" width="9.85546875" style="4" bestFit="1" customWidth="1"/>
    <col min="14352" max="14352" width="9.42578125" style="4" bestFit="1" customWidth="1"/>
    <col min="14353" max="14353" width="8.85546875" style="4" customWidth="1"/>
    <col min="14354" max="14354" width="9.140625" style="4"/>
    <col min="14355" max="14355" width="12.85546875" style="4" customWidth="1"/>
    <col min="14356" max="14356" width="9.140625" style="4"/>
    <col min="14357" max="14357" width="11.85546875" style="4" customWidth="1"/>
    <col min="14358" max="14358" width="11" style="4" bestFit="1" customWidth="1"/>
    <col min="14359" max="14359" width="10" style="4" bestFit="1" customWidth="1"/>
    <col min="14360" max="14360" width="9.5703125" style="4" bestFit="1" customWidth="1"/>
    <col min="14361" max="14362" width="10" style="4" bestFit="1" customWidth="1"/>
    <col min="14363" max="14363" width="10.5703125" style="4" bestFit="1" customWidth="1"/>
    <col min="14364" max="14364" width="10" style="4" bestFit="1" customWidth="1"/>
    <col min="14365" max="14365" width="9.140625" style="4"/>
    <col min="14366" max="14366" width="11" style="4" bestFit="1" customWidth="1"/>
    <col min="14367" max="14367" width="9.140625" style="4"/>
    <col min="14368" max="14368" width="10" style="4" bestFit="1" customWidth="1"/>
    <col min="14369" max="14369" width="9.5703125" style="4" bestFit="1" customWidth="1"/>
    <col min="14370" max="14371" width="10.5703125" style="4" bestFit="1" customWidth="1"/>
    <col min="14372" max="14372" width="10" style="4" bestFit="1" customWidth="1"/>
    <col min="14373" max="14373" width="9.140625" style="4"/>
    <col min="14374" max="14375" width="10" style="4" bestFit="1" customWidth="1"/>
    <col min="14376" max="14376" width="10.5703125" style="4" bestFit="1" customWidth="1"/>
    <col min="14377" max="14377" width="10.42578125" style="4" bestFit="1" customWidth="1"/>
    <col min="14378" max="14378" width="9.140625" style="4"/>
    <col min="14379" max="14379" width="9.5703125" style="4" bestFit="1" customWidth="1"/>
    <col min="14380" max="14380" width="10.42578125" style="4" bestFit="1" customWidth="1"/>
    <col min="14381" max="14381" width="10" style="4" bestFit="1" customWidth="1"/>
    <col min="14382" max="14382" width="12.42578125" style="4" bestFit="1" customWidth="1"/>
    <col min="14383" max="14599" width="9.140625" style="4"/>
    <col min="14600" max="14600" width="16.5703125" style="4" bestFit="1" customWidth="1"/>
    <col min="14601" max="14601" width="38.42578125" style="4" bestFit="1" customWidth="1"/>
    <col min="14602" max="14602" width="0" style="4" hidden="1" customWidth="1"/>
    <col min="14603" max="14603" width="36.5703125" style="4" customWidth="1"/>
    <col min="14604" max="14604" width="12.140625" style="4" customWidth="1"/>
    <col min="14605" max="14605" width="7.5703125" style="4" bestFit="1" customWidth="1"/>
    <col min="14606" max="14606" width="4.42578125" style="4" bestFit="1" customWidth="1"/>
    <col min="14607" max="14607" width="9.85546875" style="4" bestFit="1" customWidth="1"/>
    <col min="14608" max="14608" width="9.42578125" style="4" bestFit="1" customWidth="1"/>
    <col min="14609" max="14609" width="8.85546875" style="4" customWidth="1"/>
    <col min="14610" max="14610" width="9.140625" style="4"/>
    <col min="14611" max="14611" width="12.85546875" style="4" customWidth="1"/>
    <col min="14612" max="14612" width="9.140625" style="4"/>
    <col min="14613" max="14613" width="11.85546875" style="4" customWidth="1"/>
    <col min="14614" max="14614" width="11" style="4" bestFit="1" customWidth="1"/>
    <col min="14615" max="14615" width="10" style="4" bestFit="1" customWidth="1"/>
    <col min="14616" max="14616" width="9.5703125" style="4" bestFit="1" customWidth="1"/>
    <col min="14617" max="14618" width="10" style="4" bestFit="1" customWidth="1"/>
    <col min="14619" max="14619" width="10.5703125" style="4" bestFit="1" customWidth="1"/>
    <col min="14620" max="14620" width="10" style="4" bestFit="1" customWidth="1"/>
    <col min="14621" max="14621" width="9.140625" style="4"/>
    <col min="14622" max="14622" width="11" style="4" bestFit="1" customWidth="1"/>
    <col min="14623" max="14623" width="9.140625" style="4"/>
    <col min="14624" max="14624" width="10" style="4" bestFit="1" customWidth="1"/>
    <col min="14625" max="14625" width="9.5703125" style="4" bestFit="1" customWidth="1"/>
    <col min="14626" max="14627" width="10.5703125" style="4" bestFit="1" customWidth="1"/>
    <col min="14628" max="14628" width="10" style="4" bestFit="1" customWidth="1"/>
    <col min="14629" max="14629" width="9.140625" style="4"/>
    <col min="14630" max="14631" width="10" style="4" bestFit="1" customWidth="1"/>
    <col min="14632" max="14632" width="10.5703125" style="4" bestFit="1" customWidth="1"/>
    <col min="14633" max="14633" width="10.42578125" style="4" bestFit="1" customWidth="1"/>
    <col min="14634" max="14634" width="9.140625" style="4"/>
    <col min="14635" max="14635" width="9.5703125" style="4" bestFit="1" customWidth="1"/>
    <col min="14636" max="14636" width="10.42578125" style="4" bestFit="1" customWidth="1"/>
    <col min="14637" max="14637" width="10" style="4" bestFit="1" customWidth="1"/>
    <col min="14638" max="14638" width="12.42578125" style="4" bestFit="1" customWidth="1"/>
    <col min="14639" max="14855" width="9.140625" style="4"/>
    <col min="14856" max="14856" width="16.5703125" style="4" bestFit="1" customWidth="1"/>
    <col min="14857" max="14857" width="38.42578125" style="4" bestFit="1" customWidth="1"/>
    <col min="14858" max="14858" width="0" style="4" hidden="1" customWidth="1"/>
    <col min="14859" max="14859" width="36.5703125" style="4" customWidth="1"/>
    <col min="14860" max="14860" width="12.140625" style="4" customWidth="1"/>
    <col min="14861" max="14861" width="7.5703125" style="4" bestFit="1" customWidth="1"/>
    <col min="14862" max="14862" width="4.42578125" style="4" bestFit="1" customWidth="1"/>
    <col min="14863" max="14863" width="9.85546875" style="4" bestFit="1" customWidth="1"/>
    <col min="14864" max="14864" width="9.42578125" style="4" bestFit="1" customWidth="1"/>
    <col min="14865" max="14865" width="8.85546875" style="4" customWidth="1"/>
    <col min="14866" max="14866" width="9.140625" style="4"/>
    <col min="14867" max="14867" width="12.85546875" style="4" customWidth="1"/>
    <col min="14868" max="14868" width="9.140625" style="4"/>
    <col min="14869" max="14869" width="11.85546875" style="4" customWidth="1"/>
    <col min="14870" max="14870" width="11" style="4" bestFit="1" customWidth="1"/>
    <col min="14871" max="14871" width="10" style="4" bestFit="1" customWidth="1"/>
    <col min="14872" max="14872" width="9.5703125" style="4" bestFit="1" customWidth="1"/>
    <col min="14873" max="14874" width="10" style="4" bestFit="1" customWidth="1"/>
    <col min="14875" max="14875" width="10.5703125" style="4" bestFit="1" customWidth="1"/>
    <col min="14876" max="14876" width="10" style="4" bestFit="1" customWidth="1"/>
    <col min="14877" max="14877" width="9.140625" style="4"/>
    <col min="14878" max="14878" width="11" style="4" bestFit="1" customWidth="1"/>
    <col min="14879" max="14879" width="9.140625" style="4"/>
    <col min="14880" max="14880" width="10" style="4" bestFit="1" customWidth="1"/>
    <col min="14881" max="14881" width="9.5703125" style="4" bestFit="1" customWidth="1"/>
    <col min="14882" max="14883" width="10.5703125" style="4" bestFit="1" customWidth="1"/>
    <col min="14884" max="14884" width="10" style="4" bestFit="1" customWidth="1"/>
    <col min="14885" max="14885" width="9.140625" style="4"/>
    <col min="14886" max="14887" width="10" style="4" bestFit="1" customWidth="1"/>
    <col min="14888" max="14888" width="10.5703125" style="4" bestFit="1" customWidth="1"/>
    <col min="14889" max="14889" width="10.42578125" style="4" bestFit="1" customWidth="1"/>
    <col min="14890" max="14890" width="9.140625" style="4"/>
    <col min="14891" max="14891" width="9.5703125" style="4" bestFit="1" customWidth="1"/>
    <col min="14892" max="14892" width="10.42578125" style="4" bestFit="1" customWidth="1"/>
    <col min="14893" max="14893" width="10" style="4" bestFit="1" customWidth="1"/>
    <col min="14894" max="14894" width="12.42578125" style="4" bestFit="1" customWidth="1"/>
    <col min="14895" max="15111" width="9.140625" style="4"/>
    <col min="15112" max="15112" width="16.5703125" style="4" bestFit="1" customWidth="1"/>
    <col min="15113" max="15113" width="38.42578125" style="4" bestFit="1" customWidth="1"/>
    <col min="15114" max="15114" width="0" style="4" hidden="1" customWidth="1"/>
    <col min="15115" max="15115" width="36.5703125" style="4" customWidth="1"/>
    <col min="15116" max="15116" width="12.140625" style="4" customWidth="1"/>
    <col min="15117" max="15117" width="7.5703125" style="4" bestFit="1" customWidth="1"/>
    <col min="15118" max="15118" width="4.42578125" style="4" bestFit="1" customWidth="1"/>
    <col min="15119" max="15119" width="9.85546875" style="4" bestFit="1" customWidth="1"/>
    <col min="15120" max="15120" width="9.42578125" style="4" bestFit="1" customWidth="1"/>
    <col min="15121" max="15121" width="8.85546875" style="4" customWidth="1"/>
    <col min="15122" max="15122" width="9.140625" style="4"/>
    <col min="15123" max="15123" width="12.85546875" style="4" customWidth="1"/>
    <col min="15124" max="15124" width="9.140625" style="4"/>
    <col min="15125" max="15125" width="11.85546875" style="4" customWidth="1"/>
    <col min="15126" max="15126" width="11" style="4" bestFit="1" customWidth="1"/>
    <col min="15127" max="15127" width="10" style="4" bestFit="1" customWidth="1"/>
    <col min="15128" max="15128" width="9.5703125" style="4" bestFit="1" customWidth="1"/>
    <col min="15129" max="15130" width="10" style="4" bestFit="1" customWidth="1"/>
    <col min="15131" max="15131" width="10.5703125" style="4" bestFit="1" customWidth="1"/>
    <col min="15132" max="15132" width="10" style="4" bestFit="1" customWidth="1"/>
    <col min="15133" max="15133" width="9.140625" style="4"/>
    <col min="15134" max="15134" width="11" style="4" bestFit="1" customWidth="1"/>
    <col min="15135" max="15135" width="9.140625" style="4"/>
    <col min="15136" max="15136" width="10" style="4" bestFit="1" customWidth="1"/>
    <col min="15137" max="15137" width="9.5703125" style="4" bestFit="1" customWidth="1"/>
    <col min="15138" max="15139" width="10.5703125" style="4" bestFit="1" customWidth="1"/>
    <col min="15140" max="15140" width="10" style="4" bestFit="1" customWidth="1"/>
    <col min="15141" max="15141" width="9.140625" style="4"/>
    <col min="15142" max="15143" width="10" style="4" bestFit="1" customWidth="1"/>
    <col min="15144" max="15144" width="10.5703125" style="4" bestFit="1" customWidth="1"/>
    <col min="15145" max="15145" width="10.42578125" style="4" bestFit="1" customWidth="1"/>
    <col min="15146" max="15146" width="9.140625" style="4"/>
    <col min="15147" max="15147" width="9.5703125" style="4" bestFit="1" customWidth="1"/>
    <col min="15148" max="15148" width="10.42578125" style="4" bestFit="1" customWidth="1"/>
    <col min="15149" max="15149" width="10" style="4" bestFit="1" customWidth="1"/>
    <col min="15150" max="15150" width="12.42578125" style="4" bestFit="1" customWidth="1"/>
    <col min="15151" max="15367" width="9.140625" style="4"/>
    <col min="15368" max="15368" width="16.5703125" style="4" bestFit="1" customWidth="1"/>
    <col min="15369" max="15369" width="38.42578125" style="4" bestFit="1" customWidth="1"/>
    <col min="15370" max="15370" width="0" style="4" hidden="1" customWidth="1"/>
    <col min="15371" max="15371" width="36.5703125" style="4" customWidth="1"/>
    <col min="15372" max="15372" width="12.140625" style="4" customWidth="1"/>
    <col min="15373" max="15373" width="7.5703125" style="4" bestFit="1" customWidth="1"/>
    <col min="15374" max="15374" width="4.42578125" style="4" bestFit="1" customWidth="1"/>
    <col min="15375" max="15375" width="9.85546875" style="4" bestFit="1" customWidth="1"/>
    <col min="15376" max="15376" width="9.42578125" style="4" bestFit="1" customWidth="1"/>
    <col min="15377" max="15377" width="8.85546875" style="4" customWidth="1"/>
    <col min="15378" max="15378" width="9.140625" style="4"/>
    <col min="15379" max="15379" width="12.85546875" style="4" customWidth="1"/>
    <col min="15380" max="15380" width="9.140625" style="4"/>
    <col min="15381" max="15381" width="11.85546875" style="4" customWidth="1"/>
    <col min="15382" max="15382" width="11" style="4" bestFit="1" customWidth="1"/>
    <col min="15383" max="15383" width="10" style="4" bestFit="1" customWidth="1"/>
    <col min="15384" max="15384" width="9.5703125" style="4" bestFit="1" customWidth="1"/>
    <col min="15385" max="15386" width="10" style="4" bestFit="1" customWidth="1"/>
    <col min="15387" max="15387" width="10.5703125" style="4" bestFit="1" customWidth="1"/>
    <col min="15388" max="15388" width="10" style="4" bestFit="1" customWidth="1"/>
    <col min="15389" max="15389" width="9.140625" style="4"/>
    <col min="15390" max="15390" width="11" style="4" bestFit="1" customWidth="1"/>
    <col min="15391" max="15391" width="9.140625" style="4"/>
    <col min="15392" max="15392" width="10" style="4" bestFit="1" customWidth="1"/>
    <col min="15393" max="15393" width="9.5703125" style="4" bestFit="1" customWidth="1"/>
    <col min="15394" max="15395" width="10.5703125" style="4" bestFit="1" customWidth="1"/>
    <col min="15396" max="15396" width="10" style="4" bestFit="1" customWidth="1"/>
    <col min="15397" max="15397" width="9.140625" style="4"/>
    <col min="15398" max="15399" width="10" style="4" bestFit="1" customWidth="1"/>
    <col min="15400" max="15400" width="10.5703125" style="4" bestFit="1" customWidth="1"/>
    <col min="15401" max="15401" width="10.42578125" style="4" bestFit="1" customWidth="1"/>
    <col min="15402" max="15402" width="9.140625" style="4"/>
    <col min="15403" max="15403" width="9.5703125" style="4" bestFit="1" customWidth="1"/>
    <col min="15404" max="15404" width="10.42578125" style="4" bestFit="1" customWidth="1"/>
    <col min="15405" max="15405" width="10" style="4" bestFit="1" customWidth="1"/>
    <col min="15406" max="15406" width="12.42578125" style="4" bestFit="1" customWidth="1"/>
    <col min="15407" max="15623" width="9.140625" style="4"/>
    <col min="15624" max="15624" width="16.5703125" style="4" bestFit="1" customWidth="1"/>
    <col min="15625" max="15625" width="38.42578125" style="4" bestFit="1" customWidth="1"/>
    <col min="15626" max="15626" width="0" style="4" hidden="1" customWidth="1"/>
    <col min="15627" max="15627" width="36.5703125" style="4" customWidth="1"/>
    <col min="15628" max="15628" width="12.140625" style="4" customWidth="1"/>
    <col min="15629" max="15629" width="7.5703125" style="4" bestFit="1" customWidth="1"/>
    <col min="15630" max="15630" width="4.42578125" style="4" bestFit="1" customWidth="1"/>
    <col min="15631" max="15631" width="9.85546875" style="4" bestFit="1" customWidth="1"/>
    <col min="15632" max="15632" width="9.42578125" style="4" bestFit="1" customWidth="1"/>
    <col min="15633" max="15633" width="8.85546875" style="4" customWidth="1"/>
    <col min="15634" max="15634" width="9.140625" style="4"/>
    <col min="15635" max="15635" width="12.85546875" style="4" customWidth="1"/>
    <col min="15636" max="15636" width="9.140625" style="4"/>
    <col min="15637" max="15637" width="11.85546875" style="4" customWidth="1"/>
    <col min="15638" max="15638" width="11" style="4" bestFit="1" customWidth="1"/>
    <col min="15639" max="15639" width="10" style="4" bestFit="1" customWidth="1"/>
    <col min="15640" max="15640" width="9.5703125" style="4" bestFit="1" customWidth="1"/>
    <col min="15641" max="15642" width="10" style="4" bestFit="1" customWidth="1"/>
    <col min="15643" max="15643" width="10.5703125" style="4" bestFit="1" customWidth="1"/>
    <col min="15644" max="15644" width="10" style="4" bestFit="1" customWidth="1"/>
    <col min="15645" max="15645" width="9.140625" style="4"/>
    <col min="15646" max="15646" width="11" style="4" bestFit="1" customWidth="1"/>
    <col min="15647" max="15647" width="9.140625" style="4"/>
    <col min="15648" max="15648" width="10" style="4" bestFit="1" customWidth="1"/>
    <col min="15649" max="15649" width="9.5703125" style="4" bestFit="1" customWidth="1"/>
    <col min="15650" max="15651" width="10.5703125" style="4" bestFit="1" customWidth="1"/>
    <col min="15652" max="15652" width="10" style="4" bestFit="1" customWidth="1"/>
    <col min="15653" max="15653" width="9.140625" style="4"/>
    <col min="15654" max="15655" width="10" style="4" bestFit="1" customWidth="1"/>
    <col min="15656" max="15656" width="10.5703125" style="4" bestFit="1" customWidth="1"/>
    <col min="15657" max="15657" width="10.42578125" style="4" bestFit="1" customWidth="1"/>
    <col min="15658" max="15658" width="9.140625" style="4"/>
    <col min="15659" max="15659" width="9.5703125" style="4" bestFit="1" customWidth="1"/>
    <col min="15660" max="15660" width="10.42578125" style="4" bestFit="1" customWidth="1"/>
    <col min="15661" max="15661" width="10" style="4" bestFit="1" customWidth="1"/>
    <col min="15662" max="15662" width="12.42578125" style="4" bestFit="1" customWidth="1"/>
    <col min="15663" max="15879" width="9.140625" style="4"/>
    <col min="15880" max="15880" width="16.5703125" style="4" bestFit="1" customWidth="1"/>
    <col min="15881" max="15881" width="38.42578125" style="4" bestFit="1" customWidth="1"/>
    <col min="15882" max="15882" width="0" style="4" hidden="1" customWidth="1"/>
    <col min="15883" max="15883" width="36.5703125" style="4" customWidth="1"/>
    <col min="15884" max="15884" width="12.140625" style="4" customWidth="1"/>
    <col min="15885" max="15885" width="7.5703125" style="4" bestFit="1" customWidth="1"/>
    <col min="15886" max="15886" width="4.42578125" style="4" bestFit="1" customWidth="1"/>
    <col min="15887" max="15887" width="9.85546875" style="4" bestFit="1" customWidth="1"/>
    <col min="15888" max="15888" width="9.42578125" style="4" bestFit="1" customWidth="1"/>
    <col min="15889" max="15889" width="8.85546875" style="4" customWidth="1"/>
    <col min="15890" max="15890" width="9.140625" style="4"/>
    <col min="15891" max="15891" width="12.85546875" style="4" customWidth="1"/>
    <col min="15892" max="15892" width="9.140625" style="4"/>
    <col min="15893" max="15893" width="11.85546875" style="4" customWidth="1"/>
    <col min="15894" max="15894" width="11" style="4" bestFit="1" customWidth="1"/>
    <col min="15895" max="15895" width="10" style="4" bestFit="1" customWidth="1"/>
    <col min="15896" max="15896" width="9.5703125" style="4" bestFit="1" customWidth="1"/>
    <col min="15897" max="15898" width="10" style="4" bestFit="1" customWidth="1"/>
    <col min="15899" max="15899" width="10.5703125" style="4" bestFit="1" customWidth="1"/>
    <col min="15900" max="15900" width="10" style="4" bestFit="1" customWidth="1"/>
    <col min="15901" max="15901" width="9.140625" style="4"/>
    <col min="15902" max="15902" width="11" style="4" bestFit="1" customWidth="1"/>
    <col min="15903" max="15903" width="9.140625" style="4"/>
    <col min="15904" max="15904" width="10" style="4" bestFit="1" customWidth="1"/>
    <col min="15905" max="15905" width="9.5703125" style="4" bestFit="1" customWidth="1"/>
    <col min="15906" max="15907" width="10.5703125" style="4" bestFit="1" customWidth="1"/>
    <col min="15908" max="15908" width="10" style="4" bestFit="1" customWidth="1"/>
    <col min="15909" max="15909" width="9.140625" style="4"/>
    <col min="15910" max="15911" width="10" style="4" bestFit="1" customWidth="1"/>
    <col min="15912" max="15912" width="10.5703125" style="4" bestFit="1" customWidth="1"/>
    <col min="15913" max="15913" width="10.42578125" style="4" bestFit="1" customWidth="1"/>
    <col min="15914" max="15914" width="9.140625" style="4"/>
    <col min="15915" max="15915" width="9.5703125" style="4" bestFit="1" customWidth="1"/>
    <col min="15916" max="15916" width="10.42578125" style="4" bestFit="1" customWidth="1"/>
    <col min="15917" max="15917" width="10" style="4" bestFit="1" customWidth="1"/>
    <col min="15918" max="15918" width="12.42578125" style="4" bestFit="1" customWidth="1"/>
    <col min="15919" max="16135" width="9.140625" style="4"/>
    <col min="16136" max="16136" width="16.5703125" style="4" bestFit="1" customWidth="1"/>
    <col min="16137" max="16137" width="38.42578125" style="4" bestFit="1" customWidth="1"/>
    <col min="16138" max="16138" width="0" style="4" hidden="1" customWidth="1"/>
    <col min="16139" max="16139" width="36.5703125" style="4" customWidth="1"/>
    <col min="16140" max="16140" width="12.140625" style="4" customWidth="1"/>
    <col min="16141" max="16141" width="7.5703125" style="4" bestFit="1" customWidth="1"/>
    <col min="16142" max="16142" width="4.42578125" style="4" bestFit="1" customWidth="1"/>
    <col min="16143" max="16143" width="9.85546875" style="4" bestFit="1" customWidth="1"/>
    <col min="16144" max="16144" width="9.42578125" style="4" bestFit="1" customWidth="1"/>
    <col min="16145" max="16145" width="8.85546875" style="4" customWidth="1"/>
    <col min="16146" max="16146" width="9.140625" style="4"/>
    <col min="16147" max="16147" width="12.85546875" style="4" customWidth="1"/>
    <col min="16148" max="16148" width="9.140625" style="4"/>
    <col min="16149" max="16149" width="11.85546875" style="4" customWidth="1"/>
    <col min="16150" max="16150" width="11" style="4" bestFit="1" customWidth="1"/>
    <col min="16151" max="16151" width="10" style="4" bestFit="1" customWidth="1"/>
    <col min="16152" max="16152" width="9.5703125" style="4" bestFit="1" customWidth="1"/>
    <col min="16153" max="16154" width="10" style="4" bestFit="1" customWidth="1"/>
    <col min="16155" max="16155" width="10.5703125" style="4" bestFit="1" customWidth="1"/>
    <col min="16156" max="16156" width="10" style="4" bestFit="1" customWidth="1"/>
    <col min="16157" max="16157" width="9.140625" style="4"/>
    <col min="16158" max="16158" width="11" style="4" bestFit="1" customWidth="1"/>
    <col min="16159" max="16159" width="9.140625" style="4"/>
    <col min="16160" max="16160" width="10" style="4" bestFit="1" customWidth="1"/>
    <col min="16161" max="16161" width="9.5703125" style="4" bestFit="1" customWidth="1"/>
    <col min="16162" max="16163" width="10.5703125" style="4" bestFit="1" customWidth="1"/>
    <col min="16164" max="16164" width="10" style="4" bestFit="1" customWidth="1"/>
    <col min="16165" max="16165" width="9.140625" style="4"/>
    <col min="16166" max="16167" width="10" style="4" bestFit="1" customWidth="1"/>
    <col min="16168" max="16168" width="10.5703125" style="4" bestFit="1" customWidth="1"/>
    <col min="16169" max="16169" width="10.42578125" style="4" bestFit="1" customWidth="1"/>
    <col min="16170" max="16170" width="9.140625" style="4"/>
    <col min="16171" max="16171" width="9.5703125" style="4" bestFit="1" customWidth="1"/>
    <col min="16172" max="16172" width="10.42578125" style="4" bestFit="1" customWidth="1"/>
    <col min="16173" max="16173" width="10" style="4" bestFit="1" customWidth="1"/>
    <col min="16174" max="16174" width="12.42578125" style="4" bestFit="1" customWidth="1"/>
    <col min="16175" max="16384" width="9.140625" style="4"/>
  </cols>
  <sheetData>
    <row r="2" spans="2:46" s="23" customFormat="1" ht="15" x14ac:dyDescent="0.25">
      <c r="B2" s="139" t="s">
        <v>3</v>
      </c>
      <c r="C2" s="139"/>
      <c r="D2" s="139"/>
      <c r="E2" s="139"/>
      <c r="F2" s="139"/>
      <c r="G2" s="139"/>
      <c r="H2" s="139"/>
    </row>
    <row r="3" spans="2:46" s="23" customFormat="1" ht="15" x14ac:dyDescent="0.25">
      <c r="B3" s="139" t="s">
        <v>4</v>
      </c>
      <c r="C3" s="140"/>
      <c r="D3" s="140"/>
      <c r="E3" s="140"/>
      <c r="F3" s="140"/>
      <c r="G3" s="140"/>
      <c r="H3" s="140"/>
    </row>
    <row r="4" spans="2:46" s="23" customFormat="1" ht="15" x14ac:dyDescent="0.25">
      <c r="B4" s="683" t="s">
        <v>64</v>
      </c>
      <c r="C4" s="683"/>
      <c r="D4" s="683"/>
      <c r="E4" s="683"/>
      <c r="F4" s="683"/>
      <c r="G4" s="683"/>
      <c r="H4" s="683"/>
      <c r="N4" s="131"/>
    </row>
    <row r="5" spans="2:46" s="23" customFormat="1" ht="20.25" customHeight="1" x14ac:dyDescent="0.25">
      <c r="B5" s="141"/>
      <c r="C5" s="141"/>
      <c r="D5" s="141"/>
      <c r="E5" s="141"/>
      <c r="F5" s="141"/>
      <c r="G5" s="181" t="s">
        <v>1</v>
      </c>
      <c r="H5" s="182" t="str">
        <f>'Project Data Input'!H5</f>
        <v xml:space="preserve"> </v>
      </c>
      <c r="AP5" s="131"/>
    </row>
    <row r="6" spans="2:46" s="23" customFormat="1" ht="15" x14ac:dyDescent="0.25">
      <c r="B6" s="141"/>
      <c r="C6" s="141"/>
      <c r="D6" s="141"/>
      <c r="E6" s="141"/>
      <c r="F6" s="141"/>
      <c r="G6" s="181" t="s">
        <v>0</v>
      </c>
      <c r="H6" s="181" t="str">
        <f>'Project Data Input'!H6</f>
        <v xml:space="preserve"> </v>
      </c>
      <c r="AO6" s="133"/>
    </row>
    <row r="7" spans="2:46" ht="12.75" thickBot="1" x14ac:dyDescent="0.25">
      <c r="D7" s="3"/>
      <c r="E7" s="3"/>
      <c r="F7" s="96"/>
      <c r="G7" s="96"/>
      <c r="H7" s="2"/>
      <c r="I7" s="104"/>
      <c r="J7" s="104"/>
      <c r="K7" s="2"/>
      <c r="L7" s="2"/>
      <c r="M7" s="2"/>
    </row>
    <row r="8" spans="2:46" x14ac:dyDescent="0.2">
      <c r="D8" s="3"/>
      <c r="E8" s="5"/>
      <c r="F8" s="101"/>
      <c r="G8" s="152"/>
      <c r="H8" s="152"/>
      <c r="I8" s="153"/>
      <c r="J8" s="154"/>
      <c r="K8" s="155"/>
      <c r="L8" s="156"/>
      <c r="M8" s="157"/>
      <c r="N8" s="724" t="s">
        <v>65</v>
      </c>
      <c r="O8" s="725"/>
      <c r="P8" s="725"/>
      <c r="Q8" s="725"/>
      <c r="R8" s="725"/>
      <c r="S8" s="725"/>
      <c r="T8" s="726"/>
    </row>
    <row r="9" spans="2:46" ht="24" x14ac:dyDescent="0.2">
      <c r="E9" s="6"/>
      <c r="F9" s="97" t="s">
        <v>66</v>
      </c>
      <c r="G9" s="721" t="s">
        <v>67</v>
      </c>
      <c r="H9" s="719" t="s">
        <v>68</v>
      </c>
      <c r="I9" s="717" t="s">
        <v>69</v>
      </c>
      <c r="J9" s="715" t="s">
        <v>70</v>
      </c>
      <c r="K9" s="158" t="s">
        <v>71</v>
      </c>
      <c r="L9" s="159" t="s">
        <v>72</v>
      </c>
      <c r="M9" s="160" t="s">
        <v>73</v>
      </c>
      <c r="N9" s="727" t="s">
        <v>74</v>
      </c>
      <c r="O9" s="161" t="s">
        <v>75</v>
      </c>
      <c r="P9" s="162"/>
      <c r="Q9" s="729" t="s">
        <v>76</v>
      </c>
      <c r="R9" s="729" t="s">
        <v>77</v>
      </c>
      <c r="S9" s="163"/>
      <c r="T9" s="731" t="s">
        <v>78</v>
      </c>
      <c r="U9" s="8">
        <v>1</v>
      </c>
      <c r="V9" s="7">
        <v>2</v>
      </c>
      <c r="W9" s="7">
        <v>3</v>
      </c>
      <c r="X9" s="7">
        <v>4</v>
      </c>
      <c r="Y9" s="7">
        <v>5</v>
      </c>
      <c r="Z9" s="7">
        <v>6</v>
      </c>
      <c r="AA9" s="7">
        <v>7</v>
      </c>
      <c r="AB9" s="7">
        <v>8</v>
      </c>
      <c r="AC9" s="7">
        <v>9</v>
      </c>
      <c r="AD9" s="7">
        <v>10</v>
      </c>
      <c r="AE9" s="7">
        <v>11</v>
      </c>
      <c r="AF9" s="7">
        <v>12</v>
      </c>
      <c r="AG9" s="7">
        <v>13</v>
      </c>
      <c r="AH9" s="7">
        <v>14</v>
      </c>
      <c r="AI9" s="7">
        <v>15</v>
      </c>
      <c r="AJ9" s="7">
        <v>16</v>
      </c>
      <c r="AK9" s="7">
        <v>17</v>
      </c>
      <c r="AL9" s="7">
        <v>18</v>
      </c>
      <c r="AM9" s="7">
        <v>19</v>
      </c>
      <c r="AN9" s="7">
        <v>20</v>
      </c>
      <c r="AO9" s="7">
        <v>21</v>
      </c>
      <c r="AP9" s="7">
        <v>22</v>
      </c>
      <c r="AQ9" s="7">
        <v>23</v>
      </c>
      <c r="AR9" s="7">
        <v>24</v>
      </c>
      <c r="AS9" s="7">
        <v>25</v>
      </c>
      <c r="AT9" s="7" t="s">
        <v>28</v>
      </c>
    </row>
    <row r="10" spans="2:46" ht="12.75" thickBot="1" x14ac:dyDescent="0.25">
      <c r="F10" s="98"/>
      <c r="G10" s="722"/>
      <c r="H10" s="720"/>
      <c r="I10" s="718"/>
      <c r="J10" s="716"/>
      <c r="K10" s="164"/>
      <c r="L10" s="165">
        <v>0.05</v>
      </c>
      <c r="M10" s="166"/>
      <c r="N10" s="728"/>
      <c r="O10" s="167"/>
      <c r="P10" s="168"/>
      <c r="Q10" s="730"/>
      <c r="R10" s="730"/>
      <c r="S10" s="169"/>
      <c r="T10" s="732"/>
      <c r="U10" s="9"/>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1"/>
    </row>
    <row r="11" spans="2:46" ht="12.75" thickBot="1" x14ac:dyDescent="0.25">
      <c r="B11" s="170" t="s">
        <v>41</v>
      </c>
      <c r="C11" s="170" t="s">
        <v>41</v>
      </c>
      <c r="D11" s="170" t="s">
        <v>41</v>
      </c>
      <c r="E11" s="171" t="s">
        <v>79</v>
      </c>
      <c r="F11" s="349"/>
      <c r="G11" s="351"/>
      <c r="H11" s="357"/>
      <c r="I11" s="356"/>
      <c r="J11" s="173"/>
      <c r="K11" s="172"/>
      <c r="L11" s="174"/>
      <c r="M11" s="175"/>
      <c r="N11" s="176"/>
      <c r="O11" s="176"/>
      <c r="P11" s="176"/>
      <c r="Q11" s="172"/>
      <c r="R11" s="172"/>
      <c r="S11" s="177"/>
      <c r="T11" s="178"/>
      <c r="U11" s="179"/>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80"/>
    </row>
    <row r="12" spans="2:46" ht="12.75" thickBot="1" x14ac:dyDescent="0.25">
      <c r="B12" s="723">
        <f>'Option A'!A7</f>
        <v>1</v>
      </c>
      <c r="C12" s="34" t="s">
        <v>80</v>
      </c>
      <c r="D12" s="95">
        <f>'ECM Options Data'!D14</f>
        <v>0</v>
      </c>
      <c r="E12" s="95">
        <f>'ECM Options Data'!E14</f>
        <v>0</v>
      </c>
      <c r="F12" s="343"/>
      <c r="G12" s="352">
        <f>'ECM Options Data'!K14</f>
        <v>0</v>
      </c>
      <c r="H12" s="352">
        <f>'ECM Options Data'!L14</f>
        <v>0</v>
      </c>
      <c r="I12" s="360">
        <f>'ECM Options Data'!M14</f>
        <v>0</v>
      </c>
      <c r="J12" s="360">
        <f>G12*I12</f>
        <v>0</v>
      </c>
      <c r="K12" s="364"/>
      <c r="L12" s="89">
        <f>K12*(1+$L$10)</f>
        <v>0</v>
      </c>
      <c r="M12" s="94"/>
      <c r="N12" s="391">
        <v>0</v>
      </c>
      <c r="O12" s="132">
        <f>IFERROR(VLOOKUP(E12, 'Technology Inputs'!$D$44:$E$172, 2, FALSE), 0)</f>
        <v>0</v>
      </c>
      <c r="P12" s="370"/>
      <c r="Q12" s="373">
        <f>IFERROR(ROUNDUP(VLOOKUP(E12, 'Technology Inputs'!$D$44:$E$172, 2, FALSE), 0), 0)</f>
        <v>0</v>
      </c>
      <c r="R12" s="377">
        <v>1</v>
      </c>
      <c r="S12" s="380"/>
      <c r="T12" s="383">
        <f>J12*R12</f>
        <v>0</v>
      </c>
      <c r="U12" s="21">
        <f t="shared" ref="U12:AN12" si="0">IF(U$9&lt;$N12,0,IF($Q12=0,0,IF(U$9=$N12,0, IF($Q12=INT(U$9-$N12), $T12, 0))))</f>
        <v>0</v>
      </c>
      <c r="V12" s="21">
        <f t="shared" si="0"/>
        <v>0</v>
      </c>
      <c r="W12" s="21">
        <f t="shared" si="0"/>
        <v>0</v>
      </c>
      <c r="X12" s="21">
        <f t="shared" si="0"/>
        <v>0</v>
      </c>
      <c r="Y12" s="21">
        <f t="shared" si="0"/>
        <v>0</v>
      </c>
      <c r="Z12" s="21">
        <f t="shared" si="0"/>
        <v>0</v>
      </c>
      <c r="AA12" s="21">
        <f t="shared" si="0"/>
        <v>0</v>
      </c>
      <c r="AB12" s="21">
        <f t="shared" si="0"/>
        <v>0</v>
      </c>
      <c r="AC12" s="21">
        <f t="shared" si="0"/>
        <v>0</v>
      </c>
      <c r="AD12" s="21">
        <f t="shared" si="0"/>
        <v>0</v>
      </c>
      <c r="AE12" s="21">
        <f t="shared" si="0"/>
        <v>0</v>
      </c>
      <c r="AF12" s="21">
        <f t="shared" si="0"/>
        <v>0</v>
      </c>
      <c r="AG12" s="21">
        <f t="shared" si="0"/>
        <v>0</v>
      </c>
      <c r="AH12" s="21">
        <f t="shared" si="0"/>
        <v>0</v>
      </c>
      <c r="AI12" s="21">
        <f t="shared" si="0"/>
        <v>0</v>
      </c>
      <c r="AJ12" s="21">
        <f t="shared" si="0"/>
        <v>0</v>
      </c>
      <c r="AK12" s="21">
        <f t="shared" si="0"/>
        <v>0</v>
      </c>
      <c r="AL12" s="21">
        <f t="shared" si="0"/>
        <v>0</v>
      </c>
      <c r="AM12" s="21">
        <f t="shared" si="0"/>
        <v>0</v>
      </c>
      <c r="AN12" s="21">
        <f t="shared" si="0"/>
        <v>0</v>
      </c>
      <c r="AO12" s="21">
        <f>IF(AO$9&lt;$N12,0,IF($Q12=0,0,IF(AO$9=$N12,0, IF($Q12=INT(AO$9-$N12), $T12, 0))))</f>
        <v>0</v>
      </c>
      <c r="AP12" s="21">
        <f t="shared" ref="AP12:AS12" si="1">IF(AP$9&lt;$N12,0,IF($Q12=0,0,IF(AP$9=$N12,0, IF($Q12=INT(AP$9-$N12), $T12, 0))))</f>
        <v>0</v>
      </c>
      <c r="AQ12" s="21">
        <f t="shared" si="1"/>
        <v>0</v>
      </c>
      <c r="AR12" s="21">
        <f t="shared" si="1"/>
        <v>0</v>
      </c>
      <c r="AS12" s="21">
        <f t="shared" si="1"/>
        <v>0</v>
      </c>
      <c r="AT12" s="17">
        <f t="shared" ref="AT12:AT38" si="2">SUM(U12:AS12)</f>
        <v>0</v>
      </c>
    </row>
    <row r="13" spans="2:46" ht="12.75" thickBot="1" x14ac:dyDescent="0.25">
      <c r="B13" s="723"/>
      <c r="C13" s="34" t="s">
        <v>81</v>
      </c>
      <c r="D13" s="34">
        <f>IF('ECM Options Data'!$F14="Yes", 'ECM Options Data'!H14,0)</f>
        <v>0</v>
      </c>
      <c r="E13" s="34">
        <f>IF('ECM Options Data'!$F14="Yes", 'ECM Options Data'!I14,0)</f>
        <v>0</v>
      </c>
      <c r="F13" s="344"/>
      <c r="G13" s="406">
        <v>0</v>
      </c>
      <c r="H13" s="407" t="s">
        <v>498</v>
      </c>
      <c r="I13" s="408">
        <v>0</v>
      </c>
      <c r="J13" s="366">
        <f>G13*I13</f>
        <v>0</v>
      </c>
      <c r="K13" s="365"/>
      <c r="L13" s="90"/>
      <c r="M13" s="13"/>
      <c r="N13" s="392">
        <v>0</v>
      </c>
      <c r="O13" s="132">
        <f>'Option A'!I7</f>
        <v>0</v>
      </c>
      <c r="P13" s="371"/>
      <c r="Q13" s="374">
        <f>ROUNDUP(O13, 0)</f>
        <v>0</v>
      </c>
      <c r="R13" s="378">
        <v>1</v>
      </c>
      <c r="S13" s="381"/>
      <c r="T13" s="383">
        <f>J13*R13</f>
        <v>0</v>
      </c>
      <c r="U13" s="21">
        <f t="shared" ref="U13:AS13" si="3">IF(U$9&lt;$N13,0,IF($Q13=0,0,IF(U$9=$N13,$T13,IF((U$9-$N13)/$Q13=INT((U$9-$N13)/$Q13),$T13,0))))</f>
        <v>0</v>
      </c>
      <c r="V13" s="21">
        <f t="shared" si="3"/>
        <v>0</v>
      </c>
      <c r="W13" s="21">
        <f t="shared" si="3"/>
        <v>0</v>
      </c>
      <c r="X13" s="21">
        <f t="shared" si="3"/>
        <v>0</v>
      </c>
      <c r="Y13" s="21">
        <f t="shared" si="3"/>
        <v>0</v>
      </c>
      <c r="Z13" s="21">
        <f t="shared" si="3"/>
        <v>0</v>
      </c>
      <c r="AA13" s="21">
        <f t="shared" si="3"/>
        <v>0</v>
      </c>
      <c r="AB13" s="21">
        <f t="shared" si="3"/>
        <v>0</v>
      </c>
      <c r="AC13" s="21">
        <f t="shared" si="3"/>
        <v>0</v>
      </c>
      <c r="AD13" s="21">
        <f t="shared" si="3"/>
        <v>0</v>
      </c>
      <c r="AE13" s="21">
        <f t="shared" si="3"/>
        <v>0</v>
      </c>
      <c r="AF13" s="21">
        <f t="shared" si="3"/>
        <v>0</v>
      </c>
      <c r="AG13" s="21">
        <f t="shared" si="3"/>
        <v>0</v>
      </c>
      <c r="AH13" s="21">
        <f t="shared" si="3"/>
        <v>0</v>
      </c>
      <c r="AI13" s="21">
        <f t="shared" si="3"/>
        <v>0</v>
      </c>
      <c r="AJ13" s="21">
        <f t="shared" si="3"/>
        <v>0</v>
      </c>
      <c r="AK13" s="21">
        <f t="shared" si="3"/>
        <v>0</v>
      </c>
      <c r="AL13" s="21">
        <f t="shared" si="3"/>
        <v>0</v>
      </c>
      <c r="AM13" s="21">
        <f t="shared" si="3"/>
        <v>0</v>
      </c>
      <c r="AN13" s="21">
        <f t="shared" si="3"/>
        <v>0</v>
      </c>
      <c r="AO13" s="21">
        <f t="shared" si="3"/>
        <v>0</v>
      </c>
      <c r="AP13" s="21">
        <f t="shared" si="3"/>
        <v>0</v>
      </c>
      <c r="AQ13" s="21">
        <f t="shared" si="3"/>
        <v>0</v>
      </c>
      <c r="AR13" s="21">
        <f t="shared" si="3"/>
        <v>0</v>
      </c>
      <c r="AS13" s="21">
        <f t="shared" si="3"/>
        <v>0</v>
      </c>
      <c r="AT13" s="17">
        <f t="shared" si="2"/>
        <v>0</v>
      </c>
    </row>
    <row r="14" spans="2:46" ht="12.75" thickBot="1" x14ac:dyDescent="0.25">
      <c r="B14" s="723"/>
      <c r="C14" s="34" t="s">
        <v>82</v>
      </c>
      <c r="D14" s="12"/>
      <c r="E14" s="88"/>
      <c r="F14" s="345"/>
      <c r="G14" s="353"/>
      <c r="H14" s="358"/>
      <c r="I14" s="361"/>
      <c r="J14" s="367"/>
      <c r="K14" s="350"/>
      <c r="L14" s="93"/>
      <c r="M14" s="91"/>
      <c r="N14" s="393"/>
      <c r="O14" s="132"/>
      <c r="P14" s="372"/>
      <c r="Q14" s="375"/>
      <c r="R14" s="379"/>
      <c r="S14" s="382"/>
      <c r="T14" s="384"/>
      <c r="U14" s="21">
        <f>U12-U13</f>
        <v>0</v>
      </c>
      <c r="V14" s="21">
        <f t="shared" ref="V14:AS14" si="4">V12-V13</f>
        <v>0</v>
      </c>
      <c r="W14" s="21">
        <f t="shared" si="4"/>
        <v>0</v>
      </c>
      <c r="X14" s="21">
        <f t="shared" si="4"/>
        <v>0</v>
      </c>
      <c r="Y14" s="21">
        <f t="shared" si="4"/>
        <v>0</v>
      </c>
      <c r="Z14" s="21">
        <f t="shared" si="4"/>
        <v>0</v>
      </c>
      <c r="AA14" s="21">
        <f t="shared" si="4"/>
        <v>0</v>
      </c>
      <c r="AB14" s="21">
        <f t="shared" si="4"/>
        <v>0</v>
      </c>
      <c r="AC14" s="21">
        <f t="shared" si="4"/>
        <v>0</v>
      </c>
      <c r="AD14" s="21">
        <f t="shared" si="4"/>
        <v>0</v>
      </c>
      <c r="AE14" s="21">
        <f t="shared" si="4"/>
        <v>0</v>
      </c>
      <c r="AF14" s="21">
        <f t="shared" si="4"/>
        <v>0</v>
      </c>
      <c r="AG14" s="21">
        <f t="shared" si="4"/>
        <v>0</v>
      </c>
      <c r="AH14" s="21">
        <f t="shared" si="4"/>
        <v>0</v>
      </c>
      <c r="AI14" s="21">
        <f t="shared" si="4"/>
        <v>0</v>
      </c>
      <c r="AJ14" s="21">
        <f t="shared" si="4"/>
        <v>0</v>
      </c>
      <c r="AK14" s="21">
        <f t="shared" si="4"/>
        <v>0</v>
      </c>
      <c r="AL14" s="21">
        <f t="shared" si="4"/>
        <v>0</v>
      </c>
      <c r="AM14" s="21">
        <f t="shared" si="4"/>
        <v>0</v>
      </c>
      <c r="AN14" s="21">
        <f t="shared" si="4"/>
        <v>0</v>
      </c>
      <c r="AO14" s="21">
        <f t="shared" si="4"/>
        <v>0</v>
      </c>
      <c r="AP14" s="21">
        <f t="shared" si="4"/>
        <v>0</v>
      </c>
      <c r="AQ14" s="21">
        <f t="shared" si="4"/>
        <v>0</v>
      </c>
      <c r="AR14" s="21">
        <f t="shared" si="4"/>
        <v>0</v>
      </c>
      <c r="AS14" s="21">
        <f t="shared" si="4"/>
        <v>0</v>
      </c>
      <c r="AT14" s="17">
        <f t="shared" si="2"/>
        <v>0</v>
      </c>
    </row>
    <row r="15" spans="2:46" ht="12.75" thickBot="1" x14ac:dyDescent="0.25">
      <c r="B15" s="723">
        <f>'Option A'!A8</f>
        <v>2</v>
      </c>
      <c r="C15" s="34" t="s">
        <v>80</v>
      </c>
      <c r="D15" s="95">
        <f>'ECM Options Data'!D15</f>
        <v>0</v>
      </c>
      <c r="E15" s="95">
        <f>'ECM Options Data'!E15</f>
        <v>0</v>
      </c>
      <c r="F15" s="346"/>
      <c r="G15" s="354">
        <f>'ECM Options Data'!K15</f>
        <v>0</v>
      </c>
      <c r="H15" s="354">
        <f>'ECM Options Data'!L15</f>
        <v>0</v>
      </c>
      <c r="I15" s="362">
        <f>'ECM Options Data'!M15</f>
        <v>0</v>
      </c>
      <c r="J15" s="368">
        <f>G15*I15</f>
        <v>0</v>
      </c>
      <c r="K15" s="364"/>
      <c r="L15" s="89">
        <f>K15*(1+$L$10)</f>
        <v>0</v>
      </c>
      <c r="M15" s="94"/>
      <c r="N15" s="391">
        <v>0</v>
      </c>
      <c r="O15" s="132">
        <f>IFERROR(VLOOKUP(E15, 'Technology Inputs'!$D$44:$E$172, 2, FALSE), 0)</f>
        <v>0</v>
      </c>
      <c r="P15" s="370"/>
      <c r="Q15" s="373">
        <f>IFERROR(ROUNDUP(VLOOKUP(E15, 'Technology Inputs'!$D$44:$E$172, 2, FALSE), 0), 0)</f>
        <v>0</v>
      </c>
      <c r="R15" s="377">
        <v>1</v>
      </c>
      <c r="S15" s="380"/>
      <c r="T15" s="383">
        <f>J15*R15</f>
        <v>0</v>
      </c>
      <c r="U15" s="21">
        <f t="shared" ref="U15:AN15" si="5">IF(U$9&lt;$N15,0,IF($Q15=0,0,IF(U$9=$N15,0, IF($Q15=INT(U$9-$N15), $T15, 0))))</f>
        <v>0</v>
      </c>
      <c r="V15" s="21">
        <f t="shared" si="5"/>
        <v>0</v>
      </c>
      <c r="W15" s="21">
        <f t="shared" si="5"/>
        <v>0</v>
      </c>
      <c r="X15" s="21">
        <f t="shared" si="5"/>
        <v>0</v>
      </c>
      <c r="Y15" s="21">
        <f t="shared" si="5"/>
        <v>0</v>
      </c>
      <c r="Z15" s="21">
        <f t="shared" si="5"/>
        <v>0</v>
      </c>
      <c r="AA15" s="21">
        <f t="shared" si="5"/>
        <v>0</v>
      </c>
      <c r="AB15" s="21">
        <f t="shared" si="5"/>
        <v>0</v>
      </c>
      <c r="AC15" s="21">
        <f t="shared" si="5"/>
        <v>0</v>
      </c>
      <c r="AD15" s="21">
        <f t="shared" si="5"/>
        <v>0</v>
      </c>
      <c r="AE15" s="21">
        <f t="shared" si="5"/>
        <v>0</v>
      </c>
      <c r="AF15" s="21">
        <f t="shared" si="5"/>
        <v>0</v>
      </c>
      <c r="AG15" s="21">
        <f t="shared" si="5"/>
        <v>0</v>
      </c>
      <c r="AH15" s="21">
        <f t="shared" si="5"/>
        <v>0</v>
      </c>
      <c r="AI15" s="21">
        <f t="shared" si="5"/>
        <v>0</v>
      </c>
      <c r="AJ15" s="21">
        <f t="shared" si="5"/>
        <v>0</v>
      </c>
      <c r="AK15" s="21">
        <f t="shared" si="5"/>
        <v>0</v>
      </c>
      <c r="AL15" s="21">
        <f t="shared" si="5"/>
        <v>0</v>
      </c>
      <c r="AM15" s="21">
        <f t="shared" si="5"/>
        <v>0</v>
      </c>
      <c r="AN15" s="21">
        <f t="shared" si="5"/>
        <v>0</v>
      </c>
      <c r="AO15" s="21">
        <f>IF(AO$9&lt;$N15,0,IF($Q15=0,0,IF(AO$9=$N15,0, IF($Q15=INT(AO$9-$N15), $T15, 0))))</f>
        <v>0</v>
      </c>
      <c r="AP15" s="21">
        <f t="shared" ref="AP15:AS15" si="6">IF(AP$9&lt;$N15,0,IF($Q15=0,0,IF(AP$9=$N15,0, IF($Q15=INT(AP$9-$N15), $T15, 0))))</f>
        <v>0</v>
      </c>
      <c r="AQ15" s="21">
        <f t="shared" si="6"/>
        <v>0</v>
      </c>
      <c r="AR15" s="21">
        <f t="shared" si="6"/>
        <v>0</v>
      </c>
      <c r="AS15" s="21">
        <f t="shared" si="6"/>
        <v>0</v>
      </c>
      <c r="AT15" s="17">
        <f t="shared" si="2"/>
        <v>0</v>
      </c>
    </row>
    <row r="16" spans="2:46" ht="12.75" thickBot="1" x14ac:dyDescent="0.25">
      <c r="B16" s="723"/>
      <c r="C16" s="34" t="s">
        <v>81</v>
      </c>
      <c r="D16" s="34">
        <f>IF('ECM Options Data'!$F15="Yes", 'ECM Options Data'!H15,0)</f>
        <v>0</v>
      </c>
      <c r="E16" s="34">
        <f>IF('ECM Options Data'!$F15="Yes", 'ECM Options Data'!I15,0)</f>
        <v>0</v>
      </c>
      <c r="F16" s="344"/>
      <c r="G16" s="406"/>
      <c r="H16" s="407" t="s">
        <v>498</v>
      </c>
      <c r="I16" s="408">
        <v>0</v>
      </c>
      <c r="J16" s="366">
        <f>G16*I16</f>
        <v>0</v>
      </c>
      <c r="K16" s="365"/>
      <c r="L16" s="90"/>
      <c r="M16" s="13"/>
      <c r="N16" s="392">
        <v>0</v>
      </c>
      <c r="O16" s="132">
        <f>'Option A'!I8</f>
        <v>0</v>
      </c>
      <c r="P16" s="371"/>
      <c r="Q16" s="374">
        <f>ROUNDUP(O16, 0)</f>
        <v>0</v>
      </c>
      <c r="R16" s="378">
        <v>1</v>
      </c>
      <c r="S16" s="381"/>
      <c r="T16" s="383">
        <f>J16*R16</f>
        <v>0</v>
      </c>
      <c r="U16" s="21">
        <f t="shared" ref="U16:AS16" si="7">IF(U$9&lt;$N16,0,IF($Q16=0,0,IF(U$9=$N16,$T16,IF((U$9-$N16)/$Q16=INT((U$9-$N16)/$Q16),$T16,0))))</f>
        <v>0</v>
      </c>
      <c r="V16" s="21">
        <f t="shared" si="7"/>
        <v>0</v>
      </c>
      <c r="W16" s="21">
        <f t="shared" si="7"/>
        <v>0</v>
      </c>
      <c r="X16" s="21">
        <f t="shared" si="7"/>
        <v>0</v>
      </c>
      <c r="Y16" s="21">
        <f t="shared" si="7"/>
        <v>0</v>
      </c>
      <c r="Z16" s="21">
        <f t="shared" si="7"/>
        <v>0</v>
      </c>
      <c r="AA16" s="21">
        <f t="shared" si="7"/>
        <v>0</v>
      </c>
      <c r="AB16" s="21">
        <f t="shared" si="7"/>
        <v>0</v>
      </c>
      <c r="AC16" s="21">
        <f t="shared" si="7"/>
        <v>0</v>
      </c>
      <c r="AD16" s="21">
        <f t="shared" si="7"/>
        <v>0</v>
      </c>
      <c r="AE16" s="21">
        <f t="shared" si="7"/>
        <v>0</v>
      </c>
      <c r="AF16" s="21">
        <f t="shared" si="7"/>
        <v>0</v>
      </c>
      <c r="AG16" s="21">
        <f t="shared" si="7"/>
        <v>0</v>
      </c>
      <c r="AH16" s="21">
        <f t="shared" si="7"/>
        <v>0</v>
      </c>
      <c r="AI16" s="21">
        <f t="shared" si="7"/>
        <v>0</v>
      </c>
      <c r="AJ16" s="21">
        <f t="shared" si="7"/>
        <v>0</v>
      </c>
      <c r="AK16" s="21">
        <f t="shared" si="7"/>
        <v>0</v>
      </c>
      <c r="AL16" s="21">
        <f t="shared" si="7"/>
        <v>0</v>
      </c>
      <c r="AM16" s="21">
        <f t="shared" si="7"/>
        <v>0</v>
      </c>
      <c r="AN16" s="21">
        <f t="shared" si="7"/>
        <v>0</v>
      </c>
      <c r="AO16" s="21">
        <f t="shared" si="7"/>
        <v>0</v>
      </c>
      <c r="AP16" s="21">
        <f t="shared" si="7"/>
        <v>0</v>
      </c>
      <c r="AQ16" s="21">
        <f t="shared" si="7"/>
        <v>0</v>
      </c>
      <c r="AR16" s="21">
        <f t="shared" si="7"/>
        <v>0</v>
      </c>
      <c r="AS16" s="21">
        <f t="shared" si="7"/>
        <v>0</v>
      </c>
      <c r="AT16" s="17">
        <f t="shared" si="2"/>
        <v>0</v>
      </c>
    </row>
    <row r="17" spans="2:46" ht="12.75" thickBot="1" x14ac:dyDescent="0.25">
      <c r="B17" s="723"/>
      <c r="C17" s="34" t="s">
        <v>82</v>
      </c>
      <c r="D17" s="12"/>
      <c r="E17" s="88"/>
      <c r="F17" s="345"/>
      <c r="G17" s="353"/>
      <c r="H17" s="358"/>
      <c r="I17" s="361"/>
      <c r="J17" s="367"/>
      <c r="K17" s="350"/>
      <c r="L17" s="93"/>
      <c r="M17" s="91"/>
      <c r="N17" s="393"/>
      <c r="O17" s="132"/>
      <c r="P17" s="372"/>
      <c r="Q17" s="375"/>
      <c r="R17" s="379"/>
      <c r="S17" s="382"/>
      <c r="T17" s="384"/>
      <c r="U17" s="21">
        <f>U15-U16</f>
        <v>0</v>
      </c>
      <c r="V17" s="21">
        <f t="shared" ref="V17:AS17" si="8">V15-V16</f>
        <v>0</v>
      </c>
      <c r="W17" s="21">
        <f t="shared" si="8"/>
        <v>0</v>
      </c>
      <c r="X17" s="21">
        <f t="shared" si="8"/>
        <v>0</v>
      </c>
      <c r="Y17" s="21">
        <f t="shared" si="8"/>
        <v>0</v>
      </c>
      <c r="Z17" s="21">
        <f t="shared" si="8"/>
        <v>0</v>
      </c>
      <c r="AA17" s="21">
        <f t="shared" si="8"/>
        <v>0</v>
      </c>
      <c r="AB17" s="21">
        <f t="shared" si="8"/>
        <v>0</v>
      </c>
      <c r="AC17" s="21">
        <f t="shared" si="8"/>
        <v>0</v>
      </c>
      <c r="AD17" s="21">
        <f t="shared" si="8"/>
        <v>0</v>
      </c>
      <c r="AE17" s="21">
        <f t="shared" si="8"/>
        <v>0</v>
      </c>
      <c r="AF17" s="21">
        <f t="shared" si="8"/>
        <v>0</v>
      </c>
      <c r="AG17" s="21">
        <f t="shared" si="8"/>
        <v>0</v>
      </c>
      <c r="AH17" s="21">
        <f t="shared" si="8"/>
        <v>0</v>
      </c>
      <c r="AI17" s="21">
        <f t="shared" si="8"/>
        <v>0</v>
      </c>
      <c r="AJ17" s="21">
        <f t="shared" si="8"/>
        <v>0</v>
      </c>
      <c r="AK17" s="21">
        <f t="shared" si="8"/>
        <v>0</v>
      </c>
      <c r="AL17" s="21">
        <f t="shared" si="8"/>
        <v>0</v>
      </c>
      <c r="AM17" s="21">
        <f t="shared" si="8"/>
        <v>0</v>
      </c>
      <c r="AN17" s="21">
        <f t="shared" si="8"/>
        <v>0</v>
      </c>
      <c r="AO17" s="21">
        <f t="shared" si="8"/>
        <v>0</v>
      </c>
      <c r="AP17" s="21">
        <f t="shared" si="8"/>
        <v>0</v>
      </c>
      <c r="AQ17" s="21">
        <f t="shared" si="8"/>
        <v>0</v>
      </c>
      <c r="AR17" s="21">
        <f t="shared" si="8"/>
        <v>0</v>
      </c>
      <c r="AS17" s="21">
        <f t="shared" si="8"/>
        <v>0</v>
      </c>
      <c r="AT17" s="17">
        <f t="shared" si="2"/>
        <v>0</v>
      </c>
    </row>
    <row r="18" spans="2:46" ht="12.75" thickBot="1" x14ac:dyDescent="0.25">
      <c r="B18" s="723">
        <f>'Option A'!A9</f>
        <v>3</v>
      </c>
      <c r="C18" s="34" t="s">
        <v>80</v>
      </c>
      <c r="D18" s="95">
        <f>'ECM Options Data'!D16</f>
        <v>0</v>
      </c>
      <c r="E18" s="95">
        <f>'ECM Options Data'!E16</f>
        <v>0</v>
      </c>
      <c r="F18" s="346"/>
      <c r="G18" s="354">
        <f>'ECM Options Data'!K16</f>
        <v>0</v>
      </c>
      <c r="H18" s="354">
        <f>'ECM Options Data'!L16</f>
        <v>0</v>
      </c>
      <c r="I18" s="362">
        <f>'ECM Options Data'!M16</f>
        <v>0</v>
      </c>
      <c r="J18" s="368">
        <f>G18*I18</f>
        <v>0</v>
      </c>
      <c r="K18" s="364"/>
      <c r="L18" s="89">
        <f>K18*(1+$L$10)</f>
        <v>0</v>
      </c>
      <c r="M18" s="94"/>
      <c r="N18" s="410">
        <v>0</v>
      </c>
      <c r="O18" s="132">
        <f>IFERROR(VLOOKUP(E18, 'Technology Inputs'!$D$44:$E$172, 2, FALSE), 0)</f>
        <v>0</v>
      </c>
      <c r="P18" s="370"/>
      <c r="Q18" s="373">
        <f>IFERROR(ROUNDUP(VLOOKUP(E18, 'Technology Inputs'!$D$44:$E$172, 2, FALSE), 0), 0)</f>
        <v>0</v>
      </c>
      <c r="R18" s="412">
        <v>1</v>
      </c>
      <c r="S18" s="380"/>
      <c r="T18" s="383">
        <f>J18*R18</f>
        <v>0</v>
      </c>
      <c r="U18" s="21">
        <f t="shared" ref="U18:AN18" si="9">IF(U$9&lt;$N18,0,IF($Q18=0,0,IF(U$9=$N18,0, IF($Q18=INT(U$9-$N18), $T18, 0))))</f>
        <v>0</v>
      </c>
      <c r="V18" s="21">
        <f t="shared" si="9"/>
        <v>0</v>
      </c>
      <c r="W18" s="21">
        <f t="shared" si="9"/>
        <v>0</v>
      </c>
      <c r="X18" s="21">
        <f t="shared" si="9"/>
        <v>0</v>
      </c>
      <c r="Y18" s="21">
        <f t="shared" si="9"/>
        <v>0</v>
      </c>
      <c r="Z18" s="21">
        <f t="shared" si="9"/>
        <v>0</v>
      </c>
      <c r="AA18" s="21">
        <f t="shared" si="9"/>
        <v>0</v>
      </c>
      <c r="AB18" s="21">
        <f t="shared" si="9"/>
        <v>0</v>
      </c>
      <c r="AC18" s="21">
        <f t="shared" si="9"/>
        <v>0</v>
      </c>
      <c r="AD18" s="21">
        <f t="shared" si="9"/>
        <v>0</v>
      </c>
      <c r="AE18" s="21">
        <f t="shared" si="9"/>
        <v>0</v>
      </c>
      <c r="AF18" s="21">
        <f t="shared" si="9"/>
        <v>0</v>
      </c>
      <c r="AG18" s="21">
        <f t="shared" si="9"/>
        <v>0</v>
      </c>
      <c r="AH18" s="21">
        <f t="shared" si="9"/>
        <v>0</v>
      </c>
      <c r="AI18" s="21">
        <f t="shared" si="9"/>
        <v>0</v>
      </c>
      <c r="AJ18" s="21">
        <f t="shared" si="9"/>
        <v>0</v>
      </c>
      <c r="AK18" s="21">
        <f t="shared" si="9"/>
        <v>0</v>
      </c>
      <c r="AL18" s="21">
        <f t="shared" si="9"/>
        <v>0</v>
      </c>
      <c r="AM18" s="21">
        <f t="shared" si="9"/>
        <v>0</v>
      </c>
      <c r="AN18" s="21">
        <f t="shared" si="9"/>
        <v>0</v>
      </c>
      <c r="AO18" s="21">
        <f>IF(AO$9&lt;$N18,0,IF($Q18=0,0,IF(AO$9=$N18,0, IF($Q18=INT(AO$9-$N18), $T18, 0))))</f>
        <v>0</v>
      </c>
      <c r="AP18" s="21">
        <f t="shared" ref="AP18:AS18" si="10">IF(AP$9&lt;$N18,0,IF($Q18=0,0,IF(AP$9=$N18,0, IF($Q18=INT(AP$9-$N18), $T18, 0))))</f>
        <v>0</v>
      </c>
      <c r="AQ18" s="21">
        <f t="shared" si="10"/>
        <v>0</v>
      </c>
      <c r="AR18" s="21">
        <f t="shared" si="10"/>
        <v>0</v>
      </c>
      <c r="AS18" s="21">
        <f t="shared" si="10"/>
        <v>0</v>
      </c>
      <c r="AT18" s="17">
        <f t="shared" si="2"/>
        <v>0</v>
      </c>
    </row>
    <row r="19" spans="2:46" ht="12.75" thickBot="1" x14ac:dyDescent="0.25">
      <c r="B19" s="723"/>
      <c r="C19" s="34" t="s">
        <v>81</v>
      </c>
      <c r="D19" s="34">
        <f>IF('Option A'!$E9="Yes", 'Option A'!G9,0)</f>
        <v>0</v>
      </c>
      <c r="E19" s="34">
        <f>IF('Option A'!$E9="Yes", 'Option A'!H9,0)</f>
        <v>0</v>
      </c>
      <c r="F19" s="344"/>
      <c r="G19" s="406">
        <v>0</v>
      </c>
      <c r="H19" s="407" t="s">
        <v>498</v>
      </c>
      <c r="I19" s="408">
        <v>0</v>
      </c>
      <c r="J19" s="368">
        <f>G19*I19</f>
        <v>0</v>
      </c>
      <c r="K19" s="365"/>
      <c r="L19" s="90"/>
      <c r="M19" s="13"/>
      <c r="N19" s="411">
        <v>0</v>
      </c>
      <c r="O19" s="132">
        <f>'Option A'!I9</f>
        <v>0</v>
      </c>
      <c r="P19" s="371"/>
      <c r="Q19" s="374">
        <f>ROUNDUP(O19, 0)</f>
        <v>0</v>
      </c>
      <c r="R19" s="409">
        <v>1</v>
      </c>
      <c r="S19" s="381"/>
      <c r="T19" s="383">
        <f>J19*R19</f>
        <v>0</v>
      </c>
      <c r="U19" s="21">
        <f t="shared" ref="U19:AS19" si="11">IF(U$9&lt;$N19,0,IF($Q19=0,0,IF(U$9=$N19,$T19,IF((U$9-$N19)/$Q19=INT((U$9-$N19)/$Q19),$T19,0))))</f>
        <v>0</v>
      </c>
      <c r="V19" s="21">
        <f t="shared" si="11"/>
        <v>0</v>
      </c>
      <c r="W19" s="21">
        <f t="shared" si="11"/>
        <v>0</v>
      </c>
      <c r="X19" s="21">
        <f t="shared" si="11"/>
        <v>0</v>
      </c>
      <c r="Y19" s="21">
        <f t="shared" si="11"/>
        <v>0</v>
      </c>
      <c r="Z19" s="21">
        <f t="shared" si="11"/>
        <v>0</v>
      </c>
      <c r="AA19" s="21">
        <f t="shared" si="11"/>
        <v>0</v>
      </c>
      <c r="AB19" s="21">
        <f t="shared" si="11"/>
        <v>0</v>
      </c>
      <c r="AC19" s="21">
        <f t="shared" si="11"/>
        <v>0</v>
      </c>
      <c r="AD19" s="21">
        <f t="shared" si="11"/>
        <v>0</v>
      </c>
      <c r="AE19" s="21">
        <f t="shared" si="11"/>
        <v>0</v>
      </c>
      <c r="AF19" s="21">
        <f t="shared" si="11"/>
        <v>0</v>
      </c>
      <c r="AG19" s="21">
        <f t="shared" si="11"/>
        <v>0</v>
      </c>
      <c r="AH19" s="21">
        <f t="shared" si="11"/>
        <v>0</v>
      </c>
      <c r="AI19" s="21">
        <f>IF(AI$9&lt;$N19,0,IF($Q19=0,0,IF(AI$9=$N19,$T19,IF((AI$9-$N19)/$Q19=INT((AI$9-$N19)/$Q19),$T19,0))))</f>
        <v>0</v>
      </c>
      <c r="AJ19" s="21">
        <f t="shared" si="11"/>
        <v>0</v>
      </c>
      <c r="AK19" s="21">
        <f t="shared" si="11"/>
        <v>0</v>
      </c>
      <c r="AL19" s="21">
        <f t="shared" si="11"/>
        <v>0</v>
      </c>
      <c r="AM19" s="21">
        <f t="shared" si="11"/>
        <v>0</v>
      </c>
      <c r="AN19" s="21">
        <f t="shared" si="11"/>
        <v>0</v>
      </c>
      <c r="AO19" s="21">
        <f t="shared" si="11"/>
        <v>0</v>
      </c>
      <c r="AP19" s="21">
        <f t="shared" si="11"/>
        <v>0</v>
      </c>
      <c r="AQ19" s="21">
        <f t="shared" si="11"/>
        <v>0</v>
      </c>
      <c r="AR19" s="21">
        <f t="shared" si="11"/>
        <v>0</v>
      </c>
      <c r="AS19" s="21">
        <f t="shared" si="11"/>
        <v>0</v>
      </c>
      <c r="AT19" s="17">
        <f t="shared" si="2"/>
        <v>0</v>
      </c>
    </row>
    <row r="20" spans="2:46" ht="12.75" thickBot="1" x14ac:dyDescent="0.25">
      <c r="B20" s="723"/>
      <c r="C20" s="34" t="s">
        <v>82</v>
      </c>
      <c r="D20" s="12"/>
      <c r="E20" s="88"/>
      <c r="F20" s="345"/>
      <c r="G20" s="353"/>
      <c r="H20" s="358"/>
      <c r="I20" s="361"/>
      <c r="J20" s="361"/>
      <c r="K20" s="350"/>
      <c r="L20" s="93"/>
      <c r="M20" s="91"/>
      <c r="N20" s="393"/>
      <c r="O20" s="132"/>
      <c r="P20" s="372"/>
      <c r="Q20" s="375"/>
      <c r="R20" s="379"/>
      <c r="S20" s="382"/>
      <c r="T20" s="384"/>
      <c r="U20" s="21">
        <f>U18-U19</f>
        <v>0</v>
      </c>
      <c r="V20" s="21">
        <f t="shared" ref="V20:AS20" si="12">V18-V19</f>
        <v>0</v>
      </c>
      <c r="W20" s="21">
        <f t="shared" si="12"/>
        <v>0</v>
      </c>
      <c r="X20" s="21">
        <f t="shared" si="12"/>
        <v>0</v>
      </c>
      <c r="Y20" s="21">
        <f t="shared" si="12"/>
        <v>0</v>
      </c>
      <c r="Z20" s="21">
        <f t="shared" si="12"/>
        <v>0</v>
      </c>
      <c r="AA20" s="21">
        <f t="shared" si="12"/>
        <v>0</v>
      </c>
      <c r="AB20" s="21">
        <f t="shared" si="12"/>
        <v>0</v>
      </c>
      <c r="AC20" s="21">
        <f t="shared" si="12"/>
        <v>0</v>
      </c>
      <c r="AD20" s="21">
        <f t="shared" si="12"/>
        <v>0</v>
      </c>
      <c r="AE20" s="21">
        <f t="shared" si="12"/>
        <v>0</v>
      </c>
      <c r="AF20" s="21">
        <f t="shared" si="12"/>
        <v>0</v>
      </c>
      <c r="AG20" s="21">
        <f t="shared" si="12"/>
        <v>0</v>
      </c>
      <c r="AH20" s="21">
        <f t="shared" si="12"/>
        <v>0</v>
      </c>
      <c r="AI20" s="21">
        <f t="shared" si="12"/>
        <v>0</v>
      </c>
      <c r="AJ20" s="21">
        <f t="shared" si="12"/>
        <v>0</v>
      </c>
      <c r="AK20" s="21">
        <f t="shared" si="12"/>
        <v>0</v>
      </c>
      <c r="AL20" s="21">
        <f t="shared" si="12"/>
        <v>0</v>
      </c>
      <c r="AM20" s="21">
        <f t="shared" si="12"/>
        <v>0</v>
      </c>
      <c r="AN20" s="21">
        <f t="shared" si="12"/>
        <v>0</v>
      </c>
      <c r="AO20" s="21">
        <f t="shared" si="12"/>
        <v>0</v>
      </c>
      <c r="AP20" s="21">
        <f t="shared" si="12"/>
        <v>0</v>
      </c>
      <c r="AQ20" s="21">
        <f t="shared" si="12"/>
        <v>0</v>
      </c>
      <c r="AR20" s="21">
        <f t="shared" si="12"/>
        <v>0</v>
      </c>
      <c r="AS20" s="21">
        <f t="shared" si="12"/>
        <v>0</v>
      </c>
      <c r="AT20" s="17">
        <f t="shared" si="2"/>
        <v>0</v>
      </c>
    </row>
    <row r="21" spans="2:46" ht="12.75" thickBot="1" x14ac:dyDescent="0.25">
      <c r="B21" s="723">
        <f>'Option A'!A10</f>
        <v>4</v>
      </c>
      <c r="C21" s="34" t="s">
        <v>80</v>
      </c>
      <c r="D21" s="95">
        <f>'ECM Options Data'!D17</f>
        <v>0</v>
      </c>
      <c r="E21" s="95">
        <f>'ECM Options Data'!E17</f>
        <v>0</v>
      </c>
      <c r="F21" s="347"/>
      <c r="G21" s="354">
        <f>'ECM Options Data'!K17</f>
        <v>0</v>
      </c>
      <c r="H21" s="354">
        <f>'ECM Options Data'!L17</f>
        <v>0</v>
      </c>
      <c r="I21" s="362">
        <f>'ECM Options Data'!M17</f>
        <v>0</v>
      </c>
      <c r="J21" s="360">
        <f>G21*I21</f>
        <v>0</v>
      </c>
      <c r="K21" s="364"/>
      <c r="L21" s="89">
        <f>K21*(1+$L$10)</f>
        <v>0</v>
      </c>
      <c r="M21" s="94"/>
      <c r="N21" s="410">
        <v>0</v>
      </c>
      <c r="O21" s="132">
        <f>IFERROR(VLOOKUP(E21, 'Technology Inputs'!$D$44:$E$172, 2, FALSE), 0)</f>
        <v>0</v>
      </c>
      <c r="P21" s="370"/>
      <c r="Q21" s="413">
        <f>IFERROR(ROUNDUP(VLOOKUP(E21, 'Technology Inputs'!$D$44:$E$172, 2, FALSE), 0), 0)</f>
        <v>0</v>
      </c>
      <c r="R21" s="412">
        <v>1</v>
      </c>
      <c r="S21" s="380"/>
      <c r="T21" s="383">
        <f>J21*R21</f>
        <v>0</v>
      </c>
      <c r="U21" s="21">
        <f t="shared" ref="U21:AN21" si="13">IF(U$9&lt;$N21,0,IF($Q21=0,0,IF(U$9=$N21,0, IF($Q21=INT(U$9-$N21), $T21, 0))))</f>
        <v>0</v>
      </c>
      <c r="V21" s="21">
        <f t="shared" si="13"/>
        <v>0</v>
      </c>
      <c r="W21" s="21">
        <f t="shared" si="13"/>
        <v>0</v>
      </c>
      <c r="X21" s="21">
        <f t="shared" si="13"/>
        <v>0</v>
      </c>
      <c r="Y21" s="21">
        <f t="shared" si="13"/>
        <v>0</v>
      </c>
      <c r="Z21" s="21">
        <f t="shared" si="13"/>
        <v>0</v>
      </c>
      <c r="AA21" s="21">
        <f t="shared" si="13"/>
        <v>0</v>
      </c>
      <c r="AB21" s="21">
        <f t="shared" si="13"/>
        <v>0</v>
      </c>
      <c r="AC21" s="21">
        <f t="shared" si="13"/>
        <v>0</v>
      </c>
      <c r="AD21" s="21">
        <f t="shared" si="13"/>
        <v>0</v>
      </c>
      <c r="AE21" s="21">
        <f t="shared" si="13"/>
        <v>0</v>
      </c>
      <c r="AF21" s="21">
        <f t="shared" si="13"/>
        <v>0</v>
      </c>
      <c r="AG21" s="21">
        <f t="shared" si="13"/>
        <v>0</v>
      </c>
      <c r="AH21" s="21">
        <f t="shared" si="13"/>
        <v>0</v>
      </c>
      <c r="AI21" s="21">
        <f t="shared" si="13"/>
        <v>0</v>
      </c>
      <c r="AJ21" s="21">
        <f t="shared" si="13"/>
        <v>0</v>
      </c>
      <c r="AK21" s="21">
        <f t="shared" si="13"/>
        <v>0</v>
      </c>
      <c r="AL21" s="21">
        <f t="shared" si="13"/>
        <v>0</v>
      </c>
      <c r="AM21" s="21">
        <f t="shared" si="13"/>
        <v>0</v>
      </c>
      <c r="AN21" s="21">
        <f t="shared" si="13"/>
        <v>0</v>
      </c>
      <c r="AO21" s="21">
        <f>IF(AO$9&lt;$N21,0,IF($Q21=0,0,IF(AO$9=$N21,0, IF($Q21=INT(AO$9-$N21), $T21, 0))))</f>
        <v>0</v>
      </c>
      <c r="AP21" s="21">
        <f t="shared" ref="AP21:AS21" si="14">IF(AP$9&lt;$N21,0,IF($Q21=0,0,IF(AP$9=$N21,0, IF($Q21=INT(AP$9-$N21), $T21, 0))))</f>
        <v>0</v>
      </c>
      <c r="AQ21" s="21">
        <f t="shared" si="14"/>
        <v>0</v>
      </c>
      <c r="AR21" s="21">
        <f t="shared" si="14"/>
        <v>0</v>
      </c>
      <c r="AS21" s="21">
        <f t="shared" si="14"/>
        <v>0</v>
      </c>
      <c r="AT21" s="17">
        <f t="shared" si="2"/>
        <v>0</v>
      </c>
    </row>
    <row r="22" spans="2:46" ht="12.75" thickBot="1" x14ac:dyDescent="0.25">
      <c r="B22" s="723"/>
      <c r="C22" s="34" t="s">
        <v>81</v>
      </c>
      <c r="D22" s="34">
        <f>IF('Option A'!$E10="Yes", 'Option A'!G10,0)</f>
        <v>0</v>
      </c>
      <c r="E22" s="34">
        <f>IF('Option A'!$E10="Yes", 'Option A'!H10,0)</f>
        <v>0</v>
      </c>
      <c r="F22" s="344"/>
      <c r="G22" s="406">
        <v>0</v>
      </c>
      <c r="H22" s="407" t="s">
        <v>498</v>
      </c>
      <c r="I22" s="408">
        <v>0</v>
      </c>
      <c r="J22" s="369">
        <f>G22*I22</f>
        <v>0</v>
      </c>
      <c r="K22" s="365"/>
      <c r="L22" s="90"/>
      <c r="M22" s="13"/>
      <c r="N22" s="411">
        <v>0</v>
      </c>
      <c r="O22" s="132">
        <f>'Option A'!I10</f>
        <v>0</v>
      </c>
      <c r="P22" s="371"/>
      <c r="Q22" s="374">
        <f>ROUNDUP(O22, 0)</f>
        <v>0</v>
      </c>
      <c r="R22" s="409">
        <v>1</v>
      </c>
      <c r="S22" s="381"/>
      <c r="T22" s="383">
        <f>J22*R22</f>
        <v>0</v>
      </c>
      <c r="U22" s="21">
        <f t="shared" ref="U22:AS22" si="15">IF(U$9&lt;$N22,0,IF($Q22=0,0,IF(U$9=$N22,$T22,IF((U$9-$N22)/$Q22=INT((U$9-$N22)/$Q22),$T22,0))))</f>
        <v>0</v>
      </c>
      <c r="V22" s="21">
        <f t="shared" si="15"/>
        <v>0</v>
      </c>
      <c r="W22" s="21">
        <f t="shared" si="15"/>
        <v>0</v>
      </c>
      <c r="X22" s="21">
        <f t="shared" si="15"/>
        <v>0</v>
      </c>
      <c r="Y22" s="21">
        <f t="shared" si="15"/>
        <v>0</v>
      </c>
      <c r="Z22" s="21">
        <f t="shared" si="15"/>
        <v>0</v>
      </c>
      <c r="AA22" s="21">
        <f t="shared" si="15"/>
        <v>0</v>
      </c>
      <c r="AB22" s="21">
        <f t="shared" si="15"/>
        <v>0</v>
      </c>
      <c r="AC22" s="21">
        <f t="shared" si="15"/>
        <v>0</v>
      </c>
      <c r="AD22" s="21">
        <f t="shared" si="15"/>
        <v>0</v>
      </c>
      <c r="AE22" s="21">
        <f t="shared" si="15"/>
        <v>0</v>
      </c>
      <c r="AF22" s="21">
        <f t="shared" si="15"/>
        <v>0</v>
      </c>
      <c r="AG22" s="21">
        <f t="shared" si="15"/>
        <v>0</v>
      </c>
      <c r="AH22" s="21">
        <f t="shared" si="15"/>
        <v>0</v>
      </c>
      <c r="AI22" s="21">
        <f t="shared" si="15"/>
        <v>0</v>
      </c>
      <c r="AJ22" s="21">
        <f t="shared" si="15"/>
        <v>0</v>
      </c>
      <c r="AK22" s="21">
        <f t="shared" si="15"/>
        <v>0</v>
      </c>
      <c r="AL22" s="21">
        <f t="shared" si="15"/>
        <v>0</v>
      </c>
      <c r="AM22" s="21">
        <f t="shared" si="15"/>
        <v>0</v>
      </c>
      <c r="AN22" s="21">
        <f t="shared" si="15"/>
        <v>0</v>
      </c>
      <c r="AO22" s="21">
        <f t="shared" si="15"/>
        <v>0</v>
      </c>
      <c r="AP22" s="21">
        <f t="shared" si="15"/>
        <v>0</v>
      </c>
      <c r="AQ22" s="21">
        <f t="shared" si="15"/>
        <v>0</v>
      </c>
      <c r="AR22" s="21">
        <f t="shared" si="15"/>
        <v>0</v>
      </c>
      <c r="AS22" s="21">
        <f t="shared" si="15"/>
        <v>0</v>
      </c>
      <c r="AT22" s="17">
        <f t="shared" si="2"/>
        <v>0</v>
      </c>
    </row>
    <row r="23" spans="2:46" ht="12.75" thickBot="1" x14ac:dyDescent="0.25">
      <c r="B23" s="723"/>
      <c r="C23" s="34" t="s">
        <v>82</v>
      </c>
      <c r="D23" s="12"/>
      <c r="E23" s="88"/>
      <c r="F23" s="345"/>
      <c r="G23" s="353"/>
      <c r="H23" s="358"/>
      <c r="I23" s="361"/>
      <c r="J23" s="361"/>
      <c r="K23" s="350"/>
      <c r="L23" s="93"/>
      <c r="M23" s="91"/>
      <c r="N23" s="393"/>
      <c r="O23" s="132"/>
      <c r="P23" s="372"/>
      <c r="Q23" s="375"/>
      <c r="R23" s="379"/>
      <c r="S23" s="382"/>
      <c r="T23" s="384"/>
      <c r="U23" s="21">
        <f>U21-U22</f>
        <v>0</v>
      </c>
      <c r="V23" s="21">
        <f t="shared" ref="V23:AS23" si="16">V21-V22</f>
        <v>0</v>
      </c>
      <c r="W23" s="21">
        <f t="shared" si="16"/>
        <v>0</v>
      </c>
      <c r="X23" s="21">
        <f t="shared" si="16"/>
        <v>0</v>
      </c>
      <c r="Y23" s="21">
        <f t="shared" si="16"/>
        <v>0</v>
      </c>
      <c r="Z23" s="21">
        <f t="shared" si="16"/>
        <v>0</v>
      </c>
      <c r="AA23" s="21">
        <f t="shared" si="16"/>
        <v>0</v>
      </c>
      <c r="AB23" s="21">
        <f t="shared" si="16"/>
        <v>0</v>
      </c>
      <c r="AC23" s="21">
        <f t="shared" si="16"/>
        <v>0</v>
      </c>
      <c r="AD23" s="21">
        <f t="shared" si="16"/>
        <v>0</v>
      </c>
      <c r="AE23" s="21">
        <f t="shared" si="16"/>
        <v>0</v>
      </c>
      <c r="AF23" s="21">
        <f t="shared" si="16"/>
        <v>0</v>
      </c>
      <c r="AG23" s="21">
        <f t="shared" si="16"/>
        <v>0</v>
      </c>
      <c r="AH23" s="21">
        <f t="shared" si="16"/>
        <v>0</v>
      </c>
      <c r="AI23" s="21">
        <f t="shared" si="16"/>
        <v>0</v>
      </c>
      <c r="AJ23" s="21">
        <f t="shared" si="16"/>
        <v>0</v>
      </c>
      <c r="AK23" s="21">
        <f t="shared" si="16"/>
        <v>0</v>
      </c>
      <c r="AL23" s="21">
        <f t="shared" si="16"/>
        <v>0</v>
      </c>
      <c r="AM23" s="21">
        <f t="shared" si="16"/>
        <v>0</v>
      </c>
      <c r="AN23" s="21">
        <f t="shared" si="16"/>
        <v>0</v>
      </c>
      <c r="AO23" s="21">
        <f t="shared" si="16"/>
        <v>0</v>
      </c>
      <c r="AP23" s="21">
        <f t="shared" si="16"/>
        <v>0</v>
      </c>
      <c r="AQ23" s="21">
        <f t="shared" si="16"/>
        <v>0</v>
      </c>
      <c r="AR23" s="21">
        <f t="shared" si="16"/>
        <v>0</v>
      </c>
      <c r="AS23" s="21">
        <f t="shared" si="16"/>
        <v>0</v>
      </c>
      <c r="AT23" s="17">
        <f t="shared" si="2"/>
        <v>0</v>
      </c>
    </row>
    <row r="24" spans="2:46" ht="12.75" thickBot="1" x14ac:dyDescent="0.25">
      <c r="B24" s="723">
        <f>'Option A'!A11</f>
        <v>5</v>
      </c>
      <c r="C24" s="34" t="s">
        <v>80</v>
      </c>
      <c r="D24" s="95">
        <f>'ECM Options Data'!D18</f>
        <v>0</v>
      </c>
      <c r="E24" s="95">
        <f>'ECM Options Data'!E18</f>
        <v>0</v>
      </c>
      <c r="F24" s="347"/>
      <c r="G24" s="354">
        <f>'ECM Options Data'!K18</f>
        <v>0</v>
      </c>
      <c r="H24" s="354">
        <f>'ECM Options Data'!L18</f>
        <v>0</v>
      </c>
      <c r="I24" s="362">
        <f>'ECM Options Data'!M18</f>
        <v>0</v>
      </c>
      <c r="J24" s="360">
        <f>G24*I24</f>
        <v>0</v>
      </c>
      <c r="K24" s="364"/>
      <c r="L24" s="89">
        <f>K24*(1+$L$10)</f>
        <v>0</v>
      </c>
      <c r="M24" s="94"/>
      <c r="N24" s="410">
        <v>0</v>
      </c>
      <c r="O24" s="132">
        <f>IFERROR(VLOOKUP(E24, 'Technology Inputs'!$D$44:$E$172, 2, FALSE), 0)</f>
        <v>0</v>
      </c>
      <c r="P24" s="370"/>
      <c r="Q24" s="373">
        <f>IFERROR(ROUNDUP(VLOOKUP(E24, 'Technology Inputs'!$D$44:$E$172, 2, FALSE), 0), 0)</f>
        <v>0</v>
      </c>
      <c r="R24" s="412">
        <v>1</v>
      </c>
      <c r="S24" s="380"/>
      <c r="T24" s="383">
        <f>J24*R24</f>
        <v>0</v>
      </c>
      <c r="U24" s="21">
        <f t="shared" ref="U24:AN24" si="17">IF(U$9&lt;$N24,0,IF($Q24=0,0,IF(U$9=$N24,0, IF($Q24=INT(U$9-$N24), $T24, 0))))</f>
        <v>0</v>
      </c>
      <c r="V24" s="21">
        <f t="shared" si="17"/>
        <v>0</v>
      </c>
      <c r="W24" s="21">
        <f t="shared" si="17"/>
        <v>0</v>
      </c>
      <c r="X24" s="21">
        <f t="shared" si="17"/>
        <v>0</v>
      </c>
      <c r="Y24" s="21">
        <f t="shared" si="17"/>
        <v>0</v>
      </c>
      <c r="Z24" s="21">
        <f t="shared" si="17"/>
        <v>0</v>
      </c>
      <c r="AA24" s="21">
        <f t="shared" si="17"/>
        <v>0</v>
      </c>
      <c r="AB24" s="21">
        <f t="shared" si="17"/>
        <v>0</v>
      </c>
      <c r="AC24" s="21">
        <f t="shared" si="17"/>
        <v>0</v>
      </c>
      <c r="AD24" s="21">
        <f t="shared" si="17"/>
        <v>0</v>
      </c>
      <c r="AE24" s="21">
        <f t="shared" si="17"/>
        <v>0</v>
      </c>
      <c r="AF24" s="21">
        <f t="shared" si="17"/>
        <v>0</v>
      </c>
      <c r="AG24" s="21">
        <f t="shared" si="17"/>
        <v>0</v>
      </c>
      <c r="AH24" s="21">
        <f t="shared" si="17"/>
        <v>0</v>
      </c>
      <c r="AI24" s="21">
        <f t="shared" si="17"/>
        <v>0</v>
      </c>
      <c r="AJ24" s="21">
        <f t="shared" si="17"/>
        <v>0</v>
      </c>
      <c r="AK24" s="21">
        <f t="shared" si="17"/>
        <v>0</v>
      </c>
      <c r="AL24" s="21">
        <f t="shared" si="17"/>
        <v>0</v>
      </c>
      <c r="AM24" s="21">
        <f t="shared" si="17"/>
        <v>0</v>
      </c>
      <c r="AN24" s="21">
        <f t="shared" si="17"/>
        <v>0</v>
      </c>
      <c r="AO24" s="21">
        <f>IF(AO$9&lt;$N24,0,IF($Q24=0,0,IF(AO$9=$N24,0, IF($Q24=INT(AO$9-$N24), $T24, 0))))</f>
        <v>0</v>
      </c>
      <c r="AP24" s="21">
        <f t="shared" ref="AP24:AS24" si="18">IF(AP$9&lt;$N24,0,IF($Q24=0,0,IF(AP$9=$N24,0, IF($Q24=INT(AP$9-$N24), $T24, 0))))</f>
        <v>0</v>
      </c>
      <c r="AQ24" s="21">
        <f t="shared" si="18"/>
        <v>0</v>
      </c>
      <c r="AR24" s="21">
        <f t="shared" si="18"/>
        <v>0</v>
      </c>
      <c r="AS24" s="21">
        <f t="shared" si="18"/>
        <v>0</v>
      </c>
      <c r="AT24" s="17">
        <f t="shared" si="2"/>
        <v>0</v>
      </c>
    </row>
    <row r="25" spans="2:46" ht="12.75" thickBot="1" x14ac:dyDescent="0.25">
      <c r="B25" s="723"/>
      <c r="C25" s="34" t="s">
        <v>81</v>
      </c>
      <c r="D25" s="34">
        <f>IF('Option A'!$E11="Yes", 'Option A'!G11,0)</f>
        <v>0</v>
      </c>
      <c r="E25" s="34">
        <f>IF('Option A'!$E11="Yes", 'Option A'!H11,0)</f>
        <v>0</v>
      </c>
      <c r="F25" s="344"/>
      <c r="G25" s="406">
        <v>0</v>
      </c>
      <c r="H25" s="407"/>
      <c r="I25" s="408">
        <v>0</v>
      </c>
      <c r="J25" s="369">
        <f>G25*I25</f>
        <v>0</v>
      </c>
      <c r="K25" s="365"/>
      <c r="L25" s="90"/>
      <c r="M25" s="13"/>
      <c r="N25" s="411">
        <v>0</v>
      </c>
      <c r="O25" s="132">
        <f>'Option A'!I11</f>
        <v>0</v>
      </c>
      <c r="P25" s="371"/>
      <c r="Q25" s="374">
        <f>ROUNDUP(O25, 0)</f>
        <v>0</v>
      </c>
      <c r="R25" s="409">
        <v>1</v>
      </c>
      <c r="S25" s="381"/>
      <c r="T25" s="383">
        <f>J25*R25</f>
        <v>0</v>
      </c>
      <c r="U25" s="21">
        <f t="shared" ref="U25:AS25" si="19">IF(U$9&lt;$N25,0,IF($Q25=0,0,IF(U$9=$N25,$T25,IF((U$9-$N25)/$Q25=INT((U$9-$N25)/$Q25),$T25,0))))</f>
        <v>0</v>
      </c>
      <c r="V25" s="21">
        <f t="shared" si="19"/>
        <v>0</v>
      </c>
      <c r="W25" s="21">
        <f t="shared" si="19"/>
        <v>0</v>
      </c>
      <c r="X25" s="21">
        <f t="shared" si="19"/>
        <v>0</v>
      </c>
      <c r="Y25" s="21">
        <f t="shared" si="19"/>
        <v>0</v>
      </c>
      <c r="Z25" s="21">
        <f t="shared" si="19"/>
        <v>0</v>
      </c>
      <c r="AA25" s="21">
        <f t="shared" si="19"/>
        <v>0</v>
      </c>
      <c r="AB25" s="21">
        <f t="shared" si="19"/>
        <v>0</v>
      </c>
      <c r="AC25" s="21">
        <f t="shared" si="19"/>
        <v>0</v>
      </c>
      <c r="AD25" s="21">
        <f t="shared" si="19"/>
        <v>0</v>
      </c>
      <c r="AE25" s="21">
        <f t="shared" si="19"/>
        <v>0</v>
      </c>
      <c r="AF25" s="21">
        <f t="shared" si="19"/>
        <v>0</v>
      </c>
      <c r="AG25" s="21">
        <f t="shared" si="19"/>
        <v>0</v>
      </c>
      <c r="AH25" s="21">
        <f t="shared" si="19"/>
        <v>0</v>
      </c>
      <c r="AI25" s="21">
        <f t="shared" si="19"/>
        <v>0</v>
      </c>
      <c r="AJ25" s="21">
        <f t="shared" si="19"/>
        <v>0</v>
      </c>
      <c r="AK25" s="21">
        <f t="shared" si="19"/>
        <v>0</v>
      </c>
      <c r="AL25" s="21">
        <f t="shared" si="19"/>
        <v>0</v>
      </c>
      <c r="AM25" s="21">
        <f t="shared" si="19"/>
        <v>0</v>
      </c>
      <c r="AN25" s="21">
        <f t="shared" si="19"/>
        <v>0</v>
      </c>
      <c r="AO25" s="21">
        <f t="shared" si="19"/>
        <v>0</v>
      </c>
      <c r="AP25" s="21">
        <f t="shared" si="19"/>
        <v>0</v>
      </c>
      <c r="AQ25" s="21">
        <f t="shared" si="19"/>
        <v>0</v>
      </c>
      <c r="AR25" s="21">
        <f t="shared" si="19"/>
        <v>0</v>
      </c>
      <c r="AS25" s="21">
        <f t="shared" si="19"/>
        <v>0</v>
      </c>
      <c r="AT25" s="17">
        <f t="shared" si="2"/>
        <v>0</v>
      </c>
    </row>
    <row r="26" spans="2:46" ht="12.75" thickBot="1" x14ac:dyDescent="0.25">
      <c r="B26" s="723"/>
      <c r="C26" s="34" t="s">
        <v>82</v>
      </c>
      <c r="D26" s="12"/>
      <c r="E26" s="88"/>
      <c r="F26" s="345"/>
      <c r="G26" s="353"/>
      <c r="H26" s="358"/>
      <c r="I26" s="361"/>
      <c r="J26" s="361"/>
      <c r="K26" s="350"/>
      <c r="L26" s="93"/>
      <c r="M26" s="91"/>
      <c r="N26" s="393"/>
      <c r="O26" s="132"/>
      <c r="P26" s="372"/>
      <c r="Q26" s="375"/>
      <c r="R26" s="379"/>
      <c r="S26" s="382"/>
      <c r="T26" s="384"/>
      <c r="U26" s="21">
        <f>U24-U25</f>
        <v>0</v>
      </c>
      <c r="V26" s="21">
        <f t="shared" ref="V26:AS26" si="20">V24-V25</f>
        <v>0</v>
      </c>
      <c r="W26" s="21">
        <f t="shared" si="20"/>
        <v>0</v>
      </c>
      <c r="X26" s="21">
        <f t="shared" si="20"/>
        <v>0</v>
      </c>
      <c r="Y26" s="21">
        <f t="shared" si="20"/>
        <v>0</v>
      </c>
      <c r="Z26" s="21">
        <f t="shared" si="20"/>
        <v>0</v>
      </c>
      <c r="AA26" s="21">
        <f t="shared" si="20"/>
        <v>0</v>
      </c>
      <c r="AB26" s="21">
        <f t="shared" si="20"/>
        <v>0</v>
      </c>
      <c r="AC26" s="21">
        <f t="shared" si="20"/>
        <v>0</v>
      </c>
      <c r="AD26" s="21">
        <f t="shared" si="20"/>
        <v>0</v>
      </c>
      <c r="AE26" s="21">
        <f t="shared" si="20"/>
        <v>0</v>
      </c>
      <c r="AF26" s="21">
        <f t="shared" si="20"/>
        <v>0</v>
      </c>
      <c r="AG26" s="21">
        <f t="shared" si="20"/>
        <v>0</v>
      </c>
      <c r="AH26" s="21">
        <f t="shared" si="20"/>
        <v>0</v>
      </c>
      <c r="AI26" s="21">
        <f t="shared" si="20"/>
        <v>0</v>
      </c>
      <c r="AJ26" s="21">
        <f t="shared" si="20"/>
        <v>0</v>
      </c>
      <c r="AK26" s="21">
        <f t="shared" si="20"/>
        <v>0</v>
      </c>
      <c r="AL26" s="21">
        <f t="shared" si="20"/>
        <v>0</v>
      </c>
      <c r="AM26" s="21">
        <f t="shared" si="20"/>
        <v>0</v>
      </c>
      <c r="AN26" s="21">
        <f t="shared" si="20"/>
        <v>0</v>
      </c>
      <c r="AO26" s="21">
        <f t="shared" si="20"/>
        <v>0</v>
      </c>
      <c r="AP26" s="21">
        <f t="shared" si="20"/>
        <v>0</v>
      </c>
      <c r="AQ26" s="21">
        <f t="shared" si="20"/>
        <v>0</v>
      </c>
      <c r="AR26" s="21">
        <f t="shared" si="20"/>
        <v>0</v>
      </c>
      <c r="AS26" s="21">
        <f t="shared" si="20"/>
        <v>0</v>
      </c>
      <c r="AT26" s="17">
        <f t="shared" si="2"/>
        <v>0</v>
      </c>
    </row>
    <row r="27" spans="2:46" ht="12.75" thickBot="1" x14ac:dyDescent="0.25">
      <c r="B27" s="723">
        <f>'Option A'!A12</f>
        <v>6</v>
      </c>
      <c r="C27" s="34" t="s">
        <v>80</v>
      </c>
      <c r="D27" s="95">
        <f>'ECM Options Data'!D19</f>
        <v>0</v>
      </c>
      <c r="E27" s="95">
        <f>'ECM Options Data'!E19</f>
        <v>0</v>
      </c>
      <c r="F27" s="347"/>
      <c r="G27" s="354">
        <f>'ECM Options Data'!K19</f>
        <v>0</v>
      </c>
      <c r="H27" s="354">
        <f>'ECM Options Data'!L19</f>
        <v>0</v>
      </c>
      <c r="I27" s="362">
        <f>'ECM Options Data'!M19</f>
        <v>0</v>
      </c>
      <c r="J27" s="360">
        <f>G27*I27</f>
        <v>0</v>
      </c>
      <c r="K27" s="364"/>
      <c r="L27" s="89">
        <f>K27*(1+$L$10)</f>
        <v>0</v>
      </c>
      <c r="M27" s="94"/>
      <c r="N27" s="410">
        <v>0</v>
      </c>
      <c r="O27" s="132">
        <f>IFERROR(VLOOKUP(E27, 'Technology Inputs'!$D$44:$E$172, 2, FALSE), 0)</f>
        <v>0</v>
      </c>
      <c r="P27" s="370"/>
      <c r="Q27" s="373">
        <f>IFERROR(ROUNDUP(VLOOKUP(E27, 'Technology Inputs'!$D$44:$E$172, 2, FALSE), 0), 0)</f>
        <v>0</v>
      </c>
      <c r="R27" s="412">
        <v>1</v>
      </c>
      <c r="S27" s="380"/>
      <c r="T27" s="383">
        <f>J27*R27</f>
        <v>0</v>
      </c>
      <c r="U27" s="21">
        <f t="shared" ref="U27:AN27" si="21">IF(U$9&lt;$N27,0,IF($Q27=0,0,IF(U$9=$N27,0, IF($Q27=INT(U$9-$N27), $T27, 0))))</f>
        <v>0</v>
      </c>
      <c r="V27" s="21">
        <f t="shared" si="21"/>
        <v>0</v>
      </c>
      <c r="W27" s="21">
        <f t="shared" si="21"/>
        <v>0</v>
      </c>
      <c r="X27" s="21">
        <f t="shared" si="21"/>
        <v>0</v>
      </c>
      <c r="Y27" s="21">
        <f t="shared" si="21"/>
        <v>0</v>
      </c>
      <c r="Z27" s="21">
        <f t="shared" si="21"/>
        <v>0</v>
      </c>
      <c r="AA27" s="21">
        <f t="shared" si="21"/>
        <v>0</v>
      </c>
      <c r="AB27" s="21">
        <f t="shared" si="21"/>
        <v>0</v>
      </c>
      <c r="AC27" s="21">
        <f t="shared" si="21"/>
        <v>0</v>
      </c>
      <c r="AD27" s="21">
        <f t="shared" si="21"/>
        <v>0</v>
      </c>
      <c r="AE27" s="21">
        <f t="shared" si="21"/>
        <v>0</v>
      </c>
      <c r="AF27" s="21">
        <f t="shared" si="21"/>
        <v>0</v>
      </c>
      <c r="AG27" s="21">
        <f t="shared" si="21"/>
        <v>0</v>
      </c>
      <c r="AH27" s="21">
        <f t="shared" si="21"/>
        <v>0</v>
      </c>
      <c r="AI27" s="21">
        <f t="shared" si="21"/>
        <v>0</v>
      </c>
      <c r="AJ27" s="21">
        <f t="shared" si="21"/>
        <v>0</v>
      </c>
      <c r="AK27" s="21">
        <f t="shared" si="21"/>
        <v>0</v>
      </c>
      <c r="AL27" s="21">
        <f t="shared" si="21"/>
        <v>0</v>
      </c>
      <c r="AM27" s="21">
        <f t="shared" si="21"/>
        <v>0</v>
      </c>
      <c r="AN27" s="21">
        <f t="shared" si="21"/>
        <v>0</v>
      </c>
      <c r="AO27" s="21">
        <f>IF(AO$9&lt;$N27,0,IF($Q27=0,0,IF(AO$9=$N27,0, IF($Q27=INT(AO$9-$N27), $T27, 0))))</f>
        <v>0</v>
      </c>
      <c r="AP27" s="21">
        <f t="shared" ref="AP27:AS27" si="22">IF(AP$9&lt;$N27,0,IF($Q27=0,0,IF(AP$9=$N27,0, IF($Q27=INT(AP$9-$N27), $T27, 0))))</f>
        <v>0</v>
      </c>
      <c r="AQ27" s="21">
        <f t="shared" si="22"/>
        <v>0</v>
      </c>
      <c r="AR27" s="21">
        <f t="shared" si="22"/>
        <v>0</v>
      </c>
      <c r="AS27" s="21">
        <f t="shared" si="22"/>
        <v>0</v>
      </c>
      <c r="AT27" s="17">
        <f t="shared" si="2"/>
        <v>0</v>
      </c>
    </row>
    <row r="28" spans="2:46" ht="12.75" thickBot="1" x14ac:dyDescent="0.25">
      <c r="B28" s="723"/>
      <c r="C28" s="34" t="s">
        <v>81</v>
      </c>
      <c r="D28" s="34">
        <f>IF('Option A'!$E12="Yes", 'Option A'!G12,0)</f>
        <v>0</v>
      </c>
      <c r="E28" s="34">
        <f>IF('Option A'!$E12="Yes", 'Option A'!H12,0)</f>
        <v>0</v>
      </c>
      <c r="F28" s="344"/>
      <c r="G28" s="406">
        <v>0</v>
      </c>
      <c r="H28" s="407"/>
      <c r="I28" s="408">
        <v>0</v>
      </c>
      <c r="J28" s="369">
        <f>G28*I28</f>
        <v>0</v>
      </c>
      <c r="K28" s="365"/>
      <c r="L28" s="90"/>
      <c r="M28" s="13"/>
      <c r="N28" s="411">
        <v>0</v>
      </c>
      <c r="O28" s="132">
        <f>'Option A'!I12</f>
        <v>0</v>
      </c>
      <c r="P28" s="371"/>
      <c r="Q28" s="374">
        <f>ROUNDUP(O28, 0)</f>
        <v>0</v>
      </c>
      <c r="R28" s="409">
        <v>1</v>
      </c>
      <c r="S28" s="381"/>
      <c r="T28" s="383">
        <f>J28*R28</f>
        <v>0</v>
      </c>
      <c r="U28" s="21">
        <f t="shared" ref="U28:AS28" si="23">IF(U$9&lt;$N28,0,IF($Q28=0,0,IF(U$9=$N28,$T28,IF((U$9-$N28)/$Q28=INT((U$9-$N28)/$Q28),$T28,0))))</f>
        <v>0</v>
      </c>
      <c r="V28" s="21">
        <f t="shared" si="23"/>
        <v>0</v>
      </c>
      <c r="W28" s="21">
        <f t="shared" si="23"/>
        <v>0</v>
      </c>
      <c r="X28" s="21">
        <f t="shared" si="23"/>
        <v>0</v>
      </c>
      <c r="Y28" s="21">
        <f t="shared" si="23"/>
        <v>0</v>
      </c>
      <c r="Z28" s="21">
        <f t="shared" si="23"/>
        <v>0</v>
      </c>
      <c r="AA28" s="21">
        <f t="shared" si="23"/>
        <v>0</v>
      </c>
      <c r="AB28" s="21">
        <f t="shared" si="23"/>
        <v>0</v>
      </c>
      <c r="AC28" s="21">
        <f t="shared" si="23"/>
        <v>0</v>
      </c>
      <c r="AD28" s="21">
        <f t="shared" si="23"/>
        <v>0</v>
      </c>
      <c r="AE28" s="21">
        <f t="shared" si="23"/>
        <v>0</v>
      </c>
      <c r="AF28" s="21">
        <f t="shared" si="23"/>
        <v>0</v>
      </c>
      <c r="AG28" s="21">
        <f t="shared" si="23"/>
        <v>0</v>
      </c>
      <c r="AH28" s="21">
        <f t="shared" si="23"/>
        <v>0</v>
      </c>
      <c r="AI28" s="21">
        <f t="shared" si="23"/>
        <v>0</v>
      </c>
      <c r="AJ28" s="21">
        <f t="shared" si="23"/>
        <v>0</v>
      </c>
      <c r="AK28" s="21">
        <f t="shared" si="23"/>
        <v>0</v>
      </c>
      <c r="AL28" s="21">
        <f t="shared" si="23"/>
        <v>0</v>
      </c>
      <c r="AM28" s="21">
        <f t="shared" si="23"/>
        <v>0</v>
      </c>
      <c r="AN28" s="21">
        <f t="shared" si="23"/>
        <v>0</v>
      </c>
      <c r="AO28" s="21">
        <f t="shared" si="23"/>
        <v>0</v>
      </c>
      <c r="AP28" s="21">
        <f t="shared" si="23"/>
        <v>0</v>
      </c>
      <c r="AQ28" s="21">
        <f t="shared" si="23"/>
        <v>0</v>
      </c>
      <c r="AR28" s="21">
        <f t="shared" si="23"/>
        <v>0</v>
      </c>
      <c r="AS28" s="21">
        <f t="shared" si="23"/>
        <v>0</v>
      </c>
      <c r="AT28" s="17">
        <f t="shared" si="2"/>
        <v>0</v>
      </c>
    </row>
    <row r="29" spans="2:46" ht="12.75" thickBot="1" x14ac:dyDescent="0.25">
      <c r="B29" s="723"/>
      <c r="C29" s="34" t="s">
        <v>82</v>
      </c>
      <c r="D29" s="12"/>
      <c r="E29" s="88"/>
      <c r="F29" s="345"/>
      <c r="G29" s="353"/>
      <c r="H29" s="358"/>
      <c r="I29" s="361"/>
      <c r="J29" s="361"/>
      <c r="K29" s="350"/>
      <c r="L29" s="93"/>
      <c r="M29" s="91"/>
      <c r="N29" s="393"/>
      <c r="O29" s="132"/>
      <c r="P29" s="372"/>
      <c r="Q29" s="375"/>
      <c r="R29" s="379"/>
      <c r="S29" s="382"/>
      <c r="T29" s="384"/>
      <c r="U29" s="21">
        <f>U27-U28</f>
        <v>0</v>
      </c>
      <c r="V29" s="21">
        <f t="shared" ref="V29:AS29" si="24">V27-V28</f>
        <v>0</v>
      </c>
      <c r="W29" s="21">
        <f t="shared" si="24"/>
        <v>0</v>
      </c>
      <c r="X29" s="21">
        <f t="shared" si="24"/>
        <v>0</v>
      </c>
      <c r="Y29" s="21">
        <f t="shared" si="24"/>
        <v>0</v>
      </c>
      <c r="Z29" s="21">
        <f t="shared" si="24"/>
        <v>0</v>
      </c>
      <c r="AA29" s="21">
        <f t="shared" si="24"/>
        <v>0</v>
      </c>
      <c r="AB29" s="21">
        <f t="shared" si="24"/>
        <v>0</v>
      </c>
      <c r="AC29" s="21">
        <f t="shared" si="24"/>
        <v>0</v>
      </c>
      <c r="AD29" s="21">
        <f t="shared" si="24"/>
        <v>0</v>
      </c>
      <c r="AE29" s="21">
        <f t="shared" si="24"/>
        <v>0</v>
      </c>
      <c r="AF29" s="21">
        <f t="shared" si="24"/>
        <v>0</v>
      </c>
      <c r="AG29" s="21">
        <f t="shared" si="24"/>
        <v>0</v>
      </c>
      <c r="AH29" s="21">
        <f t="shared" si="24"/>
        <v>0</v>
      </c>
      <c r="AI29" s="21">
        <f t="shared" si="24"/>
        <v>0</v>
      </c>
      <c r="AJ29" s="21">
        <f t="shared" si="24"/>
        <v>0</v>
      </c>
      <c r="AK29" s="21">
        <f t="shared" si="24"/>
        <v>0</v>
      </c>
      <c r="AL29" s="21">
        <f t="shared" si="24"/>
        <v>0</v>
      </c>
      <c r="AM29" s="21">
        <f t="shared" si="24"/>
        <v>0</v>
      </c>
      <c r="AN29" s="21">
        <f t="shared" si="24"/>
        <v>0</v>
      </c>
      <c r="AO29" s="21">
        <f t="shared" si="24"/>
        <v>0</v>
      </c>
      <c r="AP29" s="21">
        <f t="shared" si="24"/>
        <v>0</v>
      </c>
      <c r="AQ29" s="21">
        <f t="shared" si="24"/>
        <v>0</v>
      </c>
      <c r="AR29" s="21">
        <f t="shared" si="24"/>
        <v>0</v>
      </c>
      <c r="AS29" s="21">
        <f t="shared" si="24"/>
        <v>0</v>
      </c>
      <c r="AT29" s="17">
        <f t="shared" si="2"/>
        <v>0</v>
      </c>
    </row>
    <row r="30" spans="2:46" ht="12.75" thickBot="1" x14ac:dyDescent="0.25">
      <c r="B30" s="723">
        <f>'Option A'!A13</f>
        <v>7</v>
      </c>
      <c r="C30" s="34" t="s">
        <v>80</v>
      </c>
      <c r="D30" s="95">
        <f>'ECM Options Data'!D20</f>
        <v>0</v>
      </c>
      <c r="E30" s="95">
        <f>'ECM Options Data'!E20</f>
        <v>0</v>
      </c>
      <c r="F30" s="347"/>
      <c r="G30" s="354">
        <f>'ECM Options Data'!K20</f>
        <v>0</v>
      </c>
      <c r="H30" s="354">
        <f>'ECM Options Data'!L20</f>
        <v>0</v>
      </c>
      <c r="I30" s="362">
        <f>'ECM Options Data'!M20</f>
        <v>0</v>
      </c>
      <c r="J30" s="360">
        <f>G30*I30</f>
        <v>0</v>
      </c>
      <c r="K30" s="364"/>
      <c r="L30" s="89">
        <f>K30*(1+$L$10)</f>
        <v>0</v>
      </c>
      <c r="M30" s="94"/>
      <c r="N30" s="410">
        <v>0</v>
      </c>
      <c r="O30" s="132">
        <f>IFERROR(VLOOKUP(E30, 'Technology Inputs'!$D$44:$E$172, 2, FALSE), 0)</f>
        <v>0</v>
      </c>
      <c r="P30" s="370"/>
      <c r="Q30" s="373">
        <f>IFERROR(ROUNDUP(VLOOKUP(E30, 'Technology Inputs'!$D$44:$E$172, 2, FALSE), 0), 0)</f>
        <v>0</v>
      </c>
      <c r="R30" s="412">
        <v>1</v>
      </c>
      <c r="S30" s="380"/>
      <c r="T30" s="383">
        <f>J30*R30</f>
        <v>0</v>
      </c>
      <c r="U30" s="21">
        <f t="shared" ref="U30:AN30" si="25">IF(U$9&lt;$N30,0,IF($Q30=0,0,IF(U$9=$N30,0, IF($Q30=INT(U$9-$N30), $T30, 0))))</f>
        <v>0</v>
      </c>
      <c r="V30" s="21">
        <f t="shared" si="25"/>
        <v>0</v>
      </c>
      <c r="W30" s="21">
        <f t="shared" si="25"/>
        <v>0</v>
      </c>
      <c r="X30" s="21">
        <f t="shared" si="25"/>
        <v>0</v>
      </c>
      <c r="Y30" s="21">
        <f t="shared" si="25"/>
        <v>0</v>
      </c>
      <c r="Z30" s="21">
        <f t="shared" si="25"/>
        <v>0</v>
      </c>
      <c r="AA30" s="21">
        <f t="shared" si="25"/>
        <v>0</v>
      </c>
      <c r="AB30" s="21">
        <f t="shared" si="25"/>
        <v>0</v>
      </c>
      <c r="AC30" s="21">
        <f t="shared" si="25"/>
        <v>0</v>
      </c>
      <c r="AD30" s="21">
        <f t="shared" si="25"/>
        <v>0</v>
      </c>
      <c r="AE30" s="21">
        <f t="shared" si="25"/>
        <v>0</v>
      </c>
      <c r="AF30" s="21">
        <f t="shared" si="25"/>
        <v>0</v>
      </c>
      <c r="AG30" s="21">
        <f t="shared" si="25"/>
        <v>0</v>
      </c>
      <c r="AH30" s="21">
        <f t="shared" si="25"/>
        <v>0</v>
      </c>
      <c r="AI30" s="21">
        <f t="shared" si="25"/>
        <v>0</v>
      </c>
      <c r="AJ30" s="21">
        <f t="shared" si="25"/>
        <v>0</v>
      </c>
      <c r="AK30" s="21">
        <f t="shared" si="25"/>
        <v>0</v>
      </c>
      <c r="AL30" s="21">
        <f t="shared" si="25"/>
        <v>0</v>
      </c>
      <c r="AM30" s="21">
        <f t="shared" si="25"/>
        <v>0</v>
      </c>
      <c r="AN30" s="21">
        <f t="shared" si="25"/>
        <v>0</v>
      </c>
      <c r="AO30" s="21">
        <f>IF(AO$9&lt;$N30,0,IF($Q30=0,0,IF(AO$9=$N30,0, IF($Q30=INT(AO$9-$N30), $T30, 0))))</f>
        <v>0</v>
      </c>
      <c r="AP30" s="21">
        <f t="shared" ref="AP30:AS30" si="26">IF(AP$9&lt;$N30,0,IF($Q30=0,0,IF(AP$9=$N30,0, IF($Q30=INT(AP$9-$N30), $T30, 0))))</f>
        <v>0</v>
      </c>
      <c r="AQ30" s="21">
        <f t="shared" si="26"/>
        <v>0</v>
      </c>
      <c r="AR30" s="21">
        <f t="shared" si="26"/>
        <v>0</v>
      </c>
      <c r="AS30" s="21">
        <f t="shared" si="26"/>
        <v>0</v>
      </c>
      <c r="AT30" s="17">
        <f t="shared" si="2"/>
        <v>0</v>
      </c>
    </row>
    <row r="31" spans="2:46" ht="12.75" thickBot="1" x14ac:dyDescent="0.25">
      <c r="B31" s="723"/>
      <c r="C31" s="34" t="s">
        <v>81</v>
      </c>
      <c r="D31" s="34">
        <f>IF('Option A'!$E13="Yes", 'Option A'!G13,0)</f>
        <v>0</v>
      </c>
      <c r="E31" s="34">
        <f>IF('Option A'!$E13="Yes", 'Option A'!H13,0)</f>
        <v>0</v>
      </c>
      <c r="F31" s="344"/>
      <c r="G31" s="406">
        <v>0</v>
      </c>
      <c r="H31" s="407" t="s">
        <v>498</v>
      </c>
      <c r="I31" s="408">
        <v>0</v>
      </c>
      <c r="J31" s="369">
        <f>G31*I31</f>
        <v>0</v>
      </c>
      <c r="K31" s="365"/>
      <c r="L31" s="90"/>
      <c r="M31" s="13"/>
      <c r="N31" s="411">
        <v>0</v>
      </c>
      <c r="O31" s="132">
        <f>'Option A'!I12</f>
        <v>0</v>
      </c>
      <c r="P31" s="371"/>
      <c r="Q31" s="374">
        <f>ROUNDUP(O31, 0)</f>
        <v>0</v>
      </c>
      <c r="R31" s="409">
        <v>1</v>
      </c>
      <c r="S31" s="381"/>
      <c r="T31" s="383">
        <f>J31*R31</f>
        <v>0</v>
      </c>
      <c r="U31" s="21">
        <f t="shared" ref="U31:AS31" si="27">IF(U$9&lt;$N31,0,IF($Q31=0,0,IF(U$9=$N31,$T31,IF((U$9-$N31)/$Q31=INT((U$9-$N31)/$Q31),$T31,0))))</f>
        <v>0</v>
      </c>
      <c r="V31" s="21">
        <f t="shared" si="27"/>
        <v>0</v>
      </c>
      <c r="W31" s="21">
        <f t="shared" si="27"/>
        <v>0</v>
      </c>
      <c r="X31" s="21">
        <f t="shared" si="27"/>
        <v>0</v>
      </c>
      <c r="Y31" s="21">
        <f t="shared" si="27"/>
        <v>0</v>
      </c>
      <c r="Z31" s="21">
        <f t="shared" si="27"/>
        <v>0</v>
      </c>
      <c r="AA31" s="21">
        <f t="shared" si="27"/>
        <v>0</v>
      </c>
      <c r="AB31" s="21">
        <f t="shared" si="27"/>
        <v>0</v>
      </c>
      <c r="AC31" s="21">
        <f t="shared" si="27"/>
        <v>0</v>
      </c>
      <c r="AD31" s="21">
        <f t="shared" si="27"/>
        <v>0</v>
      </c>
      <c r="AE31" s="21">
        <f t="shared" si="27"/>
        <v>0</v>
      </c>
      <c r="AF31" s="21">
        <f t="shared" si="27"/>
        <v>0</v>
      </c>
      <c r="AG31" s="21">
        <f t="shared" si="27"/>
        <v>0</v>
      </c>
      <c r="AH31" s="21">
        <f t="shared" si="27"/>
        <v>0</v>
      </c>
      <c r="AI31" s="21">
        <f t="shared" si="27"/>
        <v>0</v>
      </c>
      <c r="AJ31" s="21">
        <f t="shared" si="27"/>
        <v>0</v>
      </c>
      <c r="AK31" s="21">
        <f t="shared" si="27"/>
        <v>0</v>
      </c>
      <c r="AL31" s="21">
        <f t="shared" si="27"/>
        <v>0</v>
      </c>
      <c r="AM31" s="21">
        <f t="shared" si="27"/>
        <v>0</v>
      </c>
      <c r="AN31" s="21">
        <f t="shared" si="27"/>
        <v>0</v>
      </c>
      <c r="AO31" s="21">
        <f t="shared" si="27"/>
        <v>0</v>
      </c>
      <c r="AP31" s="21">
        <f t="shared" si="27"/>
        <v>0</v>
      </c>
      <c r="AQ31" s="21">
        <f t="shared" si="27"/>
        <v>0</v>
      </c>
      <c r="AR31" s="21">
        <f t="shared" si="27"/>
        <v>0</v>
      </c>
      <c r="AS31" s="21">
        <f t="shared" si="27"/>
        <v>0</v>
      </c>
      <c r="AT31" s="17">
        <f t="shared" si="2"/>
        <v>0</v>
      </c>
    </row>
    <row r="32" spans="2:46" ht="12.75" thickBot="1" x14ac:dyDescent="0.25">
      <c r="B32" s="723"/>
      <c r="C32" s="34" t="s">
        <v>82</v>
      </c>
      <c r="D32" s="12"/>
      <c r="E32" s="88"/>
      <c r="F32" s="345"/>
      <c r="G32" s="353"/>
      <c r="H32" s="358"/>
      <c r="I32" s="361"/>
      <c r="J32" s="361"/>
      <c r="K32" s="350"/>
      <c r="L32" s="93"/>
      <c r="M32" s="91"/>
      <c r="N32" s="393"/>
      <c r="O32" s="132"/>
      <c r="P32" s="372"/>
      <c r="Q32" s="375"/>
      <c r="R32" s="379"/>
      <c r="S32" s="382"/>
      <c r="T32" s="384"/>
      <c r="U32" s="21">
        <f>U30-U31</f>
        <v>0</v>
      </c>
      <c r="V32" s="21">
        <f t="shared" ref="V32:AS32" si="28">V30-V31</f>
        <v>0</v>
      </c>
      <c r="W32" s="21">
        <f t="shared" si="28"/>
        <v>0</v>
      </c>
      <c r="X32" s="21">
        <f t="shared" si="28"/>
        <v>0</v>
      </c>
      <c r="Y32" s="21">
        <f t="shared" si="28"/>
        <v>0</v>
      </c>
      <c r="Z32" s="21">
        <f t="shared" si="28"/>
        <v>0</v>
      </c>
      <c r="AA32" s="21">
        <f t="shared" si="28"/>
        <v>0</v>
      </c>
      <c r="AB32" s="21">
        <f t="shared" si="28"/>
        <v>0</v>
      </c>
      <c r="AC32" s="21">
        <f t="shared" si="28"/>
        <v>0</v>
      </c>
      <c r="AD32" s="21">
        <f t="shared" si="28"/>
        <v>0</v>
      </c>
      <c r="AE32" s="21">
        <f t="shared" si="28"/>
        <v>0</v>
      </c>
      <c r="AF32" s="21">
        <f t="shared" si="28"/>
        <v>0</v>
      </c>
      <c r="AG32" s="21">
        <f t="shared" si="28"/>
        <v>0</v>
      </c>
      <c r="AH32" s="21">
        <f t="shared" si="28"/>
        <v>0</v>
      </c>
      <c r="AI32" s="21">
        <f t="shared" si="28"/>
        <v>0</v>
      </c>
      <c r="AJ32" s="21">
        <f t="shared" si="28"/>
        <v>0</v>
      </c>
      <c r="AK32" s="21">
        <f t="shared" si="28"/>
        <v>0</v>
      </c>
      <c r="AL32" s="21">
        <f t="shared" si="28"/>
        <v>0</v>
      </c>
      <c r="AM32" s="21">
        <f t="shared" si="28"/>
        <v>0</v>
      </c>
      <c r="AN32" s="21">
        <f t="shared" si="28"/>
        <v>0</v>
      </c>
      <c r="AO32" s="21">
        <f t="shared" si="28"/>
        <v>0</v>
      </c>
      <c r="AP32" s="21">
        <f t="shared" si="28"/>
        <v>0</v>
      </c>
      <c r="AQ32" s="21">
        <f t="shared" si="28"/>
        <v>0</v>
      </c>
      <c r="AR32" s="21">
        <f t="shared" si="28"/>
        <v>0</v>
      </c>
      <c r="AS32" s="21">
        <f t="shared" si="28"/>
        <v>0</v>
      </c>
      <c r="AT32" s="17">
        <f t="shared" si="2"/>
        <v>0</v>
      </c>
    </row>
    <row r="33" spans="2:46" ht="12.75" thickBot="1" x14ac:dyDescent="0.25">
      <c r="B33" s="723">
        <f>'Option A'!A14</f>
        <v>8</v>
      </c>
      <c r="C33" s="34" t="s">
        <v>80</v>
      </c>
      <c r="D33" s="95">
        <f>'ECM Options Data'!D21</f>
        <v>0</v>
      </c>
      <c r="E33" s="95">
        <f>'ECM Options Data'!E21</f>
        <v>0</v>
      </c>
      <c r="F33" s="347"/>
      <c r="G33" s="354">
        <f>'ECM Options Data'!K21</f>
        <v>0</v>
      </c>
      <c r="H33" s="354">
        <f>'ECM Options Data'!L21</f>
        <v>0</v>
      </c>
      <c r="I33" s="362">
        <f>'ECM Options Data'!M21</f>
        <v>0</v>
      </c>
      <c r="J33" s="360">
        <f>G33*I33</f>
        <v>0</v>
      </c>
      <c r="K33" s="364"/>
      <c r="L33" s="89">
        <f>K33*(1+$L$10)</f>
        <v>0</v>
      </c>
      <c r="M33" s="94"/>
      <c r="N33" s="410">
        <v>0</v>
      </c>
      <c r="O33" s="132">
        <f>IFERROR(VLOOKUP(E33, 'Technology Inputs'!$D$44:$E$172, 2, FALSE), 0)</f>
        <v>0</v>
      </c>
      <c r="P33" s="370"/>
      <c r="Q33" s="373">
        <f>IFERROR(ROUNDUP(VLOOKUP(E33, 'Technology Inputs'!$D$44:$E$172, 2, FALSE), 0), 0)</f>
        <v>0</v>
      </c>
      <c r="R33" s="412">
        <v>1</v>
      </c>
      <c r="S33" s="380"/>
      <c r="T33" s="383">
        <f>J33*R33</f>
        <v>0</v>
      </c>
      <c r="U33" s="21">
        <f t="shared" ref="U33:AN33" si="29">IF(U$9&lt;$N33,0,IF($Q33=0,0,IF(U$9=$N33,0, IF($Q33=INT(U$9-$N33), $T33, 0))))</f>
        <v>0</v>
      </c>
      <c r="V33" s="21">
        <f t="shared" si="29"/>
        <v>0</v>
      </c>
      <c r="W33" s="21">
        <f t="shared" si="29"/>
        <v>0</v>
      </c>
      <c r="X33" s="21">
        <f t="shared" si="29"/>
        <v>0</v>
      </c>
      <c r="Y33" s="21">
        <f t="shared" si="29"/>
        <v>0</v>
      </c>
      <c r="Z33" s="21">
        <f t="shared" si="29"/>
        <v>0</v>
      </c>
      <c r="AA33" s="21">
        <f t="shared" si="29"/>
        <v>0</v>
      </c>
      <c r="AB33" s="21">
        <f t="shared" si="29"/>
        <v>0</v>
      </c>
      <c r="AC33" s="21">
        <f t="shared" si="29"/>
        <v>0</v>
      </c>
      <c r="AD33" s="21">
        <f t="shared" si="29"/>
        <v>0</v>
      </c>
      <c r="AE33" s="21">
        <f t="shared" si="29"/>
        <v>0</v>
      </c>
      <c r="AF33" s="21">
        <f t="shared" si="29"/>
        <v>0</v>
      </c>
      <c r="AG33" s="21">
        <f t="shared" si="29"/>
        <v>0</v>
      </c>
      <c r="AH33" s="21">
        <f t="shared" si="29"/>
        <v>0</v>
      </c>
      <c r="AI33" s="21">
        <f t="shared" si="29"/>
        <v>0</v>
      </c>
      <c r="AJ33" s="21">
        <f t="shared" si="29"/>
        <v>0</v>
      </c>
      <c r="AK33" s="21">
        <f t="shared" si="29"/>
        <v>0</v>
      </c>
      <c r="AL33" s="21">
        <f t="shared" si="29"/>
        <v>0</v>
      </c>
      <c r="AM33" s="21">
        <f t="shared" si="29"/>
        <v>0</v>
      </c>
      <c r="AN33" s="21">
        <f t="shared" si="29"/>
        <v>0</v>
      </c>
      <c r="AO33" s="21">
        <f>IF(AO$9&lt;$N33,0,IF($Q33=0,0,IF(AO$9=$N33,0, IF($Q33=INT(AO$9-$N33), $T33, 0))))</f>
        <v>0</v>
      </c>
      <c r="AP33" s="21">
        <f t="shared" ref="AP33:AS33" si="30">IF(AP$9&lt;$N33,0,IF($Q33=0,0,IF(AP$9=$N33,0, IF($Q33=INT(AP$9-$N33), $T33, 0))))</f>
        <v>0</v>
      </c>
      <c r="AQ33" s="21">
        <f t="shared" si="30"/>
        <v>0</v>
      </c>
      <c r="AR33" s="21">
        <f t="shared" si="30"/>
        <v>0</v>
      </c>
      <c r="AS33" s="21">
        <f t="shared" si="30"/>
        <v>0</v>
      </c>
      <c r="AT33" s="17">
        <f t="shared" si="2"/>
        <v>0</v>
      </c>
    </row>
    <row r="34" spans="2:46" ht="12.75" thickBot="1" x14ac:dyDescent="0.25">
      <c r="B34" s="723"/>
      <c r="C34" s="34" t="s">
        <v>81</v>
      </c>
      <c r="D34" s="34">
        <f>IF('Option A'!$E14="Yes", 'Option A'!G14,0)</f>
        <v>0</v>
      </c>
      <c r="E34" s="34">
        <f>IF('Option A'!$E14="Yes", 'Option A'!H14,0)</f>
        <v>0</v>
      </c>
      <c r="F34" s="344"/>
      <c r="G34" s="406">
        <v>0</v>
      </c>
      <c r="H34" s="407"/>
      <c r="I34" s="408">
        <v>0</v>
      </c>
      <c r="J34" s="369">
        <f>G34*I34</f>
        <v>0</v>
      </c>
      <c r="K34" s="365"/>
      <c r="L34" s="90"/>
      <c r="M34" s="13"/>
      <c r="N34" s="411">
        <v>0</v>
      </c>
      <c r="O34" s="132">
        <f>'Option A'!I13</f>
        <v>0</v>
      </c>
      <c r="P34" s="371"/>
      <c r="Q34" s="374">
        <f>ROUNDUP(O34, 0)</f>
        <v>0</v>
      </c>
      <c r="R34" s="409">
        <v>1</v>
      </c>
      <c r="S34" s="381"/>
      <c r="T34" s="383">
        <f>J34*R34</f>
        <v>0</v>
      </c>
      <c r="U34" s="21">
        <f t="shared" ref="U34:AS34" si="31">IF(U$9&lt;$N34,0,IF($Q34=0,0,IF(U$9=$N34,$T34,IF((U$9-$N34)/$Q34=INT((U$9-$N34)/$Q34),$T34,0))))</f>
        <v>0</v>
      </c>
      <c r="V34" s="21">
        <f t="shared" si="31"/>
        <v>0</v>
      </c>
      <c r="W34" s="21">
        <f t="shared" si="31"/>
        <v>0</v>
      </c>
      <c r="X34" s="21">
        <f t="shared" si="31"/>
        <v>0</v>
      </c>
      <c r="Y34" s="21">
        <f t="shared" si="31"/>
        <v>0</v>
      </c>
      <c r="Z34" s="21">
        <f t="shared" si="31"/>
        <v>0</v>
      </c>
      <c r="AA34" s="21">
        <f t="shared" si="31"/>
        <v>0</v>
      </c>
      <c r="AB34" s="21">
        <f t="shared" si="31"/>
        <v>0</v>
      </c>
      <c r="AC34" s="21">
        <f t="shared" si="31"/>
        <v>0</v>
      </c>
      <c r="AD34" s="21">
        <f t="shared" si="31"/>
        <v>0</v>
      </c>
      <c r="AE34" s="21">
        <f t="shared" si="31"/>
        <v>0</v>
      </c>
      <c r="AF34" s="21">
        <f t="shared" si="31"/>
        <v>0</v>
      </c>
      <c r="AG34" s="21">
        <f t="shared" si="31"/>
        <v>0</v>
      </c>
      <c r="AH34" s="21">
        <f t="shared" si="31"/>
        <v>0</v>
      </c>
      <c r="AI34" s="21">
        <f t="shared" si="31"/>
        <v>0</v>
      </c>
      <c r="AJ34" s="21">
        <f t="shared" si="31"/>
        <v>0</v>
      </c>
      <c r="AK34" s="21">
        <f t="shared" si="31"/>
        <v>0</v>
      </c>
      <c r="AL34" s="21">
        <f t="shared" si="31"/>
        <v>0</v>
      </c>
      <c r="AM34" s="21">
        <f t="shared" si="31"/>
        <v>0</v>
      </c>
      <c r="AN34" s="21">
        <f t="shared" si="31"/>
        <v>0</v>
      </c>
      <c r="AO34" s="21">
        <f t="shared" si="31"/>
        <v>0</v>
      </c>
      <c r="AP34" s="21">
        <f t="shared" si="31"/>
        <v>0</v>
      </c>
      <c r="AQ34" s="21">
        <f t="shared" si="31"/>
        <v>0</v>
      </c>
      <c r="AR34" s="21">
        <f t="shared" si="31"/>
        <v>0</v>
      </c>
      <c r="AS34" s="21">
        <f t="shared" si="31"/>
        <v>0</v>
      </c>
      <c r="AT34" s="17">
        <f t="shared" si="2"/>
        <v>0</v>
      </c>
    </row>
    <row r="35" spans="2:46" ht="12.75" thickBot="1" x14ac:dyDescent="0.25">
      <c r="B35" s="723"/>
      <c r="C35" s="34" t="s">
        <v>82</v>
      </c>
      <c r="D35" s="12"/>
      <c r="E35" s="88"/>
      <c r="F35" s="345"/>
      <c r="G35" s="353"/>
      <c r="H35" s="358"/>
      <c r="I35" s="361"/>
      <c r="J35" s="361"/>
      <c r="K35" s="350"/>
      <c r="L35" s="93"/>
      <c r="M35" s="91"/>
      <c r="N35" s="393"/>
      <c r="O35" s="132"/>
      <c r="P35" s="372"/>
      <c r="Q35" s="375"/>
      <c r="R35" s="379"/>
      <c r="S35" s="382"/>
      <c r="T35" s="384"/>
      <c r="U35" s="21">
        <f>U33-U34</f>
        <v>0</v>
      </c>
      <c r="V35" s="21">
        <f t="shared" ref="V35:AS35" si="32">V33-V34</f>
        <v>0</v>
      </c>
      <c r="W35" s="21">
        <f t="shared" si="32"/>
        <v>0</v>
      </c>
      <c r="X35" s="21">
        <f t="shared" si="32"/>
        <v>0</v>
      </c>
      <c r="Y35" s="21">
        <f t="shared" si="32"/>
        <v>0</v>
      </c>
      <c r="Z35" s="21">
        <f t="shared" si="32"/>
        <v>0</v>
      </c>
      <c r="AA35" s="21">
        <f t="shared" si="32"/>
        <v>0</v>
      </c>
      <c r="AB35" s="21">
        <f t="shared" si="32"/>
        <v>0</v>
      </c>
      <c r="AC35" s="21">
        <f t="shared" si="32"/>
        <v>0</v>
      </c>
      <c r="AD35" s="21">
        <f t="shared" si="32"/>
        <v>0</v>
      </c>
      <c r="AE35" s="21">
        <f t="shared" si="32"/>
        <v>0</v>
      </c>
      <c r="AF35" s="21">
        <f t="shared" si="32"/>
        <v>0</v>
      </c>
      <c r="AG35" s="21">
        <f t="shared" si="32"/>
        <v>0</v>
      </c>
      <c r="AH35" s="21">
        <f t="shared" si="32"/>
        <v>0</v>
      </c>
      <c r="AI35" s="21">
        <f t="shared" si="32"/>
        <v>0</v>
      </c>
      <c r="AJ35" s="21">
        <f t="shared" si="32"/>
        <v>0</v>
      </c>
      <c r="AK35" s="21">
        <f t="shared" si="32"/>
        <v>0</v>
      </c>
      <c r="AL35" s="21">
        <f t="shared" si="32"/>
        <v>0</v>
      </c>
      <c r="AM35" s="21">
        <f t="shared" si="32"/>
        <v>0</v>
      </c>
      <c r="AN35" s="21">
        <f t="shared" si="32"/>
        <v>0</v>
      </c>
      <c r="AO35" s="21">
        <f t="shared" si="32"/>
        <v>0</v>
      </c>
      <c r="AP35" s="21">
        <f t="shared" si="32"/>
        <v>0</v>
      </c>
      <c r="AQ35" s="21">
        <f t="shared" si="32"/>
        <v>0</v>
      </c>
      <c r="AR35" s="21">
        <f t="shared" si="32"/>
        <v>0</v>
      </c>
      <c r="AS35" s="21">
        <f t="shared" si="32"/>
        <v>0</v>
      </c>
      <c r="AT35" s="17">
        <f t="shared" si="2"/>
        <v>0</v>
      </c>
    </row>
    <row r="36" spans="2:46" ht="12.75" thickBot="1" x14ac:dyDescent="0.25">
      <c r="B36" s="723">
        <f>'Option A'!A15</f>
        <v>9</v>
      </c>
      <c r="C36" s="34" t="s">
        <v>80</v>
      </c>
      <c r="D36" s="95">
        <f>'ECM Options Data'!D22</f>
        <v>0</v>
      </c>
      <c r="E36" s="95">
        <f>'ECM Options Data'!E22</f>
        <v>0</v>
      </c>
      <c r="F36" s="347"/>
      <c r="G36" s="354">
        <f>'ECM Options Data'!K22</f>
        <v>0</v>
      </c>
      <c r="H36" s="354">
        <f>'ECM Options Data'!L22</f>
        <v>0</v>
      </c>
      <c r="I36" s="362">
        <f>'ECM Options Data'!M22</f>
        <v>0</v>
      </c>
      <c r="J36" s="360">
        <f>G36*I36</f>
        <v>0</v>
      </c>
      <c r="K36" s="364"/>
      <c r="L36" s="89">
        <f>K36*(1+$L$10)</f>
        <v>0</v>
      </c>
      <c r="M36" s="94"/>
      <c r="N36" s="410">
        <v>0</v>
      </c>
      <c r="O36" s="132">
        <f>IFERROR(VLOOKUP(E36, 'Technology Inputs'!$D$44:$E$172, 2, FALSE), 0)</f>
        <v>0</v>
      </c>
      <c r="P36" s="370"/>
      <c r="Q36" s="373">
        <f>IFERROR(ROUNDUP(VLOOKUP(E36, 'Technology Inputs'!$D$44:$E$172, 2, FALSE), 0), 0)</f>
        <v>0</v>
      </c>
      <c r="R36" s="412">
        <v>1</v>
      </c>
      <c r="S36" s="380"/>
      <c r="T36" s="383">
        <f>J36*R36</f>
        <v>0</v>
      </c>
      <c r="U36" s="21">
        <f t="shared" ref="U36:AN36" si="33">IF(U$9&lt;$N36,0,IF($Q36=0,0,IF(U$9=$N36,0, IF($Q36=INT(U$9-$N36), $T36, 0))))</f>
        <v>0</v>
      </c>
      <c r="V36" s="21">
        <f t="shared" si="33"/>
        <v>0</v>
      </c>
      <c r="W36" s="21">
        <f t="shared" si="33"/>
        <v>0</v>
      </c>
      <c r="X36" s="21">
        <f t="shared" si="33"/>
        <v>0</v>
      </c>
      <c r="Y36" s="21">
        <f t="shared" si="33"/>
        <v>0</v>
      </c>
      <c r="Z36" s="21">
        <f t="shared" si="33"/>
        <v>0</v>
      </c>
      <c r="AA36" s="21">
        <f t="shared" si="33"/>
        <v>0</v>
      </c>
      <c r="AB36" s="21">
        <f t="shared" si="33"/>
        <v>0</v>
      </c>
      <c r="AC36" s="21">
        <f t="shared" si="33"/>
        <v>0</v>
      </c>
      <c r="AD36" s="21">
        <f t="shared" si="33"/>
        <v>0</v>
      </c>
      <c r="AE36" s="21">
        <f t="shared" si="33"/>
        <v>0</v>
      </c>
      <c r="AF36" s="21">
        <f t="shared" si="33"/>
        <v>0</v>
      </c>
      <c r="AG36" s="21">
        <f t="shared" si="33"/>
        <v>0</v>
      </c>
      <c r="AH36" s="21">
        <f t="shared" si="33"/>
        <v>0</v>
      </c>
      <c r="AI36" s="21">
        <f t="shared" si="33"/>
        <v>0</v>
      </c>
      <c r="AJ36" s="21">
        <f t="shared" si="33"/>
        <v>0</v>
      </c>
      <c r="AK36" s="21">
        <f t="shared" si="33"/>
        <v>0</v>
      </c>
      <c r="AL36" s="21">
        <f t="shared" si="33"/>
        <v>0</v>
      </c>
      <c r="AM36" s="21">
        <f t="shared" si="33"/>
        <v>0</v>
      </c>
      <c r="AN36" s="21">
        <f t="shared" si="33"/>
        <v>0</v>
      </c>
      <c r="AO36" s="21">
        <f>IF(AO$9&lt;$N36,0,IF($Q36=0,0,IF(AO$9=$N36,0, IF($Q36=INT(AO$9-$N36), $T36, 0))))</f>
        <v>0</v>
      </c>
      <c r="AP36" s="21">
        <f t="shared" ref="AP36:AS36" si="34">IF(AP$9&lt;$N36,0,IF($Q36=0,0,IF(AP$9=$N36,0, IF($Q36=INT(AP$9-$N36), $T36, 0))))</f>
        <v>0</v>
      </c>
      <c r="AQ36" s="21">
        <f t="shared" si="34"/>
        <v>0</v>
      </c>
      <c r="AR36" s="21">
        <f t="shared" si="34"/>
        <v>0</v>
      </c>
      <c r="AS36" s="21">
        <f t="shared" si="34"/>
        <v>0</v>
      </c>
      <c r="AT36" s="17">
        <f t="shared" si="2"/>
        <v>0</v>
      </c>
    </row>
    <row r="37" spans="2:46" x14ac:dyDescent="0.2">
      <c r="B37" s="723"/>
      <c r="C37" s="34" t="s">
        <v>81</v>
      </c>
      <c r="D37" s="34">
        <f>IF('Option A'!$E15="Yes", 'Option A'!G15,0)</f>
        <v>0</v>
      </c>
      <c r="E37" s="34">
        <f>IF('Option A'!$E15="Yes", 'Option A'!H15,0)</f>
        <v>0</v>
      </c>
      <c r="F37" s="344"/>
      <c r="G37" s="406"/>
      <c r="H37" s="407"/>
      <c r="I37" s="408">
        <v>0</v>
      </c>
      <c r="J37" s="369">
        <f>G37*I37</f>
        <v>0</v>
      </c>
      <c r="K37" s="365"/>
      <c r="L37" s="90"/>
      <c r="M37" s="13"/>
      <c r="N37" s="410">
        <v>0</v>
      </c>
      <c r="O37" s="132">
        <f>'Option A'!I14</f>
        <v>0</v>
      </c>
      <c r="P37" s="371"/>
      <c r="Q37" s="374">
        <f>ROUNDUP(O37, 0)</f>
        <v>0</v>
      </c>
      <c r="R37" s="412">
        <v>1</v>
      </c>
      <c r="S37" s="381"/>
      <c r="T37" s="383">
        <f>J37*R37</f>
        <v>0</v>
      </c>
      <c r="U37" s="21">
        <f t="shared" ref="U37:AS37" si="35">IF(U$9&lt;$N37,0,IF($Q37=0,0,IF(U$9=$N37,$T37,IF((U$9-$N37)/$Q37=INT((U$9-$N37)/$Q37),$T37,0))))</f>
        <v>0</v>
      </c>
      <c r="V37" s="21">
        <f t="shared" si="35"/>
        <v>0</v>
      </c>
      <c r="W37" s="21">
        <f t="shared" si="35"/>
        <v>0</v>
      </c>
      <c r="X37" s="21">
        <f t="shared" si="35"/>
        <v>0</v>
      </c>
      <c r="Y37" s="21">
        <f t="shared" si="35"/>
        <v>0</v>
      </c>
      <c r="Z37" s="21">
        <f t="shared" si="35"/>
        <v>0</v>
      </c>
      <c r="AA37" s="21">
        <f t="shared" si="35"/>
        <v>0</v>
      </c>
      <c r="AB37" s="21">
        <f t="shared" si="35"/>
        <v>0</v>
      </c>
      <c r="AC37" s="21">
        <f t="shared" si="35"/>
        <v>0</v>
      </c>
      <c r="AD37" s="21">
        <f t="shared" si="35"/>
        <v>0</v>
      </c>
      <c r="AE37" s="21">
        <f t="shared" si="35"/>
        <v>0</v>
      </c>
      <c r="AF37" s="21">
        <f t="shared" si="35"/>
        <v>0</v>
      </c>
      <c r="AG37" s="21">
        <f t="shared" si="35"/>
        <v>0</v>
      </c>
      <c r="AH37" s="21">
        <f t="shared" si="35"/>
        <v>0</v>
      </c>
      <c r="AI37" s="21">
        <f t="shared" si="35"/>
        <v>0</v>
      </c>
      <c r="AJ37" s="21">
        <f t="shared" si="35"/>
        <v>0</v>
      </c>
      <c r="AK37" s="21">
        <f t="shared" si="35"/>
        <v>0</v>
      </c>
      <c r="AL37" s="21">
        <f t="shared" si="35"/>
        <v>0</v>
      </c>
      <c r="AM37" s="21">
        <f t="shared" si="35"/>
        <v>0</v>
      </c>
      <c r="AN37" s="21">
        <f t="shared" si="35"/>
        <v>0</v>
      </c>
      <c r="AO37" s="21">
        <f t="shared" si="35"/>
        <v>0</v>
      </c>
      <c r="AP37" s="21">
        <f t="shared" si="35"/>
        <v>0</v>
      </c>
      <c r="AQ37" s="21">
        <f t="shared" si="35"/>
        <v>0</v>
      </c>
      <c r="AR37" s="21">
        <f t="shared" si="35"/>
        <v>0</v>
      </c>
      <c r="AS37" s="21">
        <f t="shared" si="35"/>
        <v>0</v>
      </c>
      <c r="AT37" s="17">
        <f t="shared" si="2"/>
        <v>0</v>
      </c>
    </row>
    <row r="38" spans="2:46" ht="12.75" thickBot="1" x14ac:dyDescent="0.25">
      <c r="B38" s="723"/>
      <c r="C38" s="34" t="s">
        <v>82</v>
      </c>
      <c r="D38" s="12"/>
      <c r="E38" s="88"/>
      <c r="F38" s="348"/>
      <c r="G38" s="355"/>
      <c r="H38" s="359"/>
      <c r="I38" s="363"/>
      <c r="J38" s="363"/>
      <c r="K38" s="350"/>
      <c r="L38" s="93"/>
      <c r="M38" s="91"/>
      <c r="N38" s="393"/>
      <c r="O38" s="92"/>
      <c r="P38" s="372"/>
      <c r="Q38" s="376"/>
      <c r="R38" s="379"/>
      <c r="S38" s="382"/>
      <c r="T38" s="384"/>
      <c r="U38" s="21">
        <f>U36-U37</f>
        <v>0</v>
      </c>
      <c r="V38" s="21">
        <f t="shared" ref="V38:AS38" si="36">V36-V37</f>
        <v>0</v>
      </c>
      <c r="W38" s="21">
        <f t="shared" si="36"/>
        <v>0</v>
      </c>
      <c r="X38" s="21">
        <f t="shared" si="36"/>
        <v>0</v>
      </c>
      <c r="Y38" s="21">
        <f t="shared" si="36"/>
        <v>0</v>
      </c>
      <c r="Z38" s="21">
        <f t="shared" si="36"/>
        <v>0</v>
      </c>
      <c r="AA38" s="21">
        <f t="shared" si="36"/>
        <v>0</v>
      </c>
      <c r="AB38" s="21">
        <f t="shared" si="36"/>
        <v>0</v>
      </c>
      <c r="AC38" s="21">
        <f t="shared" si="36"/>
        <v>0</v>
      </c>
      <c r="AD38" s="21">
        <f t="shared" si="36"/>
        <v>0</v>
      </c>
      <c r="AE38" s="21">
        <f t="shared" si="36"/>
        <v>0</v>
      </c>
      <c r="AF38" s="21">
        <f t="shared" si="36"/>
        <v>0</v>
      </c>
      <c r="AG38" s="21">
        <f t="shared" si="36"/>
        <v>0</v>
      </c>
      <c r="AH38" s="21">
        <f t="shared" si="36"/>
        <v>0</v>
      </c>
      <c r="AI38" s="21">
        <f t="shared" si="36"/>
        <v>0</v>
      </c>
      <c r="AJ38" s="21">
        <f t="shared" si="36"/>
        <v>0</v>
      </c>
      <c r="AK38" s="21">
        <f t="shared" si="36"/>
        <v>0</v>
      </c>
      <c r="AL38" s="21">
        <f t="shared" si="36"/>
        <v>0</v>
      </c>
      <c r="AM38" s="21">
        <f t="shared" si="36"/>
        <v>0</v>
      </c>
      <c r="AN38" s="21">
        <f t="shared" si="36"/>
        <v>0</v>
      </c>
      <c r="AO38" s="21">
        <f t="shared" si="36"/>
        <v>0</v>
      </c>
      <c r="AP38" s="21">
        <f t="shared" si="36"/>
        <v>0</v>
      </c>
      <c r="AQ38" s="21">
        <f t="shared" si="36"/>
        <v>0</v>
      </c>
      <c r="AR38" s="21">
        <f t="shared" si="36"/>
        <v>0</v>
      </c>
      <c r="AS38" s="21">
        <f t="shared" si="36"/>
        <v>0</v>
      </c>
      <c r="AT38" s="17">
        <f t="shared" si="2"/>
        <v>0</v>
      </c>
    </row>
    <row r="39" spans="2:46" ht="12.75" thickBot="1" x14ac:dyDescent="0.25">
      <c r="D39" s="12"/>
      <c r="E39" s="12" t="s">
        <v>28</v>
      </c>
      <c r="F39" s="99"/>
      <c r="G39" s="99"/>
      <c r="H39" s="14"/>
      <c r="I39" s="105"/>
      <c r="J39" s="107"/>
      <c r="K39" s="18"/>
      <c r="L39" s="15"/>
      <c r="M39" s="35"/>
      <c r="N39" s="19"/>
      <c r="O39" s="19"/>
      <c r="P39" s="19"/>
      <c r="Q39" s="20"/>
      <c r="R39" s="16"/>
      <c r="S39" s="80"/>
      <c r="T39" s="385">
        <f>R39*G39*L39</f>
        <v>0</v>
      </c>
      <c r="U39" s="21">
        <f t="shared" ref="U39:AS39" si="37">IF(U$9&lt;$N39,0,IF($Q39=0,0,IF(U$9=$N39,$T39,IF((U$9-$N39)/$Q39=INT((U$9-$N39)/$Q39),$T39,0))))</f>
        <v>0</v>
      </c>
      <c r="V39" s="21">
        <f t="shared" si="37"/>
        <v>0</v>
      </c>
      <c r="W39" s="21">
        <f t="shared" si="37"/>
        <v>0</v>
      </c>
      <c r="X39" s="21">
        <f t="shared" si="37"/>
        <v>0</v>
      </c>
      <c r="Y39" s="21">
        <f t="shared" si="37"/>
        <v>0</v>
      </c>
      <c r="Z39" s="21">
        <f t="shared" si="37"/>
        <v>0</v>
      </c>
      <c r="AA39" s="21">
        <f t="shared" si="37"/>
        <v>0</v>
      </c>
      <c r="AB39" s="21">
        <f t="shared" si="37"/>
        <v>0</v>
      </c>
      <c r="AC39" s="21">
        <f t="shared" si="37"/>
        <v>0</v>
      </c>
      <c r="AD39" s="21">
        <f t="shared" si="37"/>
        <v>0</v>
      </c>
      <c r="AE39" s="21">
        <f t="shared" si="37"/>
        <v>0</v>
      </c>
      <c r="AF39" s="21">
        <f t="shared" si="37"/>
        <v>0</v>
      </c>
      <c r="AG39" s="21">
        <f t="shared" si="37"/>
        <v>0</v>
      </c>
      <c r="AH39" s="21">
        <f t="shared" si="37"/>
        <v>0</v>
      </c>
      <c r="AI39" s="21">
        <f t="shared" si="37"/>
        <v>0</v>
      </c>
      <c r="AJ39" s="21">
        <f t="shared" si="37"/>
        <v>0</v>
      </c>
      <c r="AK39" s="21">
        <f t="shared" si="37"/>
        <v>0</v>
      </c>
      <c r="AL39" s="21">
        <f t="shared" si="37"/>
        <v>0</v>
      </c>
      <c r="AM39" s="21">
        <f t="shared" si="37"/>
        <v>0</v>
      </c>
      <c r="AN39" s="21">
        <f t="shared" si="37"/>
        <v>0</v>
      </c>
      <c r="AO39" s="21">
        <f t="shared" si="37"/>
        <v>0</v>
      </c>
      <c r="AP39" s="21">
        <f t="shared" si="37"/>
        <v>0</v>
      </c>
      <c r="AQ39" s="21">
        <f t="shared" si="37"/>
        <v>0</v>
      </c>
      <c r="AR39" s="21">
        <f t="shared" si="37"/>
        <v>0</v>
      </c>
      <c r="AS39" s="21">
        <f t="shared" si="37"/>
        <v>0</v>
      </c>
      <c r="AT39" s="17">
        <f t="shared" ref="AT39" si="38">SUM(U39:AS39)</f>
        <v>0</v>
      </c>
    </row>
    <row r="40" spans="2:46" ht="12.75" thickBot="1" x14ac:dyDescent="0.25"/>
    <row r="41" spans="2:46" ht="12.75" thickBot="1" x14ac:dyDescent="0.25">
      <c r="T41" s="103" t="s">
        <v>63</v>
      </c>
      <c r="U41" s="22">
        <f>U14+U17+U20+U23+U26+U29+U32+U35+U38</f>
        <v>0</v>
      </c>
      <c r="V41" s="22">
        <f t="shared" ref="V41:AT41" si="39">V14+V17+V20+V23+V26+V29+V32+V35+V38</f>
        <v>0</v>
      </c>
      <c r="W41" s="22">
        <f t="shared" si="39"/>
        <v>0</v>
      </c>
      <c r="X41" s="22">
        <f t="shared" si="39"/>
        <v>0</v>
      </c>
      <c r="Y41" s="22">
        <f t="shared" si="39"/>
        <v>0</v>
      </c>
      <c r="Z41" s="22">
        <f t="shared" si="39"/>
        <v>0</v>
      </c>
      <c r="AA41" s="22">
        <f t="shared" si="39"/>
        <v>0</v>
      </c>
      <c r="AB41" s="22">
        <f t="shared" si="39"/>
        <v>0</v>
      </c>
      <c r="AC41" s="22">
        <f t="shared" si="39"/>
        <v>0</v>
      </c>
      <c r="AD41" s="22">
        <f t="shared" si="39"/>
        <v>0</v>
      </c>
      <c r="AE41" s="22">
        <f t="shared" si="39"/>
        <v>0</v>
      </c>
      <c r="AF41" s="22">
        <f t="shared" si="39"/>
        <v>0</v>
      </c>
      <c r="AG41" s="22">
        <f t="shared" si="39"/>
        <v>0</v>
      </c>
      <c r="AH41" s="22">
        <f t="shared" si="39"/>
        <v>0</v>
      </c>
      <c r="AI41" s="22">
        <f t="shared" si="39"/>
        <v>0</v>
      </c>
      <c r="AJ41" s="22">
        <f t="shared" si="39"/>
        <v>0</v>
      </c>
      <c r="AK41" s="22">
        <f t="shared" si="39"/>
        <v>0</v>
      </c>
      <c r="AL41" s="22">
        <f t="shared" si="39"/>
        <v>0</v>
      </c>
      <c r="AM41" s="22">
        <f t="shared" si="39"/>
        <v>0</v>
      </c>
      <c r="AN41" s="22">
        <f t="shared" si="39"/>
        <v>0</v>
      </c>
      <c r="AO41" s="22">
        <f t="shared" si="39"/>
        <v>0</v>
      </c>
      <c r="AP41" s="22">
        <f t="shared" si="39"/>
        <v>0</v>
      </c>
      <c r="AQ41" s="22">
        <f t="shared" si="39"/>
        <v>0</v>
      </c>
      <c r="AR41" s="22">
        <f t="shared" si="39"/>
        <v>0</v>
      </c>
      <c r="AS41" s="22">
        <f t="shared" si="39"/>
        <v>0</v>
      </c>
      <c r="AT41" s="22">
        <f t="shared" si="39"/>
        <v>0</v>
      </c>
    </row>
  </sheetData>
  <sheetProtection algorithmName="SHA-512" hashValue="eI68SxQhggzDYIZqjsok3aOQtLTJPp4Le8ujfhNFI91BaAJ0z3jeSM6S28x3whwuoIsa1iXKppFiYWCisspegQ==" saltValue="4ZxkAo0MMPFhDV2FYnR/wQ==" spinCount="100000" sheet="1" formatCells="0" formatColumns="0" formatRows="0" insertColumns="0" insertRows="0" insertHyperlinks="0" deleteColumns="0" deleteRows="0" autoFilter="0" pivotTables="0"/>
  <protectedRanges>
    <protectedRange sqref="G13:I13 G16:I16 G19:I19 G22:I22 G25:I25 G28:I28 G31:I31 G34:I34 G37:I37 N12:N37 R12:R37" name="Range1"/>
  </protectedRanges>
  <autoFilter ref="D11:AT39" xr:uid="{84E8E926-F5A3-4965-BBDE-68BE248D23AE}"/>
  <mergeCells count="19">
    <mergeCell ref="B12:B14"/>
    <mergeCell ref="N8:T8"/>
    <mergeCell ref="N9:N10"/>
    <mergeCell ref="Q9:Q10"/>
    <mergeCell ref="R9:R10"/>
    <mergeCell ref="T9:T10"/>
    <mergeCell ref="B33:B35"/>
    <mergeCell ref="B36:B38"/>
    <mergeCell ref="B15:B17"/>
    <mergeCell ref="B18:B20"/>
    <mergeCell ref="B21:B23"/>
    <mergeCell ref="B24:B26"/>
    <mergeCell ref="B27:B29"/>
    <mergeCell ref="B30:B32"/>
    <mergeCell ref="B4:H4"/>
    <mergeCell ref="J9:J10"/>
    <mergeCell ref="I9:I10"/>
    <mergeCell ref="H9:H10"/>
    <mergeCell ref="G9:G10"/>
  </mergeCells>
  <printOptions horizontalCentered="1"/>
  <pageMargins left="0.31496062992125984" right="0.31496062992125984" top="0.35433070866141736" bottom="0.74803149606299213" header="0.31496062992125984" footer="0.31496062992125984"/>
  <pageSetup paperSize="9" scale="3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7306-0ECA-4249-A3A0-0830BB59D5C2}">
  <sheetPr>
    <tabColor rgb="FF0000CC"/>
  </sheetPr>
  <dimension ref="C1:AJ78"/>
  <sheetViews>
    <sheetView showGridLines="0" zoomScale="70" zoomScaleNormal="70" workbookViewId="0">
      <selection activeCell="G9" sqref="G9"/>
    </sheetView>
  </sheetViews>
  <sheetFormatPr defaultColWidth="8.7109375" defaultRowHeight="15.75" x14ac:dyDescent="0.2"/>
  <cols>
    <col min="1" max="2" width="8.7109375" style="273"/>
    <col min="3" max="3" width="5.140625" style="273" customWidth="1"/>
    <col min="4" max="4" width="35.28515625" style="274" customWidth="1"/>
    <col min="5" max="5" width="17.5703125" style="273" customWidth="1"/>
    <col min="6" max="6" width="13.42578125" style="273" customWidth="1"/>
    <col min="7" max="7" width="12.42578125" style="273" customWidth="1"/>
    <col min="8" max="8" width="11.7109375" style="273" customWidth="1"/>
    <col min="9" max="9" width="33" style="273" customWidth="1"/>
    <col min="10" max="10" width="18.85546875" style="273" bestFit="1" customWidth="1"/>
    <col min="11" max="11" width="10.42578125" style="273" customWidth="1"/>
    <col min="12" max="12" width="25.140625" style="273" bestFit="1" customWidth="1"/>
    <col min="13" max="13" width="9.5703125" style="273" bestFit="1" customWidth="1"/>
    <col min="14" max="14" width="25.140625" style="273" bestFit="1" customWidth="1"/>
    <col min="15" max="18" width="9.5703125" style="273" bestFit="1" customWidth="1"/>
    <col min="19" max="16384" width="8.7109375" style="273"/>
  </cols>
  <sheetData>
    <row r="1" spans="3:36" ht="16.5" thickBot="1" x14ac:dyDescent="0.25"/>
    <row r="2" spans="3:36" s="280" customFormat="1" x14ac:dyDescent="0.2">
      <c r="C2" s="275" t="s">
        <v>512</v>
      </c>
      <c r="D2" s="276"/>
      <c r="E2" s="276"/>
      <c r="F2" s="276"/>
      <c r="G2" s="276"/>
      <c r="H2" s="276"/>
      <c r="I2" s="276"/>
      <c r="J2" s="277"/>
      <c r="K2" s="277"/>
      <c r="L2" s="277"/>
      <c r="M2" s="277"/>
      <c r="N2" s="277"/>
      <c r="O2" s="277"/>
      <c r="P2" s="277"/>
      <c r="Q2" s="277"/>
      <c r="R2" s="277"/>
      <c r="S2" s="277"/>
      <c r="T2" s="277"/>
      <c r="U2" s="278"/>
      <c r="V2" s="279"/>
      <c r="W2" s="279"/>
      <c r="X2" s="279"/>
      <c r="Y2" s="279"/>
      <c r="Z2" s="279"/>
      <c r="AA2" s="279"/>
      <c r="AB2" s="279"/>
      <c r="AC2" s="279"/>
      <c r="AD2" s="279"/>
      <c r="AE2" s="279"/>
      <c r="AF2" s="279"/>
      <c r="AG2" s="279"/>
      <c r="AH2" s="279"/>
      <c r="AI2" s="279"/>
      <c r="AJ2" s="279"/>
    </row>
    <row r="3" spans="3:36" s="280" customFormat="1" x14ac:dyDescent="0.2">
      <c r="C3" s="281" t="s">
        <v>4</v>
      </c>
      <c r="D3" s="282"/>
      <c r="E3" s="282"/>
      <c r="F3" s="282"/>
      <c r="G3" s="282"/>
      <c r="H3" s="282"/>
      <c r="I3" s="282"/>
      <c r="J3" s="283"/>
      <c r="K3" s="283"/>
      <c r="L3" s="283"/>
      <c r="M3" s="283"/>
      <c r="N3" s="283"/>
      <c r="O3" s="283"/>
      <c r="P3" s="283"/>
      <c r="Q3" s="283"/>
      <c r="R3" s="283"/>
      <c r="S3" s="283"/>
      <c r="T3" s="283"/>
      <c r="U3" s="284"/>
      <c r="V3" s="279"/>
      <c r="W3" s="279"/>
      <c r="X3" s="279"/>
      <c r="Y3" s="279"/>
      <c r="Z3" s="279"/>
      <c r="AA3" s="279"/>
      <c r="AB3" s="279"/>
      <c r="AC3" s="279"/>
      <c r="AD3" s="279"/>
      <c r="AE3" s="279"/>
      <c r="AF3" s="279"/>
      <c r="AG3" s="279"/>
      <c r="AH3" s="279"/>
      <c r="AI3" s="279"/>
      <c r="AJ3" s="279"/>
    </row>
    <row r="4" spans="3:36" s="280" customFormat="1" x14ac:dyDescent="0.2">
      <c r="C4" s="281" t="s">
        <v>83</v>
      </c>
      <c r="D4" s="285"/>
      <c r="E4" s="285"/>
      <c r="F4" s="285"/>
      <c r="G4" s="285"/>
      <c r="H4" s="271" t="s">
        <v>1</v>
      </c>
      <c r="I4" s="272" t="str">
        <f>'Project Data Input'!H5</f>
        <v xml:space="preserve"> </v>
      </c>
      <c r="J4" s="283"/>
      <c r="K4" s="283"/>
      <c r="L4" s="283"/>
      <c r="M4" s="283"/>
      <c r="N4" s="283"/>
      <c r="O4" s="283"/>
      <c r="P4" s="283"/>
      <c r="Q4" s="283"/>
      <c r="R4" s="283"/>
      <c r="S4" s="283"/>
      <c r="T4" s="283"/>
      <c r="U4" s="284"/>
      <c r="V4" s="279"/>
      <c r="W4" s="279"/>
      <c r="X4" s="279"/>
      <c r="Y4" s="279"/>
      <c r="Z4" s="279"/>
      <c r="AA4" s="279"/>
      <c r="AB4" s="279"/>
      <c r="AC4" s="279"/>
      <c r="AD4" s="279"/>
      <c r="AE4" s="279"/>
      <c r="AF4" s="279"/>
      <c r="AG4" s="279"/>
      <c r="AH4" s="279"/>
      <c r="AI4" s="279"/>
      <c r="AJ4" s="279"/>
    </row>
    <row r="5" spans="3:36" s="280" customFormat="1" x14ac:dyDescent="0.2">
      <c r="C5" s="281"/>
      <c r="D5" s="285"/>
      <c r="E5" s="285"/>
      <c r="F5" s="285"/>
      <c r="G5" s="285"/>
      <c r="H5" s="271" t="s">
        <v>0</v>
      </c>
      <c r="I5" s="285" t="str">
        <f>'Project Data Input'!H6</f>
        <v xml:space="preserve"> </v>
      </c>
      <c r="J5" s="283"/>
      <c r="K5" s="283"/>
      <c r="L5" s="283"/>
      <c r="M5" s="283"/>
      <c r="N5" s="283"/>
      <c r="O5" s="283"/>
      <c r="P5" s="283"/>
      <c r="Q5" s="283"/>
      <c r="R5" s="283"/>
      <c r="S5" s="283"/>
      <c r="T5" s="283"/>
      <c r="U5" s="284"/>
      <c r="V5" s="279"/>
      <c r="W5" s="279"/>
      <c r="X5" s="279"/>
      <c r="Y5" s="279"/>
      <c r="Z5" s="279"/>
      <c r="AA5" s="279"/>
      <c r="AB5" s="279"/>
      <c r="AC5" s="279"/>
      <c r="AD5" s="279"/>
      <c r="AE5" s="279"/>
      <c r="AF5" s="279"/>
      <c r="AG5" s="279"/>
      <c r="AH5" s="279"/>
      <c r="AI5" s="279"/>
      <c r="AJ5" s="279"/>
    </row>
    <row r="6" spans="3:36" s="280" customFormat="1" ht="16.5" thickBot="1" x14ac:dyDescent="0.25">
      <c r="C6" s="281"/>
      <c r="D6" s="285"/>
      <c r="E6" s="285"/>
      <c r="F6" s="285"/>
      <c r="G6" s="285"/>
      <c r="H6" s="271"/>
      <c r="I6" s="271"/>
      <c r="J6" s="283"/>
      <c r="K6" s="283"/>
      <c r="L6" s="283"/>
      <c r="M6" s="283"/>
      <c r="N6" s="283"/>
      <c r="O6" s="283"/>
      <c r="P6" s="283"/>
      <c r="Q6" s="283"/>
      <c r="R6" s="283"/>
      <c r="S6" s="283"/>
      <c r="T6" s="283"/>
      <c r="U6" s="284"/>
      <c r="V6" s="279"/>
      <c r="W6" s="279"/>
      <c r="X6" s="279"/>
      <c r="Y6" s="279"/>
      <c r="Z6" s="279"/>
      <c r="AA6" s="279"/>
      <c r="AB6" s="279"/>
      <c r="AC6" s="279"/>
      <c r="AD6" s="279"/>
      <c r="AE6" s="279"/>
      <c r="AF6" s="279"/>
      <c r="AG6" s="279"/>
      <c r="AH6" s="279"/>
      <c r="AI6" s="279"/>
      <c r="AJ6" s="279"/>
    </row>
    <row r="7" spans="3:36" ht="16.5" thickBot="1" x14ac:dyDescent="0.25">
      <c r="C7" s="298"/>
      <c r="D7" s="299"/>
      <c r="E7" s="300"/>
      <c r="F7" s="300"/>
      <c r="G7" s="300"/>
      <c r="H7" s="300"/>
      <c r="I7" s="300"/>
      <c r="J7" s="300"/>
      <c r="K7" s="300"/>
      <c r="L7" s="300"/>
      <c r="M7" s="300"/>
      <c r="N7" s="300"/>
      <c r="O7" s="300"/>
      <c r="P7" s="300"/>
      <c r="Q7" s="300"/>
      <c r="R7" s="300"/>
      <c r="S7" s="300"/>
      <c r="T7" s="300"/>
      <c r="U7" s="301"/>
    </row>
    <row r="8" spans="3:36" ht="16.5" thickBot="1" x14ac:dyDescent="0.25">
      <c r="C8" s="740" t="s">
        <v>80</v>
      </c>
      <c r="D8" s="741"/>
      <c r="E8" s="742"/>
      <c r="F8" s="318" t="s">
        <v>84</v>
      </c>
      <c r="G8" s="316" t="s">
        <v>85</v>
      </c>
      <c r="H8" s="317" t="s">
        <v>86</v>
      </c>
      <c r="I8" s="288"/>
      <c r="J8" s="288"/>
      <c r="K8" s="288"/>
      <c r="L8" s="288"/>
      <c r="M8" s="288"/>
      <c r="N8" s="288"/>
      <c r="O8" s="288"/>
      <c r="P8" s="288"/>
      <c r="Q8" s="288"/>
      <c r="R8" s="288"/>
      <c r="S8" s="288"/>
      <c r="T8" s="288"/>
      <c r="U8" s="289"/>
    </row>
    <row r="9" spans="3:36" x14ac:dyDescent="0.2">
      <c r="C9" s="312">
        <f>'ECM Options Data'!B14</f>
        <v>1</v>
      </c>
      <c r="D9" s="748" t="str">
        <f>'ECM Options Data'!C14</f>
        <v xml:space="preserve"> </v>
      </c>
      <c r="E9" s="749"/>
      <c r="F9" s="319" t="s">
        <v>497</v>
      </c>
      <c r="G9" s="313" t="s">
        <v>498</v>
      </c>
      <c r="H9" s="314" t="s">
        <v>497</v>
      </c>
      <c r="I9" s="288"/>
      <c r="J9" s="288"/>
      <c r="K9" s="288"/>
      <c r="L9" s="288"/>
      <c r="M9" s="288"/>
      <c r="N9" s="288"/>
      <c r="O9" s="288"/>
      <c r="P9" s="288"/>
      <c r="Q9" s="288"/>
      <c r="R9" s="288"/>
      <c r="S9" s="288"/>
      <c r="T9" s="288"/>
      <c r="U9" s="289"/>
    </row>
    <row r="10" spans="3:36" ht="15.75" customHeight="1" x14ac:dyDescent="0.2">
      <c r="C10" s="307">
        <f>'ECM Options Data'!B15</f>
        <v>2</v>
      </c>
      <c r="D10" s="747" t="str">
        <f>'ECM Options Data'!C15</f>
        <v xml:space="preserve"> </v>
      </c>
      <c r="E10" s="739"/>
      <c r="F10" s="320" t="s">
        <v>497</v>
      </c>
      <c r="G10" s="302" t="s">
        <v>497</v>
      </c>
      <c r="H10" s="308" t="s">
        <v>498</v>
      </c>
      <c r="I10" s="288"/>
      <c r="J10" s="288"/>
      <c r="K10" s="288"/>
      <c r="L10" s="288"/>
      <c r="M10" s="288"/>
      <c r="N10" s="288"/>
      <c r="O10" s="288"/>
      <c r="P10" s="288"/>
      <c r="Q10" s="288"/>
      <c r="R10" s="288"/>
      <c r="S10" s="288"/>
      <c r="T10" s="288"/>
      <c r="U10" s="289"/>
    </row>
    <row r="11" spans="3:36" x14ac:dyDescent="0.2">
      <c r="C11" s="307">
        <f>'ECM Options Data'!B16</f>
        <v>3</v>
      </c>
      <c r="D11" s="747" t="str">
        <f>'ECM Options Data'!C16</f>
        <v xml:space="preserve"> </v>
      </c>
      <c r="E11" s="739"/>
      <c r="F11" s="320" t="s">
        <v>497</v>
      </c>
      <c r="G11" s="302" t="s">
        <v>497</v>
      </c>
      <c r="H11" s="308" t="s">
        <v>498</v>
      </c>
      <c r="I11" s="288"/>
      <c r="J11" s="288"/>
      <c r="K11" s="288"/>
      <c r="L11" s="288"/>
      <c r="M11" s="288"/>
      <c r="N11" s="288"/>
      <c r="O11" s="288"/>
      <c r="P11" s="288"/>
      <c r="Q11" s="288"/>
      <c r="R11" s="288"/>
      <c r="S11" s="288"/>
      <c r="T11" s="288"/>
      <c r="U11" s="289"/>
    </row>
    <row r="12" spans="3:36" x14ac:dyDescent="0.2">
      <c r="C12" s="307">
        <f>'ECM Options Data'!B17</f>
        <v>4</v>
      </c>
      <c r="D12" s="747" t="str">
        <f>'ECM Options Data'!C17</f>
        <v xml:space="preserve"> </v>
      </c>
      <c r="E12" s="739"/>
      <c r="F12" s="320" t="s">
        <v>497</v>
      </c>
      <c r="G12" s="302" t="s">
        <v>497</v>
      </c>
      <c r="H12" s="308" t="s">
        <v>498</v>
      </c>
      <c r="I12" s="288"/>
      <c r="J12" s="288"/>
      <c r="K12" s="288"/>
      <c r="L12" s="288"/>
      <c r="M12" s="288"/>
      <c r="N12" s="288"/>
      <c r="O12" s="288"/>
      <c r="P12" s="288"/>
      <c r="Q12" s="288"/>
      <c r="R12" s="288"/>
      <c r="S12" s="288"/>
      <c r="T12" s="288"/>
      <c r="U12" s="289"/>
    </row>
    <row r="13" spans="3:36" x14ac:dyDescent="0.2">
      <c r="C13" s="307">
        <f>'ECM Options Data'!B18</f>
        <v>5</v>
      </c>
      <c r="D13" s="747" t="str">
        <f>'ECM Options Data'!C18</f>
        <v xml:space="preserve"> </v>
      </c>
      <c r="E13" s="739"/>
      <c r="F13" s="320" t="s">
        <v>497</v>
      </c>
      <c r="G13" s="302" t="s">
        <v>497</v>
      </c>
      <c r="H13" s="308" t="s">
        <v>498</v>
      </c>
      <c r="I13" s="288"/>
      <c r="J13" s="288"/>
      <c r="K13" s="288"/>
      <c r="L13" s="288"/>
      <c r="M13" s="288"/>
      <c r="N13" s="288"/>
      <c r="O13" s="288"/>
      <c r="P13" s="288"/>
      <c r="Q13" s="288"/>
      <c r="R13" s="288"/>
      <c r="S13" s="288"/>
      <c r="T13" s="288"/>
      <c r="U13" s="289"/>
    </row>
    <row r="14" spans="3:36" x14ac:dyDescent="0.2">
      <c r="C14" s="307">
        <f>'ECM Options Data'!B19</f>
        <v>6</v>
      </c>
      <c r="D14" s="747" t="str">
        <f>'ECM Options Data'!C19</f>
        <v xml:space="preserve"> </v>
      </c>
      <c r="E14" s="739"/>
      <c r="F14" s="320" t="s">
        <v>497</v>
      </c>
      <c r="G14" s="302" t="s">
        <v>497</v>
      </c>
      <c r="H14" s="308" t="s">
        <v>498</v>
      </c>
      <c r="I14" s="288"/>
      <c r="J14" s="288"/>
      <c r="K14" s="288"/>
      <c r="L14" s="288"/>
      <c r="M14" s="288"/>
      <c r="N14" s="288"/>
      <c r="O14" s="288"/>
      <c r="P14" s="288"/>
      <c r="Q14" s="288"/>
      <c r="R14" s="288"/>
      <c r="S14" s="288"/>
      <c r="T14" s="288"/>
      <c r="U14" s="289"/>
    </row>
    <row r="15" spans="3:36" x14ac:dyDescent="0.2">
      <c r="C15" s="307">
        <f>'ECM Options Data'!B20</f>
        <v>7</v>
      </c>
      <c r="D15" s="747" t="str">
        <f>'ECM Options Data'!C20</f>
        <v xml:space="preserve"> </v>
      </c>
      <c r="E15" s="739"/>
      <c r="F15" s="320" t="s">
        <v>497</v>
      </c>
      <c r="G15" s="302" t="s">
        <v>497</v>
      </c>
      <c r="H15" s="308" t="s">
        <v>498</v>
      </c>
      <c r="I15" s="288"/>
      <c r="J15" s="288"/>
      <c r="K15" s="288"/>
      <c r="L15" s="288"/>
      <c r="M15" s="288"/>
      <c r="N15" s="288"/>
      <c r="O15" s="288"/>
      <c r="P15" s="288"/>
      <c r="Q15" s="288"/>
      <c r="R15" s="288"/>
      <c r="S15" s="288"/>
      <c r="T15" s="288"/>
      <c r="U15" s="289"/>
    </row>
    <row r="16" spans="3:36" x14ac:dyDescent="0.2">
      <c r="C16" s="307">
        <f>'ECM Options Data'!B21</f>
        <v>8</v>
      </c>
      <c r="D16" s="745" t="str">
        <f>'ECM Options Data'!C21</f>
        <v xml:space="preserve"> </v>
      </c>
      <c r="E16" s="746"/>
      <c r="F16" s="320" t="s">
        <v>497</v>
      </c>
      <c r="G16" s="302" t="s">
        <v>497</v>
      </c>
      <c r="H16" s="308" t="s">
        <v>498</v>
      </c>
      <c r="I16" s="288"/>
      <c r="J16" s="288"/>
      <c r="K16" s="288"/>
      <c r="L16" s="288"/>
      <c r="M16" s="288"/>
      <c r="N16" s="288"/>
      <c r="O16" s="288"/>
      <c r="P16" s="288"/>
      <c r="Q16" s="288"/>
      <c r="R16" s="288"/>
      <c r="S16" s="288"/>
      <c r="T16" s="288"/>
      <c r="U16" s="289"/>
    </row>
    <row r="17" spans="3:21" ht="16.5" thickBot="1" x14ac:dyDescent="0.25">
      <c r="C17" s="309">
        <f>'ECM Options Data'!B22</f>
        <v>9</v>
      </c>
      <c r="D17" s="743" t="str">
        <f>'ECM Options Data'!C22</f>
        <v xml:space="preserve"> </v>
      </c>
      <c r="E17" s="744"/>
      <c r="F17" s="321" t="s">
        <v>497</v>
      </c>
      <c r="G17" s="310" t="s">
        <v>497</v>
      </c>
      <c r="H17" s="311" t="s">
        <v>498</v>
      </c>
      <c r="I17" s="288"/>
      <c r="J17" s="288"/>
      <c r="K17" s="288"/>
      <c r="L17" s="288"/>
      <c r="M17" s="288"/>
      <c r="N17" s="288"/>
      <c r="O17" s="288"/>
      <c r="P17" s="288"/>
      <c r="Q17" s="288"/>
      <c r="R17" s="288"/>
      <c r="S17" s="288"/>
      <c r="T17" s="288"/>
      <c r="U17" s="289"/>
    </row>
    <row r="18" spans="3:21" ht="16.5" thickBot="1" x14ac:dyDescent="0.25">
      <c r="C18" s="290"/>
      <c r="D18" s="291"/>
      <c r="E18" s="292"/>
      <c r="F18" s="270"/>
      <c r="G18" s="270"/>
      <c r="H18" s="270"/>
      <c r="I18" s="288"/>
      <c r="J18" s="288"/>
      <c r="K18" s="288"/>
      <c r="L18" s="288"/>
      <c r="M18" s="288"/>
      <c r="N18" s="288"/>
      <c r="O18" s="288"/>
      <c r="P18" s="288"/>
      <c r="Q18" s="288"/>
      <c r="R18" s="288"/>
      <c r="S18" s="288"/>
      <c r="T18" s="288"/>
      <c r="U18" s="289"/>
    </row>
    <row r="19" spans="3:21" ht="16.5" thickBot="1" x14ac:dyDescent="0.25">
      <c r="C19" s="290"/>
      <c r="D19" s="733" t="s">
        <v>501</v>
      </c>
      <c r="E19" s="734"/>
      <c r="F19" s="318" t="s">
        <v>84</v>
      </c>
      <c r="G19" s="316" t="s">
        <v>85</v>
      </c>
      <c r="H19" s="317" t="s">
        <v>86</v>
      </c>
      <c r="I19" s="288"/>
      <c r="J19" s="288"/>
      <c r="K19" s="288"/>
      <c r="L19" s="288"/>
      <c r="M19" s="288"/>
      <c r="N19" s="288"/>
      <c r="O19" s="288"/>
      <c r="P19" s="288"/>
      <c r="Q19" s="288"/>
      <c r="R19" s="288"/>
      <c r="S19" s="288"/>
      <c r="T19" s="288"/>
      <c r="U19" s="289"/>
    </row>
    <row r="20" spans="3:21" x14ac:dyDescent="0.2">
      <c r="C20" s="290"/>
      <c r="D20" s="752" t="s">
        <v>87</v>
      </c>
      <c r="E20" s="753"/>
      <c r="F20" s="319" t="s">
        <v>88</v>
      </c>
      <c r="G20" s="313" t="s">
        <v>88</v>
      </c>
      <c r="H20" s="314" t="s">
        <v>88</v>
      </c>
      <c r="I20" s="288"/>
      <c r="J20" s="288"/>
      <c r="K20" s="288"/>
      <c r="L20" s="288"/>
      <c r="M20" s="288"/>
      <c r="N20" s="288"/>
      <c r="O20" s="288"/>
      <c r="P20" s="288"/>
      <c r="Q20" s="288"/>
      <c r="R20" s="288"/>
      <c r="S20" s="288"/>
      <c r="T20" s="288"/>
      <c r="U20" s="289"/>
    </row>
    <row r="21" spans="3:21" x14ac:dyDescent="0.2">
      <c r="C21" s="290"/>
      <c r="D21" s="738" t="s">
        <v>90</v>
      </c>
      <c r="E21" s="739"/>
      <c r="F21" s="325">
        <v>0</v>
      </c>
      <c r="G21" s="303">
        <v>0</v>
      </c>
      <c r="H21" s="322">
        <v>0</v>
      </c>
      <c r="I21" s="288"/>
      <c r="J21" s="288"/>
      <c r="K21" s="288"/>
      <c r="L21" s="288"/>
      <c r="M21" s="288"/>
      <c r="N21" s="288"/>
      <c r="O21" s="288"/>
      <c r="P21" s="288"/>
      <c r="Q21" s="288"/>
      <c r="R21" s="288"/>
      <c r="S21" s="288"/>
      <c r="T21" s="288"/>
      <c r="U21" s="289"/>
    </row>
    <row r="22" spans="3:21" ht="16.5" thickBot="1" x14ac:dyDescent="0.25">
      <c r="C22" s="290"/>
      <c r="D22" s="750" t="s">
        <v>91</v>
      </c>
      <c r="E22" s="751"/>
      <c r="F22" s="326">
        <v>0</v>
      </c>
      <c r="G22" s="323">
        <v>0</v>
      </c>
      <c r="H22" s="324">
        <v>0</v>
      </c>
      <c r="I22" s="288"/>
      <c r="J22" s="288"/>
      <c r="K22" s="288"/>
      <c r="L22" s="288"/>
      <c r="M22" s="288"/>
      <c r="N22" s="288"/>
      <c r="O22" s="288"/>
      <c r="P22" s="288"/>
      <c r="Q22" s="288"/>
      <c r="R22" s="288"/>
      <c r="S22" s="288"/>
      <c r="T22" s="288"/>
      <c r="U22" s="289"/>
    </row>
    <row r="23" spans="3:21" x14ac:dyDescent="0.2">
      <c r="C23" s="286"/>
      <c r="D23" s="288"/>
      <c r="E23" s="288"/>
      <c r="F23" s="288"/>
      <c r="G23" s="288"/>
      <c r="H23" s="288"/>
      <c r="I23" s="288"/>
      <c r="J23" s="288"/>
      <c r="K23" s="288"/>
      <c r="L23" s="288"/>
      <c r="M23" s="288"/>
      <c r="N23" s="288"/>
      <c r="O23" s="288"/>
      <c r="P23" s="288"/>
      <c r="Q23" s="288"/>
      <c r="R23" s="288"/>
      <c r="S23" s="288"/>
      <c r="T23" s="288"/>
      <c r="U23" s="289"/>
    </row>
    <row r="24" spans="3:21" x14ac:dyDescent="0.2">
      <c r="C24" s="286"/>
      <c r="D24" s="288"/>
      <c r="E24" s="288"/>
      <c r="F24" s="288"/>
      <c r="G24" s="288"/>
      <c r="H24" s="288"/>
      <c r="I24" s="288"/>
      <c r="J24" s="288"/>
      <c r="K24" s="288"/>
      <c r="L24" s="288"/>
      <c r="M24" s="288"/>
      <c r="N24" s="288"/>
      <c r="O24" s="288"/>
      <c r="P24" s="288"/>
      <c r="Q24" s="288"/>
      <c r="R24" s="288"/>
      <c r="S24" s="288"/>
      <c r="T24" s="288"/>
      <c r="U24" s="289"/>
    </row>
    <row r="25" spans="3:21" x14ac:dyDescent="0.2">
      <c r="C25" s="290"/>
      <c r="D25" s="291"/>
      <c r="E25" s="292"/>
      <c r="F25" s="292"/>
      <c r="G25" s="292"/>
      <c r="H25" s="292"/>
      <c r="I25" s="288"/>
      <c r="J25" s="288"/>
      <c r="K25" s="288"/>
      <c r="L25" s="288"/>
      <c r="M25" s="288"/>
      <c r="N25" s="288"/>
      <c r="O25" s="288"/>
      <c r="P25" s="288"/>
      <c r="Q25" s="288"/>
      <c r="R25" s="288"/>
      <c r="S25" s="288"/>
      <c r="T25" s="288"/>
      <c r="U25" s="289"/>
    </row>
    <row r="26" spans="3:21" x14ac:dyDescent="0.2">
      <c r="C26" s="286"/>
      <c r="D26" s="287"/>
      <c r="E26" s="288"/>
      <c r="F26" s="288"/>
      <c r="G26" s="288"/>
      <c r="H26" s="288"/>
      <c r="I26" s="288"/>
      <c r="J26" s="288"/>
      <c r="K26" s="288"/>
      <c r="L26" s="288"/>
      <c r="M26" s="288"/>
      <c r="N26" s="288"/>
      <c r="O26" s="288"/>
      <c r="P26" s="288"/>
      <c r="Q26" s="288"/>
      <c r="R26" s="288"/>
      <c r="S26" s="288"/>
      <c r="T26" s="288"/>
      <c r="U26" s="289"/>
    </row>
    <row r="27" spans="3:21" x14ac:dyDescent="0.2">
      <c r="C27" s="286"/>
      <c r="D27" s="287"/>
      <c r="E27" s="288"/>
      <c r="F27" s="288"/>
      <c r="G27" s="288"/>
      <c r="H27" s="288"/>
      <c r="I27" s="288"/>
      <c r="J27" s="288"/>
      <c r="K27" s="288"/>
      <c r="L27" s="288"/>
      <c r="M27" s="288"/>
      <c r="N27" s="288"/>
      <c r="O27" s="288"/>
      <c r="P27" s="288"/>
      <c r="Q27" s="288"/>
      <c r="R27" s="288"/>
      <c r="S27" s="288"/>
      <c r="T27" s="288"/>
      <c r="U27" s="289"/>
    </row>
    <row r="28" spans="3:21" x14ac:dyDescent="0.2">
      <c r="C28" s="286"/>
      <c r="D28" s="287"/>
      <c r="E28" s="288"/>
      <c r="F28" s="288"/>
      <c r="G28" s="288"/>
      <c r="H28" s="288"/>
      <c r="I28" s="288"/>
      <c r="J28" s="288"/>
      <c r="K28" s="288"/>
      <c r="L28" s="288"/>
      <c r="M28" s="288"/>
      <c r="N28" s="288"/>
      <c r="O28" s="288"/>
      <c r="P28" s="288"/>
      <c r="Q28" s="288"/>
      <c r="R28" s="288"/>
      <c r="S28" s="288"/>
      <c r="T28" s="288"/>
      <c r="U28" s="289"/>
    </row>
    <row r="29" spans="3:21" ht="16.5" thickBot="1" x14ac:dyDescent="0.25">
      <c r="C29" s="286"/>
      <c r="D29" s="287"/>
      <c r="E29" s="288"/>
      <c r="F29" s="288"/>
      <c r="G29" s="288"/>
      <c r="H29" s="288"/>
      <c r="I29" s="288"/>
      <c r="J29" s="288"/>
      <c r="K29" s="288"/>
      <c r="L29" s="288"/>
      <c r="M29" s="288"/>
      <c r="N29" s="288"/>
      <c r="O29" s="288"/>
      <c r="P29" s="288"/>
      <c r="Q29" s="288"/>
      <c r="R29" s="288"/>
      <c r="S29" s="288"/>
      <c r="T29" s="288"/>
      <c r="U29" s="289"/>
    </row>
    <row r="30" spans="3:21" ht="16.5" thickBot="1" x14ac:dyDescent="0.25">
      <c r="C30" s="286"/>
      <c r="D30" s="735" t="s">
        <v>92</v>
      </c>
      <c r="E30" s="736"/>
      <c r="F30" s="736"/>
      <c r="G30" s="736"/>
      <c r="H30" s="737"/>
      <c r="I30" s="288"/>
      <c r="J30" s="288"/>
      <c r="K30" s="288"/>
      <c r="L30" s="288"/>
      <c r="M30" s="288"/>
      <c r="N30" s="288"/>
      <c r="O30" s="288"/>
      <c r="P30" s="288"/>
      <c r="Q30" s="288"/>
      <c r="R30" s="288"/>
      <c r="S30" s="288"/>
      <c r="T30" s="288"/>
      <c r="U30" s="289"/>
    </row>
    <row r="31" spans="3:21" ht="32.25" thickBot="1" x14ac:dyDescent="0.25">
      <c r="C31" s="286"/>
      <c r="D31" s="315" t="s">
        <v>93</v>
      </c>
      <c r="E31" s="316" t="s">
        <v>94</v>
      </c>
      <c r="F31" s="316" t="s">
        <v>84</v>
      </c>
      <c r="G31" s="316" t="s">
        <v>85</v>
      </c>
      <c r="H31" s="317" t="s">
        <v>86</v>
      </c>
      <c r="I31" s="288"/>
      <c r="J31" s="288"/>
      <c r="K31" s="288"/>
      <c r="L31" s="288"/>
      <c r="M31" s="288"/>
      <c r="N31" s="288"/>
      <c r="O31" s="288"/>
      <c r="P31" s="288"/>
      <c r="Q31" s="288"/>
      <c r="R31" s="288"/>
      <c r="S31" s="288"/>
      <c r="T31" s="288"/>
      <c r="U31" s="289"/>
    </row>
    <row r="32" spans="3:21" x14ac:dyDescent="0.2">
      <c r="C32" s="286"/>
      <c r="D32" s="327" t="s">
        <v>95</v>
      </c>
      <c r="E32" s="328">
        <f>'DASHBOARD Data'!C4</f>
        <v>0</v>
      </c>
      <c r="F32" s="328">
        <f>'DASHBOARD Data'!D4</f>
        <v>0</v>
      </c>
      <c r="G32" s="328">
        <f>'DASHBOARD Data'!E4</f>
        <v>0</v>
      </c>
      <c r="H32" s="329">
        <f>'DASHBOARD Data'!F4</f>
        <v>0</v>
      </c>
      <c r="I32" s="288"/>
      <c r="J32" s="288"/>
      <c r="K32" s="288"/>
      <c r="L32" s="288"/>
      <c r="M32" s="288"/>
      <c r="N32" s="288"/>
      <c r="O32" s="288"/>
      <c r="P32" s="288"/>
      <c r="Q32" s="288"/>
      <c r="R32" s="288"/>
      <c r="S32" s="288"/>
      <c r="T32" s="288"/>
      <c r="U32" s="289"/>
    </row>
    <row r="33" spans="3:21" x14ac:dyDescent="0.2">
      <c r="C33" s="286"/>
      <c r="D33" s="293" t="s">
        <v>96</v>
      </c>
      <c r="E33" s="305">
        <f>'DASHBOARD Data'!C4</f>
        <v>0</v>
      </c>
      <c r="F33" s="305">
        <f>'DASHBOARD Data'!D8</f>
        <v>0</v>
      </c>
      <c r="G33" s="305">
        <f>'DASHBOARD Data'!E8</f>
        <v>0</v>
      </c>
      <c r="H33" s="330">
        <f>'DASHBOARD Data'!F8</f>
        <v>0</v>
      </c>
      <c r="I33" s="288"/>
      <c r="J33" s="288"/>
      <c r="K33" s="288"/>
      <c r="L33" s="288"/>
      <c r="M33" s="288"/>
      <c r="N33" s="288"/>
      <c r="O33" s="288"/>
      <c r="P33" s="288"/>
      <c r="Q33" s="288"/>
      <c r="R33" s="288"/>
      <c r="S33" s="288"/>
      <c r="T33" s="288"/>
      <c r="U33" s="289"/>
    </row>
    <row r="34" spans="3:21" x14ac:dyDescent="0.2">
      <c r="C34" s="286"/>
      <c r="D34" s="331" t="s">
        <v>97</v>
      </c>
      <c r="E34" s="304">
        <f>'DASHBOARD Data'!C5</f>
        <v>0</v>
      </c>
      <c r="F34" s="304">
        <f>'DASHBOARD Data'!D5</f>
        <v>0</v>
      </c>
      <c r="G34" s="304">
        <f>'DASHBOARD Data'!E5</f>
        <v>0</v>
      </c>
      <c r="H34" s="332">
        <f>'DASHBOARD Data'!F5</f>
        <v>0</v>
      </c>
      <c r="I34" s="288"/>
      <c r="J34" s="288"/>
      <c r="K34" s="288"/>
      <c r="L34" s="288"/>
      <c r="M34" s="288"/>
      <c r="N34" s="288"/>
      <c r="O34" s="288"/>
      <c r="P34" s="288"/>
      <c r="Q34" s="288"/>
      <c r="R34" s="288"/>
      <c r="S34" s="288"/>
      <c r="T34" s="288"/>
      <c r="U34" s="289"/>
    </row>
    <row r="35" spans="3:21" x14ac:dyDescent="0.2">
      <c r="C35" s="286"/>
      <c r="D35" s="293" t="s">
        <v>98</v>
      </c>
      <c r="E35" s="305">
        <f>'DASHBOARD Data'!C6</f>
        <v>0</v>
      </c>
      <c r="F35" s="305">
        <f>'DASHBOARD Data'!D6</f>
        <v>0</v>
      </c>
      <c r="G35" s="305">
        <f>'DASHBOARD Data'!E6</f>
        <v>0</v>
      </c>
      <c r="H35" s="330">
        <f>'DASHBOARD Data'!F6</f>
        <v>0</v>
      </c>
      <c r="I35" s="288"/>
      <c r="J35" s="288"/>
      <c r="K35" s="288"/>
      <c r="L35" s="288"/>
      <c r="M35" s="288"/>
      <c r="N35" s="288"/>
      <c r="O35" s="288"/>
      <c r="P35" s="288"/>
      <c r="Q35" s="288"/>
      <c r="R35" s="288"/>
      <c r="S35" s="288"/>
      <c r="T35" s="288"/>
      <c r="U35" s="289"/>
    </row>
    <row r="36" spans="3:21" x14ac:dyDescent="0.2">
      <c r="C36" s="286"/>
      <c r="D36" s="331" t="s">
        <v>99</v>
      </c>
      <c r="E36" s="304">
        <f>'DASHBOARD Data'!C7</f>
        <v>0</v>
      </c>
      <c r="F36" s="304">
        <f>'DASHBOARD Data'!D7</f>
        <v>0</v>
      </c>
      <c r="G36" s="304">
        <f>'DASHBOARD Data'!E7</f>
        <v>0</v>
      </c>
      <c r="H36" s="332">
        <f>'DASHBOARD Data'!F7</f>
        <v>0</v>
      </c>
      <c r="I36" s="288"/>
      <c r="J36" s="288"/>
      <c r="K36" s="288"/>
      <c r="L36" s="288"/>
      <c r="M36" s="288"/>
      <c r="N36" s="288"/>
      <c r="O36" s="288"/>
      <c r="P36" s="288"/>
      <c r="Q36" s="288"/>
      <c r="R36" s="288"/>
      <c r="S36" s="288"/>
      <c r="T36" s="288"/>
      <c r="U36" s="289"/>
    </row>
    <row r="37" spans="3:21" x14ac:dyDescent="0.2">
      <c r="C37" s="286"/>
      <c r="D37" s="293" t="s">
        <v>100</v>
      </c>
      <c r="E37" s="305">
        <f>'DASHBOARD Data'!C9</f>
        <v>0</v>
      </c>
      <c r="F37" s="305">
        <f>'DASHBOARD Data'!D9</f>
        <v>0</v>
      </c>
      <c r="G37" s="305">
        <f>'DASHBOARD Data'!E9</f>
        <v>0</v>
      </c>
      <c r="H37" s="330">
        <f>'DASHBOARD Data'!F9</f>
        <v>0</v>
      </c>
      <c r="I37" s="288"/>
      <c r="J37" s="288"/>
      <c r="K37" s="288"/>
      <c r="L37" s="288"/>
      <c r="M37" s="288"/>
      <c r="N37" s="288"/>
      <c r="O37" s="288"/>
      <c r="P37" s="288"/>
      <c r="Q37" s="288"/>
      <c r="R37" s="288"/>
      <c r="S37" s="288"/>
      <c r="T37" s="288"/>
      <c r="U37" s="289"/>
    </row>
    <row r="38" spans="3:21" x14ac:dyDescent="0.2">
      <c r="C38" s="286"/>
      <c r="D38" s="331" t="s">
        <v>101</v>
      </c>
      <c r="E38" s="304"/>
      <c r="F38" s="304">
        <f>IF(F20='DASHBOARD Data'!B23, 'Option A Outcome'!E58, 'Option A Outcome'!E62)</f>
        <v>0</v>
      </c>
      <c r="G38" s="304">
        <f>IF(G20='DASHBOARD Data'!B23, 'Option B Outcome'!E58, 'Option B Outcome'!E62)</f>
        <v>0</v>
      </c>
      <c r="H38" s="332">
        <f>IF(H20='DASHBOARD Data'!B23, 'Option C Outcome'!E58, 'Option B Outcome'!E62)</f>
        <v>0</v>
      </c>
      <c r="I38" s="288"/>
      <c r="J38" s="288"/>
      <c r="K38" s="288"/>
      <c r="L38" s="288"/>
      <c r="M38" s="288"/>
      <c r="N38" s="288"/>
      <c r="O38" s="288"/>
      <c r="P38" s="288"/>
      <c r="Q38" s="288"/>
      <c r="R38" s="288"/>
      <c r="S38" s="288"/>
      <c r="T38" s="288"/>
      <c r="U38" s="289"/>
    </row>
    <row r="39" spans="3:21" x14ac:dyDescent="0.2">
      <c r="C39" s="286"/>
      <c r="D39" s="293" t="s">
        <v>102</v>
      </c>
      <c r="E39" s="305"/>
      <c r="F39" s="306" t="e">
        <f>'Option A Outcome'!D55</f>
        <v>#NUM!</v>
      </c>
      <c r="G39" s="306" t="e">
        <f>'Option B Outcome'!D55</f>
        <v>#NUM!</v>
      </c>
      <c r="H39" s="333" t="e">
        <f>'Option C Outcome'!D55</f>
        <v>#NUM!</v>
      </c>
      <c r="I39" s="288"/>
      <c r="J39" s="288"/>
      <c r="K39" s="288"/>
      <c r="L39" s="288"/>
      <c r="M39" s="288"/>
      <c r="N39" s="288"/>
      <c r="O39" s="288"/>
      <c r="P39" s="288"/>
      <c r="Q39" s="288"/>
      <c r="R39" s="288"/>
      <c r="S39" s="288"/>
      <c r="T39" s="288"/>
      <c r="U39" s="289"/>
    </row>
    <row r="40" spans="3:21" ht="16.5" thickBot="1" x14ac:dyDescent="0.25">
      <c r="C40" s="286"/>
      <c r="D40" s="334" t="s">
        <v>103</v>
      </c>
      <c r="E40" s="335"/>
      <c r="F40" s="335" t="e">
        <f>'Option A Outcome'!D42/(SUM('Option A Outcome'!Y31:Y34)-SUM('Option A Outcome'!Y49:Y52))</f>
        <v>#DIV/0!</v>
      </c>
      <c r="G40" s="335" t="e">
        <f>'Option B Outcome'!D42/(SUM('Option B Outcome'!Y31:Y34)-SUM('Option B Outcome'!Y49:Y52))</f>
        <v>#DIV/0!</v>
      </c>
      <c r="H40" s="336" t="e">
        <f>'Option C Outcome'!D42/(SUM('Option C Outcome'!Y31:Y34)-SUM('Option C Outcome'!Y49:Y52))</f>
        <v>#DIV/0!</v>
      </c>
      <c r="I40" s="288"/>
      <c r="J40" s="288"/>
      <c r="K40" s="288"/>
      <c r="L40" s="288"/>
      <c r="M40" s="288"/>
      <c r="N40" s="288"/>
      <c r="O40" s="288"/>
      <c r="P40" s="288"/>
      <c r="Q40" s="288"/>
      <c r="R40" s="288"/>
      <c r="S40" s="288"/>
      <c r="T40" s="288"/>
      <c r="U40" s="289"/>
    </row>
    <row r="41" spans="3:21" ht="16.5" thickBot="1" x14ac:dyDescent="0.25">
      <c r="C41" s="286"/>
      <c r="D41" s="287"/>
      <c r="E41" s="288"/>
      <c r="F41" s="288"/>
      <c r="G41" s="288"/>
      <c r="H41" s="288"/>
      <c r="I41" s="288"/>
      <c r="J41" s="288"/>
      <c r="K41" s="288"/>
      <c r="L41" s="288"/>
      <c r="M41" s="288"/>
      <c r="N41" s="288"/>
      <c r="O41" s="288"/>
      <c r="P41" s="288"/>
      <c r="Q41" s="288"/>
      <c r="R41" s="288"/>
      <c r="S41" s="288"/>
      <c r="T41" s="288"/>
      <c r="U41" s="289"/>
    </row>
    <row r="42" spans="3:21" ht="32.25" thickBot="1" x14ac:dyDescent="0.25">
      <c r="C42" s="286"/>
      <c r="D42" s="340" t="s">
        <v>104</v>
      </c>
      <c r="E42" s="341" t="s">
        <v>94</v>
      </c>
      <c r="F42" s="341" t="s">
        <v>84</v>
      </c>
      <c r="G42" s="341" t="s">
        <v>85</v>
      </c>
      <c r="H42" s="342" t="s">
        <v>86</v>
      </c>
      <c r="I42" s="288"/>
      <c r="J42" s="288"/>
      <c r="K42" s="288"/>
      <c r="L42" s="288"/>
      <c r="M42" s="288"/>
      <c r="N42" s="288"/>
      <c r="O42" s="288"/>
      <c r="P42" s="288"/>
      <c r="Q42" s="288"/>
      <c r="R42" s="288"/>
      <c r="S42" s="288"/>
      <c r="T42" s="288"/>
      <c r="U42" s="289"/>
    </row>
    <row r="43" spans="3:21" x14ac:dyDescent="0.2">
      <c r="C43" s="286"/>
      <c r="D43" s="337" t="s">
        <v>105</v>
      </c>
      <c r="E43" s="338">
        <f>'DASHBOARD Data'!C15</f>
        <v>0</v>
      </c>
      <c r="F43" s="338">
        <f>'DASHBOARD Data'!D15</f>
        <v>0</v>
      </c>
      <c r="G43" s="338">
        <f>'DASHBOARD Data'!E15</f>
        <v>0</v>
      </c>
      <c r="H43" s="339">
        <f>'DASHBOARD Data'!F15</f>
        <v>0</v>
      </c>
      <c r="I43" s="288"/>
      <c r="J43" s="288"/>
      <c r="K43" s="288"/>
      <c r="L43" s="288"/>
      <c r="M43" s="288"/>
      <c r="N43" s="288"/>
      <c r="O43" s="288"/>
      <c r="P43" s="288"/>
      <c r="Q43" s="288"/>
      <c r="R43" s="288"/>
      <c r="S43" s="288"/>
      <c r="T43" s="288"/>
      <c r="U43" s="289"/>
    </row>
    <row r="44" spans="3:21" ht="16.5" thickBot="1" x14ac:dyDescent="0.25">
      <c r="C44" s="286"/>
      <c r="D44" s="334" t="s">
        <v>106</v>
      </c>
      <c r="E44" s="335">
        <f>'DASHBOARD Data'!C16</f>
        <v>0</v>
      </c>
      <c r="F44" s="335">
        <f>'DASHBOARD Data'!D16</f>
        <v>0</v>
      </c>
      <c r="G44" s="335">
        <f>'DASHBOARD Data'!E16</f>
        <v>0</v>
      </c>
      <c r="H44" s="336">
        <f>'DASHBOARD Data'!F16</f>
        <v>0</v>
      </c>
      <c r="I44" s="288"/>
      <c r="J44" s="288"/>
      <c r="K44" s="288"/>
      <c r="L44" s="288"/>
      <c r="M44" s="288"/>
      <c r="N44" s="288"/>
      <c r="O44" s="288"/>
      <c r="P44" s="288"/>
      <c r="Q44" s="288"/>
      <c r="R44" s="288"/>
      <c r="S44" s="288"/>
      <c r="T44" s="288"/>
      <c r="U44" s="289"/>
    </row>
    <row r="45" spans="3:21" x14ac:dyDescent="0.2">
      <c r="C45" s="286"/>
      <c r="I45" s="288"/>
      <c r="J45" s="288"/>
      <c r="K45" s="288"/>
      <c r="L45" s="288"/>
      <c r="M45" s="288"/>
      <c r="N45" s="288"/>
      <c r="O45" s="288"/>
      <c r="P45" s="288"/>
      <c r="Q45" s="288"/>
      <c r="R45" s="288"/>
      <c r="S45" s="288"/>
      <c r="T45" s="288"/>
      <c r="U45" s="289"/>
    </row>
    <row r="46" spans="3:21" x14ac:dyDescent="0.2">
      <c r="C46" s="286"/>
      <c r="I46" s="288"/>
      <c r="J46" s="288"/>
      <c r="K46" s="288"/>
      <c r="L46" s="288"/>
      <c r="M46" s="288"/>
      <c r="N46" s="288"/>
      <c r="O46" s="288"/>
      <c r="P46" s="288"/>
      <c r="Q46" s="288"/>
      <c r="R46" s="288"/>
      <c r="S46" s="288"/>
      <c r="T46" s="288"/>
      <c r="U46" s="289"/>
    </row>
    <row r="47" spans="3:21" x14ac:dyDescent="0.2">
      <c r="C47" s="286"/>
      <c r="D47" s="287"/>
      <c r="E47" s="288"/>
      <c r="F47" s="288"/>
      <c r="G47" s="288"/>
      <c r="H47" s="288"/>
      <c r="I47" s="288"/>
      <c r="J47" s="288"/>
      <c r="K47" s="288"/>
      <c r="L47" s="288"/>
      <c r="M47" s="288"/>
      <c r="N47" s="288"/>
      <c r="O47" s="288"/>
      <c r="P47" s="288"/>
      <c r="Q47" s="288"/>
      <c r="R47" s="288"/>
      <c r="S47" s="288"/>
      <c r="T47" s="288"/>
      <c r="U47" s="289"/>
    </row>
    <row r="48" spans="3:21" x14ac:dyDescent="0.2">
      <c r="C48" s="286"/>
      <c r="D48" s="287"/>
      <c r="E48" s="288"/>
      <c r="F48" s="288"/>
      <c r="G48" s="288"/>
      <c r="H48" s="288"/>
      <c r="I48" s="288"/>
      <c r="J48" s="288"/>
      <c r="K48" s="288"/>
      <c r="L48" s="288"/>
      <c r="M48" s="288"/>
      <c r="N48" s="288"/>
      <c r="O48" s="288"/>
      <c r="P48" s="288"/>
      <c r="Q48" s="288"/>
      <c r="R48" s="288"/>
      <c r="S48" s="288"/>
      <c r="T48" s="288"/>
      <c r="U48" s="289"/>
    </row>
    <row r="49" spans="3:21" x14ac:dyDescent="0.2">
      <c r="C49" s="286"/>
      <c r="D49" s="287"/>
      <c r="E49" s="288"/>
      <c r="F49" s="288"/>
      <c r="G49" s="288"/>
      <c r="H49" s="288"/>
      <c r="I49" s="288"/>
      <c r="J49" s="288"/>
      <c r="K49" s="288"/>
      <c r="L49" s="288"/>
      <c r="M49" s="288"/>
      <c r="N49" s="288"/>
      <c r="O49" s="288"/>
      <c r="P49" s="288"/>
      <c r="Q49" s="288"/>
      <c r="R49" s="288"/>
      <c r="S49" s="288"/>
      <c r="T49" s="288"/>
      <c r="U49" s="289"/>
    </row>
    <row r="50" spans="3:21" x14ac:dyDescent="0.2">
      <c r="C50" s="286"/>
      <c r="D50" s="287"/>
      <c r="E50" s="288"/>
      <c r="F50" s="288"/>
      <c r="G50" s="288"/>
      <c r="H50" s="288"/>
      <c r="I50" s="288"/>
      <c r="J50" s="288"/>
      <c r="K50" s="288"/>
      <c r="L50" s="288"/>
      <c r="M50" s="288"/>
      <c r="N50" s="288"/>
      <c r="O50" s="288"/>
      <c r="P50" s="288"/>
      <c r="Q50" s="288"/>
      <c r="R50" s="288"/>
      <c r="S50" s="288"/>
      <c r="T50" s="288"/>
      <c r="U50" s="289"/>
    </row>
    <row r="51" spans="3:21" x14ac:dyDescent="0.2">
      <c r="C51" s="286"/>
      <c r="D51" s="287"/>
      <c r="E51" s="288"/>
      <c r="F51" s="288"/>
      <c r="G51" s="288"/>
      <c r="H51" s="288"/>
      <c r="I51" s="288"/>
      <c r="J51" s="288"/>
      <c r="K51" s="288"/>
      <c r="L51" s="288"/>
      <c r="M51" s="288"/>
      <c r="N51" s="288"/>
      <c r="O51" s="288"/>
      <c r="P51" s="288"/>
      <c r="Q51" s="288"/>
      <c r="R51" s="288"/>
      <c r="S51" s="288"/>
      <c r="T51" s="288"/>
      <c r="U51" s="289"/>
    </row>
    <row r="52" spans="3:21" x14ac:dyDescent="0.2">
      <c r="C52" s="286"/>
      <c r="D52" s="287"/>
      <c r="E52" s="288"/>
      <c r="F52" s="288"/>
      <c r="G52" s="288"/>
      <c r="H52" s="288"/>
      <c r="I52" s="288"/>
      <c r="J52" s="288"/>
      <c r="K52" s="288"/>
      <c r="L52" s="288"/>
      <c r="M52" s="288"/>
      <c r="N52" s="288"/>
      <c r="O52" s="288"/>
      <c r="P52" s="288"/>
      <c r="Q52" s="288"/>
      <c r="R52" s="288"/>
      <c r="S52" s="288"/>
      <c r="T52" s="288"/>
      <c r="U52" s="289"/>
    </row>
    <row r="53" spans="3:21" x14ac:dyDescent="0.2">
      <c r="C53" s="286"/>
      <c r="D53" s="287"/>
      <c r="E53" s="288"/>
      <c r="F53" s="288"/>
      <c r="G53" s="288"/>
      <c r="H53" s="288"/>
      <c r="I53" s="288"/>
      <c r="J53" s="288"/>
      <c r="K53" s="288"/>
      <c r="L53" s="288"/>
      <c r="M53" s="288"/>
      <c r="N53" s="288"/>
      <c r="O53" s="288"/>
      <c r="P53" s="288"/>
      <c r="Q53" s="288"/>
      <c r="R53" s="288"/>
      <c r="S53" s="288"/>
      <c r="T53" s="288"/>
      <c r="U53" s="289"/>
    </row>
    <row r="54" spans="3:21" x14ac:dyDescent="0.2">
      <c r="C54" s="286"/>
      <c r="D54" s="287"/>
      <c r="E54" s="288"/>
      <c r="F54" s="288"/>
      <c r="G54" s="288"/>
      <c r="H54" s="288"/>
      <c r="I54" s="288"/>
      <c r="J54" s="288"/>
      <c r="K54" s="288"/>
      <c r="L54" s="288"/>
      <c r="M54" s="288"/>
      <c r="N54" s="288"/>
      <c r="O54" s="288"/>
      <c r="P54" s="288"/>
      <c r="Q54" s="288"/>
      <c r="R54" s="288"/>
      <c r="S54" s="288"/>
      <c r="T54" s="288"/>
      <c r="U54" s="289"/>
    </row>
    <row r="55" spans="3:21" x14ac:dyDescent="0.2">
      <c r="C55" s="286"/>
      <c r="D55" s="287"/>
      <c r="E55" s="288"/>
      <c r="F55" s="288"/>
      <c r="G55" s="288"/>
      <c r="H55" s="288"/>
      <c r="I55" s="288"/>
      <c r="J55" s="288"/>
      <c r="K55" s="288"/>
      <c r="L55" s="288"/>
      <c r="M55" s="288"/>
      <c r="N55" s="288"/>
      <c r="O55" s="288"/>
      <c r="P55" s="288"/>
      <c r="Q55" s="288"/>
      <c r="R55" s="288"/>
      <c r="S55" s="288"/>
      <c r="T55" s="288"/>
      <c r="U55" s="289"/>
    </row>
    <row r="56" spans="3:21" x14ac:dyDescent="0.2">
      <c r="C56" s="286"/>
      <c r="D56" s="287"/>
      <c r="E56" s="288"/>
      <c r="F56" s="288"/>
      <c r="G56" s="288"/>
      <c r="H56" s="288"/>
      <c r="I56" s="288"/>
      <c r="J56" s="288"/>
      <c r="K56" s="288"/>
      <c r="L56" s="288"/>
      <c r="M56" s="288"/>
      <c r="N56" s="288"/>
      <c r="O56" s="288"/>
      <c r="P56" s="288"/>
      <c r="Q56" s="288"/>
      <c r="R56" s="288"/>
      <c r="S56" s="288"/>
      <c r="T56" s="288"/>
      <c r="U56" s="289"/>
    </row>
    <row r="57" spans="3:21" x14ac:dyDescent="0.2">
      <c r="C57" s="286"/>
      <c r="D57" s="287"/>
      <c r="E57" s="288"/>
      <c r="F57" s="288"/>
      <c r="G57" s="288"/>
      <c r="H57" s="288"/>
      <c r="I57" s="288"/>
      <c r="J57" s="288"/>
      <c r="K57" s="288"/>
      <c r="L57" s="288"/>
      <c r="M57" s="288"/>
      <c r="N57" s="288"/>
      <c r="O57" s="288"/>
      <c r="P57" s="288"/>
      <c r="Q57" s="288"/>
      <c r="R57" s="288"/>
      <c r="S57" s="288"/>
      <c r="T57" s="288"/>
      <c r="U57" s="289"/>
    </row>
    <row r="58" spans="3:21" x14ac:dyDescent="0.2">
      <c r="C58" s="286"/>
      <c r="D58" s="287"/>
      <c r="E58" s="288"/>
      <c r="F58" s="288"/>
      <c r="G58" s="288"/>
      <c r="H58" s="288"/>
      <c r="I58" s="288"/>
      <c r="J58" s="288"/>
      <c r="K58" s="288"/>
      <c r="L58" s="288"/>
      <c r="M58" s="288"/>
      <c r="N58" s="288"/>
      <c r="O58" s="288"/>
      <c r="P58" s="288"/>
      <c r="Q58" s="288"/>
      <c r="R58" s="288"/>
      <c r="S58" s="288"/>
      <c r="T58" s="288"/>
      <c r="U58" s="289"/>
    </row>
    <row r="59" spans="3:21" x14ac:dyDescent="0.2">
      <c r="C59" s="286"/>
      <c r="D59" s="287"/>
      <c r="E59" s="288"/>
      <c r="F59" s="288"/>
      <c r="G59" s="288"/>
      <c r="H59" s="288"/>
      <c r="I59" s="288"/>
      <c r="J59" s="288"/>
      <c r="K59" s="288"/>
      <c r="L59" s="288"/>
      <c r="M59" s="288"/>
      <c r="N59" s="288"/>
      <c r="O59" s="288"/>
      <c r="P59" s="288"/>
      <c r="Q59" s="288"/>
      <c r="R59" s="288"/>
      <c r="S59" s="288"/>
      <c r="T59" s="288"/>
      <c r="U59" s="289"/>
    </row>
    <row r="60" spans="3:21" x14ac:dyDescent="0.2">
      <c r="C60" s="286"/>
      <c r="D60" s="287"/>
      <c r="E60" s="288"/>
      <c r="F60" s="288"/>
      <c r="G60" s="288"/>
      <c r="H60" s="288"/>
      <c r="I60" s="288"/>
      <c r="J60" s="288"/>
      <c r="K60" s="288"/>
      <c r="L60" s="288"/>
      <c r="M60" s="288"/>
      <c r="N60" s="288"/>
      <c r="O60" s="288"/>
      <c r="P60" s="288"/>
      <c r="Q60" s="288"/>
      <c r="R60" s="288"/>
      <c r="S60" s="288"/>
      <c r="T60" s="288"/>
      <c r="U60" s="289"/>
    </row>
    <row r="61" spans="3:21" x14ac:dyDescent="0.2">
      <c r="C61" s="286"/>
      <c r="D61" s="287"/>
      <c r="E61" s="288"/>
      <c r="F61" s="288"/>
      <c r="G61" s="288"/>
      <c r="H61" s="288"/>
      <c r="I61" s="288"/>
      <c r="J61" s="288"/>
      <c r="K61" s="288"/>
      <c r="L61" s="288"/>
      <c r="M61" s="288"/>
      <c r="N61" s="288"/>
      <c r="O61" s="288"/>
      <c r="P61" s="288"/>
      <c r="Q61" s="288"/>
      <c r="R61" s="288"/>
      <c r="S61" s="288"/>
      <c r="T61" s="288"/>
      <c r="U61" s="289"/>
    </row>
    <row r="62" spans="3:21" x14ac:dyDescent="0.2">
      <c r="C62" s="286"/>
      <c r="D62" s="287"/>
      <c r="E62" s="288"/>
      <c r="F62" s="288"/>
      <c r="G62" s="288"/>
      <c r="H62" s="288"/>
      <c r="I62" s="288"/>
      <c r="J62" s="288"/>
      <c r="K62" s="288"/>
      <c r="L62" s="288"/>
      <c r="M62" s="288"/>
      <c r="N62" s="288"/>
      <c r="O62" s="288"/>
      <c r="P62" s="288"/>
      <c r="Q62" s="288"/>
      <c r="R62" s="288"/>
      <c r="S62" s="288"/>
      <c r="T62" s="288"/>
      <c r="U62" s="289"/>
    </row>
    <row r="63" spans="3:21" x14ac:dyDescent="0.2">
      <c r="C63" s="286"/>
      <c r="D63" s="287"/>
      <c r="E63" s="288"/>
      <c r="F63" s="288"/>
      <c r="G63" s="288"/>
      <c r="H63" s="288"/>
      <c r="I63" s="288"/>
      <c r="J63" s="288"/>
      <c r="K63" s="288"/>
      <c r="L63" s="288"/>
      <c r="M63" s="288"/>
      <c r="N63" s="288"/>
      <c r="O63" s="288"/>
      <c r="P63" s="288"/>
      <c r="Q63" s="288"/>
      <c r="R63" s="288"/>
      <c r="S63" s="288"/>
      <c r="T63" s="288"/>
      <c r="U63" s="289"/>
    </row>
    <row r="64" spans="3:21" x14ac:dyDescent="0.2">
      <c r="C64" s="286"/>
      <c r="D64" s="287"/>
      <c r="E64" s="288"/>
      <c r="F64" s="288"/>
      <c r="G64" s="288"/>
      <c r="H64" s="288"/>
      <c r="I64" s="288"/>
      <c r="J64" s="288"/>
      <c r="K64" s="288"/>
      <c r="L64" s="288"/>
      <c r="M64" s="288"/>
      <c r="N64" s="288"/>
      <c r="O64" s="288"/>
      <c r="P64" s="288"/>
      <c r="Q64" s="288"/>
      <c r="R64" s="288"/>
      <c r="S64" s="288"/>
      <c r="T64" s="288"/>
      <c r="U64" s="289"/>
    </row>
    <row r="65" spans="3:21" x14ac:dyDescent="0.2">
      <c r="C65" s="286"/>
      <c r="D65" s="287"/>
      <c r="E65" s="288"/>
      <c r="F65" s="288"/>
      <c r="G65" s="288"/>
      <c r="H65" s="288"/>
      <c r="I65" s="288"/>
      <c r="J65" s="288"/>
      <c r="K65" s="288"/>
      <c r="L65" s="288"/>
      <c r="M65" s="288"/>
      <c r="N65" s="288"/>
      <c r="O65" s="288"/>
      <c r="P65" s="288"/>
      <c r="Q65" s="288"/>
      <c r="R65" s="288"/>
      <c r="S65" s="288"/>
      <c r="T65" s="288"/>
      <c r="U65" s="289"/>
    </row>
    <row r="66" spans="3:21" x14ac:dyDescent="0.2">
      <c r="C66" s="286"/>
      <c r="D66" s="287"/>
      <c r="E66" s="288"/>
      <c r="F66" s="288"/>
      <c r="G66" s="288"/>
      <c r="H66" s="288"/>
      <c r="I66" s="288"/>
      <c r="J66" s="288"/>
      <c r="K66" s="288"/>
      <c r="L66" s="288"/>
      <c r="M66" s="288"/>
      <c r="N66" s="288"/>
      <c r="O66" s="288"/>
      <c r="P66" s="288"/>
      <c r="Q66" s="288"/>
      <c r="R66" s="288"/>
      <c r="S66" s="288"/>
      <c r="T66" s="288"/>
      <c r="U66" s="289"/>
    </row>
    <row r="67" spans="3:21" x14ac:dyDescent="0.2">
      <c r="C67" s="286"/>
      <c r="D67" s="287"/>
      <c r="E67" s="288"/>
      <c r="F67" s="288"/>
      <c r="G67" s="288"/>
      <c r="H67" s="288"/>
      <c r="I67" s="288"/>
      <c r="J67" s="288"/>
      <c r="K67" s="288"/>
      <c r="L67" s="288"/>
      <c r="M67" s="288"/>
      <c r="N67" s="288"/>
      <c r="O67" s="288"/>
      <c r="P67" s="288"/>
      <c r="Q67" s="288"/>
      <c r="R67" s="288"/>
      <c r="S67" s="288"/>
      <c r="T67" s="288"/>
      <c r="U67" s="289"/>
    </row>
    <row r="68" spans="3:21" x14ac:dyDescent="0.2">
      <c r="C68" s="286"/>
      <c r="D68" s="287"/>
      <c r="E68" s="288"/>
      <c r="F68" s="288"/>
      <c r="G68" s="288"/>
      <c r="H68" s="288"/>
      <c r="I68" s="288"/>
      <c r="J68" s="288"/>
      <c r="K68" s="288"/>
      <c r="L68" s="288"/>
      <c r="M68" s="288"/>
      <c r="N68" s="288"/>
      <c r="O68" s="288"/>
      <c r="P68" s="288"/>
      <c r="Q68" s="288"/>
      <c r="R68" s="288"/>
      <c r="S68" s="288"/>
      <c r="T68" s="288"/>
      <c r="U68" s="289"/>
    </row>
    <row r="69" spans="3:21" x14ac:dyDescent="0.2">
      <c r="C69" s="286"/>
      <c r="D69" s="287"/>
      <c r="E69" s="288"/>
      <c r="F69" s="288"/>
      <c r="G69" s="288"/>
      <c r="H69" s="288"/>
      <c r="I69" s="288"/>
      <c r="J69" s="288"/>
      <c r="K69" s="288"/>
      <c r="L69" s="288"/>
      <c r="M69" s="288"/>
      <c r="N69" s="288"/>
      <c r="O69" s="288"/>
      <c r="P69" s="288"/>
      <c r="Q69" s="288"/>
      <c r="R69" s="288"/>
      <c r="S69" s="288"/>
      <c r="T69" s="288"/>
      <c r="U69" s="289"/>
    </row>
    <row r="70" spans="3:21" x14ac:dyDescent="0.2">
      <c r="C70" s="286"/>
      <c r="D70" s="287"/>
      <c r="E70" s="288"/>
      <c r="F70" s="288"/>
      <c r="G70" s="288"/>
      <c r="H70" s="288"/>
      <c r="I70" s="288"/>
      <c r="J70" s="288"/>
      <c r="K70" s="288"/>
      <c r="L70" s="288"/>
      <c r="M70" s="288"/>
      <c r="N70" s="288"/>
      <c r="O70" s="288"/>
      <c r="P70" s="288"/>
      <c r="Q70" s="288"/>
      <c r="R70" s="288"/>
      <c r="S70" s="288"/>
      <c r="T70" s="288"/>
      <c r="U70" s="289"/>
    </row>
    <row r="71" spans="3:21" x14ac:dyDescent="0.2">
      <c r="C71" s="286"/>
      <c r="D71" s="287"/>
      <c r="E71" s="288"/>
      <c r="F71" s="288"/>
      <c r="G71" s="288"/>
      <c r="H71" s="288"/>
      <c r="I71" s="288"/>
      <c r="J71" s="288"/>
      <c r="K71" s="288"/>
      <c r="L71" s="288"/>
      <c r="M71" s="288"/>
      <c r="N71" s="288"/>
      <c r="O71" s="288"/>
      <c r="P71" s="288"/>
      <c r="Q71" s="288"/>
      <c r="R71" s="288"/>
      <c r="S71" s="288"/>
      <c r="T71" s="288"/>
      <c r="U71" s="289"/>
    </row>
    <row r="72" spans="3:21" x14ac:dyDescent="0.2">
      <c r="C72" s="286"/>
      <c r="D72" s="287"/>
      <c r="E72" s="288"/>
      <c r="F72" s="288"/>
      <c r="G72" s="288"/>
      <c r="H72" s="288"/>
      <c r="I72" s="288"/>
      <c r="J72" s="288"/>
      <c r="K72" s="288"/>
      <c r="L72" s="288"/>
      <c r="M72" s="288"/>
      <c r="N72" s="288"/>
      <c r="O72" s="288"/>
      <c r="P72" s="288"/>
      <c r="Q72" s="288"/>
      <c r="R72" s="288"/>
      <c r="S72" s="288"/>
      <c r="T72" s="288"/>
      <c r="U72" s="289"/>
    </row>
    <row r="73" spans="3:21" x14ac:dyDescent="0.2">
      <c r="C73" s="286"/>
      <c r="D73" s="287"/>
      <c r="E73" s="288"/>
      <c r="F73" s="288"/>
      <c r="G73" s="288"/>
      <c r="H73" s="288"/>
      <c r="I73" s="288"/>
      <c r="J73" s="288"/>
      <c r="K73" s="288"/>
      <c r="L73" s="288"/>
      <c r="M73" s="288"/>
      <c r="N73" s="288"/>
      <c r="O73" s="288"/>
      <c r="P73" s="288"/>
      <c r="Q73" s="288"/>
      <c r="R73" s="288"/>
      <c r="S73" s="288"/>
      <c r="T73" s="288"/>
      <c r="U73" s="289"/>
    </row>
    <row r="74" spans="3:21" x14ac:dyDescent="0.2">
      <c r="C74" s="286"/>
      <c r="D74" s="287"/>
      <c r="E74" s="288"/>
      <c r="F74" s="288"/>
      <c r="G74" s="288"/>
      <c r="H74" s="288"/>
      <c r="I74" s="288"/>
      <c r="J74" s="288"/>
      <c r="K74" s="288"/>
      <c r="L74" s="288"/>
      <c r="M74" s="288"/>
      <c r="N74" s="288"/>
      <c r="O74" s="288"/>
      <c r="P74" s="288"/>
      <c r="Q74" s="288"/>
      <c r="R74" s="288"/>
      <c r="S74" s="288"/>
      <c r="T74" s="288"/>
      <c r="U74" s="289"/>
    </row>
    <row r="75" spans="3:21" x14ac:dyDescent="0.2">
      <c r="C75" s="286"/>
      <c r="D75" s="287"/>
      <c r="E75" s="288"/>
      <c r="F75" s="288"/>
      <c r="G75" s="288"/>
      <c r="H75" s="288"/>
      <c r="I75" s="288"/>
      <c r="J75" s="288"/>
      <c r="K75" s="288"/>
      <c r="L75" s="288"/>
      <c r="M75" s="288"/>
      <c r="N75" s="288"/>
      <c r="O75" s="288"/>
      <c r="P75" s="288"/>
      <c r="Q75" s="288"/>
      <c r="R75" s="288"/>
      <c r="S75" s="288"/>
      <c r="T75" s="288"/>
      <c r="U75" s="289"/>
    </row>
    <row r="76" spans="3:21" x14ac:dyDescent="0.2">
      <c r="C76" s="286"/>
      <c r="D76" s="287"/>
      <c r="E76" s="288"/>
      <c r="F76" s="288"/>
      <c r="G76" s="288"/>
      <c r="H76" s="288"/>
      <c r="I76" s="288"/>
      <c r="J76" s="288"/>
      <c r="K76" s="288"/>
      <c r="L76" s="288"/>
      <c r="M76" s="288"/>
      <c r="N76" s="288"/>
      <c r="O76" s="288"/>
      <c r="P76" s="288"/>
      <c r="Q76" s="288"/>
      <c r="R76" s="288"/>
      <c r="S76" s="288"/>
      <c r="T76" s="288"/>
      <c r="U76" s="289"/>
    </row>
    <row r="77" spans="3:21" x14ac:dyDescent="0.2">
      <c r="C77" s="286"/>
      <c r="D77" s="287"/>
      <c r="E77" s="288"/>
      <c r="F77" s="288"/>
      <c r="G77" s="288"/>
      <c r="H77" s="288"/>
      <c r="I77" s="288"/>
      <c r="J77" s="288"/>
      <c r="K77" s="288"/>
      <c r="L77" s="288"/>
      <c r="M77" s="288"/>
      <c r="N77" s="288"/>
      <c r="O77" s="288"/>
      <c r="P77" s="288"/>
      <c r="Q77" s="288"/>
      <c r="R77" s="288"/>
      <c r="S77" s="288"/>
      <c r="T77" s="288"/>
      <c r="U77" s="289"/>
    </row>
    <row r="78" spans="3:21" ht="16.5" thickBot="1" x14ac:dyDescent="0.25">
      <c r="C78" s="294"/>
      <c r="D78" s="295"/>
      <c r="E78" s="296"/>
      <c r="F78" s="296"/>
      <c r="G78" s="296"/>
      <c r="H78" s="296"/>
      <c r="I78" s="296"/>
      <c r="J78" s="296"/>
      <c r="K78" s="296"/>
      <c r="L78" s="296"/>
      <c r="M78" s="296"/>
      <c r="N78" s="296"/>
      <c r="O78" s="296"/>
      <c r="P78" s="296"/>
      <c r="Q78" s="296"/>
      <c r="R78" s="296"/>
      <c r="S78" s="296"/>
      <c r="T78" s="296"/>
      <c r="U78" s="297"/>
    </row>
  </sheetData>
  <sheetProtection algorithmName="SHA-512" hashValue="TCnwBBj7+NiNZav00rz2/rYhUlcUMJeaUb9bMsT77LGOWDVF4bOS/6olfePOuWP92GLs60EAgXUZ9LCh4FUsPw==" saltValue="uSXELhQDsxp84AWFtF0Ziw==" spinCount="100000" sheet="1" formatCells="0" formatColumns="0" formatRows="0" insertColumns="0" insertRows="0" insertHyperlinks="0" deleteColumns="0" deleteRows="0" sort="0" autoFilter="0" pivotTables="0"/>
  <protectedRanges>
    <protectedRange sqref="F9:H17 F20:H22" name="Range1"/>
  </protectedRanges>
  <mergeCells count="15">
    <mergeCell ref="D19:E19"/>
    <mergeCell ref="D30:H30"/>
    <mergeCell ref="D21:E21"/>
    <mergeCell ref="C8:E8"/>
    <mergeCell ref="D17:E17"/>
    <mergeCell ref="D16:E16"/>
    <mergeCell ref="D15:E15"/>
    <mergeCell ref="D14:E14"/>
    <mergeCell ref="D13:E13"/>
    <mergeCell ref="D12:E12"/>
    <mergeCell ref="D11:E11"/>
    <mergeCell ref="D10:E10"/>
    <mergeCell ref="D9:E9"/>
    <mergeCell ref="D22:E22"/>
    <mergeCell ref="D20:E20"/>
  </mergeCells>
  <conditionalFormatting sqref="F21">
    <cfRule type="expression" dxfId="32" priority="7">
      <formula>$F$20="Capital"</formula>
    </cfRule>
  </conditionalFormatting>
  <conditionalFormatting sqref="F22">
    <cfRule type="expression" dxfId="31" priority="6">
      <formula>$F$20="Capital"</formula>
    </cfRule>
  </conditionalFormatting>
  <conditionalFormatting sqref="G21:G22">
    <cfRule type="expression" dxfId="30" priority="8">
      <formula>F$20="Capital"</formula>
    </cfRule>
  </conditionalFormatting>
  <conditionalFormatting sqref="H21:H22">
    <cfRule type="expression" dxfId="29" priority="10">
      <formula>H$20="Capital"</formula>
    </cfRule>
  </conditionalFormatting>
  <printOptions horizontalCentered="1"/>
  <pageMargins left="0" right="0" top="0.15748031496062992" bottom="0.15748031496062992" header="0.11811023622047245" footer="0.11811023622047245"/>
  <pageSetup paperSize="9" scale="4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513981-0D02-4218-A6A0-FD7A59ADEDBD}">
          <x14:formula1>
            <xm:f>'DASHBOARD Data'!$B$22:$B$23</xm:f>
          </x14:formula1>
          <xm:sqref>F20:H20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95025-AE0F-4D33-A03C-B90CE8ADAF4A}">
  <sheetPr codeName="Sheet8">
    <tabColor rgb="FFFFC000"/>
    <pageSetUpPr fitToPage="1"/>
  </sheetPr>
  <dimension ref="B2:Y69"/>
  <sheetViews>
    <sheetView topLeftCell="E1" zoomScale="90" zoomScaleNormal="90" zoomScalePageLayoutView="85" workbookViewId="0">
      <selection activeCell="Q9" sqref="Q9"/>
    </sheetView>
  </sheetViews>
  <sheetFormatPr defaultColWidth="8.7109375" defaultRowHeight="15" x14ac:dyDescent="0.25"/>
  <cols>
    <col min="1" max="1" width="4.42578125" style="23" customWidth="1"/>
    <col min="2" max="2" width="8.7109375" style="23"/>
    <col min="3" max="3" width="43" style="23" customWidth="1"/>
    <col min="4" max="4" width="17.140625" style="23" customWidth="1"/>
    <col min="5" max="5" width="21.7109375" style="23" customWidth="1"/>
    <col min="6" max="6" width="18.5703125" style="23" customWidth="1"/>
    <col min="7" max="7" width="12.7109375" style="23" customWidth="1"/>
    <col min="8" max="8" width="28.140625" style="23" bestFit="1" customWidth="1"/>
    <col min="9" max="9" width="15.140625" style="23" customWidth="1"/>
    <col min="10" max="10" width="15" style="23" customWidth="1"/>
    <col min="11" max="11" width="14.42578125" style="23" customWidth="1"/>
    <col min="12" max="12" width="20.140625" style="23" customWidth="1"/>
    <col min="13" max="15" width="14.42578125" style="23" customWidth="1"/>
    <col min="16" max="16" width="17.7109375" style="23" customWidth="1"/>
    <col min="17" max="17" width="16.5703125" style="23" customWidth="1"/>
    <col min="18" max="25" width="14.42578125" style="23" customWidth="1"/>
    <col min="26" max="16384" width="8.7109375" style="23"/>
  </cols>
  <sheetData>
    <row r="2" spans="2:21" ht="22.5" customHeight="1" x14ac:dyDescent="0.25">
      <c r="B2" s="139" t="s">
        <v>3</v>
      </c>
      <c r="C2" s="139"/>
      <c r="D2" s="139"/>
      <c r="E2" s="139"/>
      <c r="F2" s="139"/>
      <c r="G2" s="139"/>
      <c r="H2" s="139"/>
      <c r="I2" s="121"/>
      <c r="J2" s="121"/>
      <c r="K2" s="122"/>
      <c r="L2" s="122"/>
      <c r="O2" s="121"/>
      <c r="P2" s="123"/>
      <c r="Q2" s="123"/>
      <c r="S2" s="121"/>
      <c r="T2" s="121"/>
      <c r="U2" s="121"/>
    </row>
    <row r="3" spans="2:21" ht="30" customHeight="1" x14ac:dyDescent="0.25">
      <c r="B3" s="139" t="s">
        <v>4</v>
      </c>
      <c r="C3" s="140"/>
      <c r="D3" s="140"/>
      <c r="E3" s="140"/>
      <c r="F3" s="140"/>
      <c r="G3" s="140"/>
      <c r="H3" s="140"/>
      <c r="I3" s="121"/>
      <c r="J3" s="121"/>
      <c r="K3" s="122"/>
      <c r="L3" s="122"/>
      <c r="O3" s="121"/>
      <c r="P3" s="122"/>
      <c r="Q3" s="122"/>
      <c r="S3" s="122"/>
      <c r="T3" s="122"/>
      <c r="U3" s="122"/>
    </row>
    <row r="4" spans="2:21" x14ac:dyDescent="0.25">
      <c r="B4" s="683"/>
      <c r="C4" s="683"/>
      <c r="D4" s="683"/>
      <c r="E4" s="683"/>
      <c r="F4" s="683"/>
      <c r="G4" s="683"/>
      <c r="H4" s="683"/>
    </row>
    <row r="5" spans="2:21" ht="15" customHeight="1" x14ac:dyDescent="0.25">
      <c r="B5" s="141" t="s">
        <v>107</v>
      </c>
      <c r="C5" s="141"/>
      <c r="D5" s="141"/>
      <c r="E5" s="141"/>
      <c r="F5" s="141"/>
      <c r="G5" s="183" t="s">
        <v>1</v>
      </c>
      <c r="H5" s="184" t="str">
        <f>'Project Data Input'!H5</f>
        <v xml:space="preserve"> </v>
      </c>
      <c r="I5" s="136"/>
      <c r="J5" s="136"/>
      <c r="K5" s="136"/>
      <c r="L5" s="136"/>
      <c r="M5" s="136"/>
      <c r="N5" s="136"/>
      <c r="O5" s="136"/>
      <c r="P5" s="136"/>
      <c r="Q5" s="136"/>
    </row>
    <row r="6" spans="2:21" ht="15.75" customHeight="1" x14ac:dyDescent="0.25">
      <c r="B6" s="141"/>
      <c r="C6" s="141"/>
      <c r="D6" s="141"/>
      <c r="E6" s="141"/>
      <c r="F6" s="141"/>
      <c r="G6" s="183" t="s">
        <v>0</v>
      </c>
      <c r="H6" s="183" t="str">
        <f>'Project Data Input'!H6</f>
        <v xml:space="preserve"> </v>
      </c>
      <c r="I6" s="136"/>
      <c r="J6" s="136"/>
      <c r="K6" s="136"/>
      <c r="L6" s="136"/>
      <c r="M6" s="136"/>
      <c r="N6" s="136"/>
      <c r="O6" s="136"/>
      <c r="P6" s="136"/>
      <c r="Q6" s="136"/>
    </row>
    <row r="7" spans="2:21" x14ac:dyDescent="0.25">
      <c r="C7" s="28"/>
      <c r="D7" s="28"/>
      <c r="E7" s="36"/>
      <c r="F7" s="36"/>
      <c r="G7" s="36"/>
      <c r="H7" s="36"/>
      <c r="I7" s="36"/>
      <c r="J7" s="36"/>
      <c r="K7" s="36"/>
      <c r="L7" s="36"/>
      <c r="M7" s="36"/>
      <c r="N7" s="36"/>
      <c r="O7" s="36"/>
      <c r="P7" s="36"/>
      <c r="Q7" s="36"/>
    </row>
    <row r="8" spans="2:21" x14ac:dyDescent="0.25">
      <c r="C8" s="37"/>
      <c r="L8" s="38" t="s">
        <v>108</v>
      </c>
      <c r="M8" s="39" t="s">
        <v>109</v>
      </c>
    </row>
    <row r="9" spans="2:21" x14ac:dyDescent="0.25">
      <c r="C9" s="37"/>
      <c r="L9" s="40" t="s">
        <v>110</v>
      </c>
      <c r="M9" s="41">
        <f>D42</f>
        <v>0</v>
      </c>
      <c r="P9" s="42" t="s">
        <v>102</v>
      </c>
      <c r="Q9" s="43" t="e">
        <f>D55</f>
        <v>#NUM!</v>
      </c>
    </row>
    <row r="10" spans="2:21" x14ac:dyDescent="0.25">
      <c r="C10" s="37"/>
      <c r="L10" s="40" t="s">
        <v>111</v>
      </c>
      <c r="M10" s="44">
        <v>1</v>
      </c>
      <c r="P10" s="42" t="s">
        <v>101</v>
      </c>
      <c r="Q10" s="45">
        <f>E58</f>
        <v>0</v>
      </c>
    </row>
    <row r="11" spans="2:21" x14ac:dyDescent="0.25">
      <c r="C11" s="37"/>
      <c r="L11" s="40" t="s">
        <v>111</v>
      </c>
      <c r="M11" s="46">
        <f>M9*M10</f>
        <v>0</v>
      </c>
      <c r="P11" s="47" t="s">
        <v>55</v>
      </c>
      <c r="Q11" s="48" t="e">
        <f>-D56/((SUM($E$23:$E$28)-SUM($E$37:$E$41)))</f>
        <v>#DIV/0!</v>
      </c>
    </row>
    <row r="12" spans="2:21" x14ac:dyDescent="0.25">
      <c r="C12" s="37"/>
      <c r="L12" s="40" t="s">
        <v>112</v>
      </c>
      <c r="M12" s="49">
        <f>'DASHBOARD '!F21</f>
        <v>0</v>
      </c>
    </row>
    <row r="13" spans="2:21" x14ac:dyDescent="0.25">
      <c r="C13" s="37"/>
      <c r="L13" s="40" t="s">
        <v>113</v>
      </c>
      <c r="M13" s="50">
        <f>'DASHBOARD '!F22</f>
        <v>0</v>
      </c>
    </row>
    <row r="14" spans="2:21" x14ac:dyDescent="0.25">
      <c r="C14" s="37"/>
      <c r="L14" s="40" t="s">
        <v>114</v>
      </c>
      <c r="M14" s="46" t="e">
        <f>PMT(M12/12,M13*12,-M11)</f>
        <v>#NUM!</v>
      </c>
    </row>
    <row r="15" spans="2:21" x14ac:dyDescent="0.25">
      <c r="C15" s="37"/>
      <c r="L15" s="40" t="s">
        <v>115</v>
      </c>
      <c r="M15" s="46" t="e">
        <f>M14*12</f>
        <v>#NUM!</v>
      </c>
    </row>
    <row r="16" spans="2:21" x14ac:dyDescent="0.25">
      <c r="C16" s="37"/>
      <c r="L16" s="40" t="s">
        <v>116</v>
      </c>
      <c r="M16" s="46" t="e">
        <f>M15*M13</f>
        <v>#NUM!</v>
      </c>
    </row>
    <row r="17" spans="3:25" x14ac:dyDescent="0.25">
      <c r="C17" s="37"/>
      <c r="D17" s="23">
        <v>0</v>
      </c>
      <c r="E17" s="23">
        <v>1</v>
      </c>
      <c r="F17" s="23">
        <v>2</v>
      </c>
      <c r="G17" s="23">
        <v>3</v>
      </c>
      <c r="H17" s="23">
        <v>4</v>
      </c>
      <c r="I17" s="23">
        <v>5</v>
      </c>
      <c r="J17" s="23">
        <v>6</v>
      </c>
      <c r="K17" s="23">
        <v>7</v>
      </c>
      <c r="L17" s="23">
        <v>8</v>
      </c>
      <c r="M17" s="23">
        <v>9</v>
      </c>
      <c r="N17" s="23">
        <v>10</v>
      </c>
      <c r="O17" s="23">
        <v>11</v>
      </c>
      <c r="P17" s="23">
        <v>12</v>
      </c>
      <c r="Q17" s="23">
        <v>13</v>
      </c>
      <c r="R17" s="23">
        <v>14</v>
      </c>
      <c r="S17" s="23">
        <v>15</v>
      </c>
      <c r="T17" s="23">
        <v>16</v>
      </c>
      <c r="U17" s="23">
        <v>17</v>
      </c>
      <c r="V17" s="23">
        <v>18</v>
      </c>
      <c r="W17" s="23">
        <v>19</v>
      </c>
      <c r="X17" s="23">
        <v>20</v>
      </c>
      <c r="Y17" s="109" t="s">
        <v>63</v>
      </c>
    </row>
    <row r="18" spans="3:25" ht="15.75" thickBot="1" x14ac:dyDescent="0.3">
      <c r="C18" s="37"/>
      <c r="D18" s="23">
        <f>IF(D19&lt;'Project Data Input'!$D$9, 1, 0)</f>
        <v>0</v>
      </c>
      <c r="E18" s="23">
        <f>IF(E19&lt;'Project Data Input'!$D$9, 1, 0)</f>
        <v>0</v>
      </c>
      <c r="F18" s="23">
        <f>IF(F19&lt;'Project Data Input'!$D$9, 1, 0)</f>
        <v>0</v>
      </c>
      <c r="G18" s="23">
        <f>IF(G19&lt;'Project Data Input'!$D$9, 1, 0)</f>
        <v>0</v>
      </c>
      <c r="H18" s="23">
        <f>IF(H19&lt;'Project Data Input'!$D$9, 1, 0)</f>
        <v>0</v>
      </c>
      <c r="I18" s="23">
        <f>IF(I19&lt;'Project Data Input'!$D$9, 1, 0)</f>
        <v>0</v>
      </c>
      <c r="J18" s="23">
        <f>IF(J19&lt;'Project Data Input'!$D$9, 1, 0)</f>
        <v>0</v>
      </c>
      <c r="K18" s="23">
        <f>IF(K19&lt;'Project Data Input'!$D$9, 1, 0)</f>
        <v>0</v>
      </c>
      <c r="L18" s="23">
        <f>IF(L19&lt;'Project Data Input'!$D$9, 1, 0)</f>
        <v>0</v>
      </c>
      <c r="M18" s="23">
        <f>IF(M19&lt;'Project Data Input'!$D$9, 1, 0)</f>
        <v>0</v>
      </c>
      <c r="N18" s="23">
        <f>IF(N19&lt;'Project Data Input'!$D$9, 1, 0)</f>
        <v>0</v>
      </c>
      <c r="O18" s="23">
        <f>IF(O19&lt;'Project Data Input'!$D$9, 1, 0)</f>
        <v>0</v>
      </c>
      <c r="P18" s="23">
        <f>IF(P19&lt;'Project Data Input'!$D$9, 1, 0)</f>
        <v>0</v>
      </c>
      <c r="Q18" s="23">
        <f>IF(Q19&lt;'Project Data Input'!$D$9, 1, 0)</f>
        <v>0</v>
      </c>
      <c r="R18" s="23">
        <f>IF(R19&lt;'Project Data Input'!$D$9, 1, 0)</f>
        <v>0</v>
      </c>
      <c r="S18" s="23">
        <f>IF(S19&lt;'Project Data Input'!$D$9, 1, 0)</f>
        <v>0</v>
      </c>
      <c r="T18" s="23">
        <f>IF(T19&lt;'Project Data Input'!$D$9, 1, 0)</f>
        <v>0</v>
      </c>
      <c r="U18" s="23">
        <v>0</v>
      </c>
      <c r="V18" s="23">
        <v>0</v>
      </c>
      <c r="W18" s="23">
        <v>0</v>
      </c>
      <c r="X18" s="23">
        <v>0</v>
      </c>
      <c r="Y18" s="23">
        <v>0</v>
      </c>
    </row>
    <row r="19" spans="3:25" ht="15.75" thickBot="1" x14ac:dyDescent="0.3">
      <c r="C19" s="52" t="s">
        <v>117</v>
      </c>
      <c r="D19" s="53">
        <f>'Technology Inputs'!E1</f>
        <v>0</v>
      </c>
      <c r="E19" s="53">
        <f>'Technology Inputs'!F1</f>
        <v>1</v>
      </c>
      <c r="F19" s="53">
        <f>'Technology Inputs'!G1</f>
        <v>2</v>
      </c>
      <c r="G19" s="53">
        <f>'Technology Inputs'!H1</f>
        <v>3</v>
      </c>
      <c r="H19" s="53">
        <f>'Technology Inputs'!I1</f>
        <v>4</v>
      </c>
      <c r="I19" s="53">
        <f>'Technology Inputs'!J1</f>
        <v>5</v>
      </c>
      <c r="J19" s="53">
        <f>'Technology Inputs'!K1</f>
        <v>6</v>
      </c>
      <c r="K19" s="53">
        <f>'Technology Inputs'!L1</f>
        <v>7</v>
      </c>
      <c r="L19" s="53">
        <f>'Technology Inputs'!M1</f>
        <v>8</v>
      </c>
      <c r="M19" s="53">
        <f>'Technology Inputs'!N1</f>
        <v>9</v>
      </c>
      <c r="N19" s="53">
        <f>'Technology Inputs'!O1</f>
        <v>10</v>
      </c>
      <c r="O19" s="53">
        <f>'Technology Inputs'!P1</f>
        <v>11</v>
      </c>
      <c r="P19" s="53">
        <f>'Technology Inputs'!Q1</f>
        <v>12</v>
      </c>
      <c r="Q19" s="53">
        <f>'Technology Inputs'!R1</f>
        <v>13</v>
      </c>
      <c r="R19" s="53">
        <f>'Technology Inputs'!S1</f>
        <v>14</v>
      </c>
      <c r="S19" s="53">
        <f>'Technology Inputs'!T1</f>
        <v>15</v>
      </c>
      <c r="T19" s="53">
        <f>'Technology Inputs'!U1</f>
        <v>16</v>
      </c>
      <c r="U19" s="53">
        <f>'Technology Inputs'!V1</f>
        <v>17</v>
      </c>
      <c r="V19" s="53">
        <f>'Technology Inputs'!W1</f>
        <v>18</v>
      </c>
      <c r="W19" s="53">
        <f>'Technology Inputs'!X1</f>
        <v>19</v>
      </c>
      <c r="X19" s="53">
        <f>'Technology Inputs'!Y1</f>
        <v>20</v>
      </c>
      <c r="Y19" s="53"/>
    </row>
    <row r="20" spans="3:25" ht="15.75" thickBot="1" x14ac:dyDescent="0.3">
      <c r="C20" s="52" t="s">
        <v>118</v>
      </c>
      <c r="D20" s="53">
        <f>'Project Data Input'!D10</f>
        <v>0</v>
      </c>
      <c r="E20" s="53">
        <f>D20+1</f>
        <v>1</v>
      </c>
      <c r="F20" s="53">
        <f t="shared" ref="F20:X20" si="0">E20+1</f>
        <v>2</v>
      </c>
      <c r="G20" s="53">
        <f t="shared" si="0"/>
        <v>3</v>
      </c>
      <c r="H20" s="53">
        <f t="shared" si="0"/>
        <v>4</v>
      </c>
      <c r="I20" s="53">
        <f t="shared" si="0"/>
        <v>5</v>
      </c>
      <c r="J20" s="53">
        <f t="shared" si="0"/>
        <v>6</v>
      </c>
      <c r="K20" s="53">
        <f t="shared" si="0"/>
        <v>7</v>
      </c>
      <c r="L20" s="53">
        <f t="shared" si="0"/>
        <v>8</v>
      </c>
      <c r="M20" s="53">
        <f t="shared" si="0"/>
        <v>9</v>
      </c>
      <c r="N20" s="53">
        <f t="shared" si="0"/>
        <v>10</v>
      </c>
      <c r="O20" s="53">
        <f t="shared" si="0"/>
        <v>11</v>
      </c>
      <c r="P20" s="53">
        <f t="shared" si="0"/>
        <v>12</v>
      </c>
      <c r="Q20" s="53">
        <f t="shared" si="0"/>
        <v>13</v>
      </c>
      <c r="R20" s="53">
        <f t="shared" si="0"/>
        <v>14</v>
      </c>
      <c r="S20" s="53">
        <f t="shared" si="0"/>
        <v>15</v>
      </c>
      <c r="T20" s="53">
        <f t="shared" si="0"/>
        <v>16</v>
      </c>
      <c r="U20" s="53">
        <f t="shared" si="0"/>
        <v>17</v>
      </c>
      <c r="V20" s="53">
        <f t="shared" si="0"/>
        <v>18</v>
      </c>
      <c r="W20" s="53">
        <f t="shared" si="0"/>
        <v>19</v>
      </c>
      <c r="X20" s="53">
        <f t="shared" si="0"/>
        <v>20</v>
      </c>
      <c r="Y20" s="53"/>
    </row>
    <row r="21" spans="3:25" ht="15.75" thickBot="1" x14ac:dyDescent="0.3">
      <c r="C21" s="52"/>
      <c r="D21" s="54"/>
      <c r="E21" s="54"/>
      <c r="F21" s="54"/>
      <c r="G21" s="54"/>
      <c r="H21" s="54"/>
      <c r="I21" s="54"/>
      <c r="J21" s="54"/>
      <c r="K21" s="54"/>
      <c r="L21" s="54"/>
      <c r="M21" s="54"/>
      <c r="N21" s="54"/>
      <c r="O21" s="54"/>
      <c r="P21" s="54"/>
      <c r="Q21" s="54"/>
      <c r="R21" s="54"/>
      <c r="S21" s="54"/>
      <c r="T21" s="54"/>
      <c r="U21" s="54"/>
      <c r="V21" s="54"/>
      <c r="W21" s="54"/>
      <c r="X21" s="54"/>
      <c r="Y21" s="54"/>
    </row>
    <row r="22" spans="3:25" x14ac:dyDescent="0.25">
      <c r="C22" s="55" t="s">
        <v>119</v>
      </c>
      <c r="D22" s="56"/>
      <c r="E22" s="56"/>
      <c r="F22" s="56"/>
      <c r="G22" s="56"/>
      <c r="H22" s="56"/>
      <c r="I22" s="56"/>
      <c r="J22" s="56"/>
      <c r="K22" s="56"/>
      <c r="L22" s="56"/>
      <c r="M22" s="56"/>
      <c r="N22" s="56"/>
      <c r="O22" s="56"/>
      <c r="P22" s="56"/>
      <c r="Q22" s="56"/>
      <c r="R22" s="56"/>
      <c r="S22" s="56"/>
      <c r="T22" s="56"/>
      <c r="U22" s="56"/>
      <c r="V22" s="56"/>
      <c r="W22" s="56"/>
      <c r="X22" s="57"/>
      <c r="Y22" s="110" t="s">
        <v>63</v>
      </c>
    </row>
    <row r="23" spans="3:25" x14ac:dyDescent="0.25">
      <c r="C23" s="58" t="s">
        <v>120</v>
      </c>
      <c r="D23" s="59">
        <f>'Project Data Input'!$D14*'Project Data Input'!F14</f>
        <v>0</v>
      </c>
      <c r="E23" s="59">
        <f>D23*'Technology Inputs'!F$18*E$18</f>
        <v>0</v>
      </c>
      <c r="F23" s="59">
        <f>E23*'Technology Inputs'!G18*F18</f>
        <v>0</v>
      </c>
      <c r="G23" s="59">
        <f>F23*'Technology Inputs'!H18*G18</f>
        <v>0</v>
      </c>
      <c r="H23" s="59">
        <f>G23*'Technology Inputs'!I18*H18</f>
        <v>0</v>
      </c>
      <c r="I23" s="59">
        <f>H23*'Technology Inputs'!J18*I18</f>
        <v>0</v>
      </c>
      <c r="J23" s="59">
        <f>I23*'Technology Inputs'!K18*J18</f>
        <v>0</v>
      </c>
      <c r="K23" s="59">
        <f>J23*'Technology Inputs'!L18*K18</f>
        <v>0</v>
      </c>
      <c r="L23" s="59">
        <f>K23*'Technology Inputs'!M18*L18</f>
        <v>0</v>
      </c>
      <c r="M23" s="59">
        <f>L23*'Technology Inputs'!N18*M18</f>
        <v>0</v>
      </c>
      <c r="N23" s="59">
        <f>M23*'Technology Inputs'!O18*N18</f>
        <v>0</v>
      </c>
      <c r="O23" s="59">
        <f>N23*'Technology Inputs'!P18*O18</f>
        <v>0</v>
      </c>
      <c r="P23" s="59">
        <f>O23*'Technology Inputs'!Q18*P18</f>
        <v>0</v>
      </c>
      <c r="Q23" s="59">
        <f>P23*'Technology Inputs'!R18*Q18</f>
        <v>0</v>
      </c>
      <c r="R23" s="59">
        <f>Q23*'Technology Inputs'!S18*R18</f>
        <v>0</v>
      </c>
      <c r="S23" s="59">
        <f>R23*'Technology Inputs'!T18*S18</f>
        <v>0</v>
      </c>
      <c r="T23" s="59">
        <f>S23*'Technology Inputs'!U18*T18</f>
        <v>0</v>
      </c>
      <c r="U23" s="59">
        <f>T23*'Technology Inputs'!V18*U18</f>
        <v>0</v>
      </c>
      <c r="V23" s="59">
        <f>U23*'Technology Inputs'!W18*V18</f>
        <v>0</v>
      </c>
      <c r="W23" s="59">
        <f>V23*'Technology Inputs'!X18*W18</f>
        <v>0</v>
      </c>
      <c r="X23" s="59">
        <f>W23*'Technology Inputs'!Y18*X18</f>
        <v>0</v>
      </c>
      <c r="Y23" s="59">
        <f>SUM(D23:X23)</f>
        <v>0</v>
      </c>
    </row>
    <row r="24" spans="3:25" x14ac:dyDescent="0.25">
      <c r="C24" s="58" t="s">
        <v>53</v>
      </c>
      <c r="D24" s="60">
        <f>'Project Data Input'!E20</f>
        <v>0</v>
      </c>
      <c r="E24" s="60">
        <f>D24</f>
        <v>0</v>
      </c>
      <c r="F24" s="60">
        <f t="shared" ref="F24:X24" si="1">E24</f>
        <v>0</v>
      </c>
      <c r="G24" s="60">
        <f t="shared" si="1"/>
        <v>0</v>
      </c>
      <c r="H24" s="60">
        <f t="shared" si="1"/>
        <v>0</v>
      </c>
      <c r="I24" s="60">
        <f t="shared" si="1"/>
        <v>0</v>
      </c>
      <c r="J24" s="60">
        <f t="shared" si="1"/>
        <v>0</v>
      </c>
      <c r="K24" s="60">
        <f t="shared" si="1"/>
        <v>0</v>
      </c>
      <c r="L24" s="60">
        <f t="shared" si="1"/>
        <v>0</v>
      </c>
      <c r="M24" s="60">
        <f t="shared" si="1"/>
        <v>0</v>
      </c>
      <c r="N24" s="60">
        <f t="shared" si="1"/>
        <v>0</v>
      </c>
      <c r="O24" s="60">
        <f t="shared" si="1"/>
        <v>0</v>
      </c>
      <c r="P24" s="60">
        <f t="shared" si="1"/>
        <v>0</v>
      </c>
      <c r="Q24" s="60">
        <f t="shared" si="1"/>
        <v>0</v>
      </c>
      <c r="R24" s="60">
        <f t="shared" si="1"/>
        <v>0</v>
      </c>
      <c r="S24" s="60">
        <f t="shared" si="1"/>
        <v>0</v>
      </c>
      <c r="T24" s="60">
        <f t="shared" si="1"/>
        <v>0</v>
      </c>
      <c r="U24" s="60">
        <f t="shared" si="1"/>
        <v>0</v>
      </c>
      <c r="V24" s="60">
        <f t="shared" si="1"/>
        <v>0</v>
      </c>
      <c r="W24" s="60">
        <f t="shared" si="1"/>
        <v>0</v>
      </c>
      <c r="X24" s="60">
        <f t="shared" si="1"/>
        <v>0</v>
      </c>
      <c r="Y24" s="60">
        <f t="shared" ref="Y24:Y46" si="2">SUM(D24:X24)</f>
        <v>0</v>
      </c>
    </row>
    <row r="25" spans="3:25" x14ac:dyDescent="0.25">
      <c r="C25" s="58" t="s">
        <v>121</v>
      </c>
      <c r="D25" s="59">
        <f>'Project Data Input'!D15*'Project Data Input'!F15</f>
        <v>0</v>
      </c>
      <c r="E25" s="59">
        <f>D25*'Technology Inputs'!F$19*E$18</f>
        <v>0</v>
      </c>
      <c r="F25" s="59">
        <f>E25*'Technology Inputs'!G19*F18</f>
        <v>0</v>
      </c>
      <c r="G25" s="59">
        <f>F25*'Technology Inputs'!H19*G18</f>
        <v>0</v>
      </c>
      <c r="H25" s="59">
        <f>G25*'Technology Inputs'!I19*H18</f>
        <v>0</v>
      </c>
      <c r="I25" s="59">
        <f>H25*'Technology Inputs'!J19*I18</f>
        <v>0</v>
      </c>
      <c r="J25" s="59">
        <f>I25*'Technology Inputs'!K19*J18</f>
        <v>0</v>
      </c>
      <c r="K25" s="59">
        <f>J25*'Technology Inputs'!L19*K18</f>
        <v>0</v>
      </c>
      <c r="L25" s="59">
        <f>K25*'Technology Inputs'!M19*L18</f>
        <v>0</v>
      </c>
      <c r="M25" s="59">
        <f>L25*'Technology Inputs'!N19*M18</f>
        <v>0</v>
      </c>
      <c r="N25" s="59">
        <f>M25*'Technology Inputs'!O19*N18</f>
        <v>0</v>
      </c>
      <c r="O25" s="59">
        <f>N25*'Technology Inputs'!P19*O18</f>
        <v>0</v>
      </c>
      <c r="P25" s="59">
        <f>O25*'Technology Inputs'!Q19*P18</f>
        <v>0</v>
      </c>
      <c r="Q25" s="59">
        <f>P25*'Technology Inputs'!R19*Q18</f>
        <v>0</v>
      </c>
      <c r="R25" s="59">
        <f>Q25*'Technology Inputs'!S19*R18</f>
        <v>0</v>
      </c>
      <c r="S25" s="59">
        <f>R25*'Technology Inputs'!T19*S18</f>
        <v>0</v>
      </c>
      <c r="T25" s="59">
        <f>S25*'Technology Inputs'!U19*T18</f>
        <v>0</v>
      </c>
      <c r="U25" s="59">
        <f>T25*'Technology Inputs'!V19*U18</f>
        <v>0</v>
      </c>
      <c r="V25" s="59">
        <f>U25*'Technology Inputs'!W19*V18</f>
        <v>0</v>
      </c>
      <c r="W25" s="59">
        <f>V25*'Technology Inputs'!X19*W18</f>
        <v>0</v>
      </c>
      <c r="X25" s="59">
        <f>W25*'Technology Inputs'!Y19*X18</f>
        <v>0</v>
      </c>
      <c r="Y25" s="59">
        <f t="shared" si="2"/>
        <v>0</v>
      </c>
    </row>
    <row r="26" spans="3:25" x14ac:dyDescent="0.25">
      <c r="C26" s="58" t="str">
        <f>""&amp;'Project Data Input'!$C$16&amp;" Costs"</f>
        <v>Fuel oil Costs</v>
      </c>
      <c r="D26" s="59">
        <f>'Project Data Input'!D16*'Project Data Input'!F16</f>
        <v>0</v>
      </c>
      <c r="E26" s="59">
        <f>D26*'Technology Inputs'!F$20*E$18</f>
        <v>0</v>
      </c>
      <c r="F26" s="59">
        <f>E26*'Technology Inputs'!G20*F18</f>
        <v>0</v>
      </c>
      <c r="G26" s="59">
        <f>F26*'Technology Inputs'!H20*G18</f>
        <v>0</v>
      </c>
      <c r="H26" s="59">
        <f>G26*'Technology Inputs'!I20*H18</f>
        <v>0</v>
      </c>
      <c r="I26" s="59">
        <f>H26*'Technology Inputs'!J20*I18</f>
        <v>0</v>
      </c>
      <c r="J26" s="59">
        <f>I26*'Technology Inputs'!K20*J18</f>
        <v>0</v>
      </c>
      <c r="K26" s="59">
        <f>J26*'Technology Inputs'!L20*K18</f>
        <v>0</v>
      </c>
      <c r="L26" s="59">
        <f>K26*'Technology Inputs'!M20*L18</f>
        <v>0</v>
      </c>
      <c r="M26" s="59">
        <f>L26*'Technology Inputs'!N20*M18</f>
        <v>0</v>
      </c>
      <c r="N26" s="59">
        <f>M26*'Technology Inputs'!O20*N18</f>
        <v>0</v>
      </c>
      <c r="O26" s="59">
        <f>N26*'Technology Inputs'!P20*O18</f>
        <v>0</v>
      </c>
      <c r="P26" s="59">
        <f>O26*'Technology Inputs'!Q20*P18</f>
        <v>0</v>
      </c>
      <c r="Q26" s="59">
        <f>P26*'Technology Inputs'!R20*Q18</f>
        <v>0</v>
      </c>
      <c r="R26" s="59">
        <f>Q26*'Technology Inputs'!S20*R18</f>
        <v>0</v>
      </c>
      <c r="S26" s="59">
        <f>R26*'Technology Inputs'!T20*S18</f>
        <v>0</v>
      </c>
      <c r="T26" s="59">
        <f>S26*'Technology Inputs'!U20*T18</f>
        <v>0</v>
      </c>
      <c r="U26" s="59">
        <f>T26*'Technology Inputs'!V20*U18</f>
        <v>0</v>
      </c>
      <c r="V26" s="59">
        <f>U26*'Technology Inputs'!W20*V18</f>
        <v>0</v>
      </c>
      <c r="W26" s="59">
        <f>V26*'Technology Inputs'!X20*W18</f>
        <v>0</v>
      </c>
      <c r="X26" s="59">
        <f>W26*'Technology Inputs'!Y20*X18</f>
        <v>0</v>
      </c>
      <c r="Y26" s="59">
        <f t="shared" si="2"/>
        <v>0</v>
      </c>
    </row>
    <row r="27" spans="3:25" x14ac:dyDescent="0.25">
      <c r="C27" s="58" t="str">
        <f>""&amp;'Project Data Input'!$C$17&amp;" Costs"</f>
        <v>Burning oil Costs</v>
      </c>
      <c r="D27" s="59">
        <f>'Project Data Input'!D17*'Project Data Input'!F17</f>
        <v>0</v>
      </c>
      <c r="E27" s="59">
        <f>D27*'Technology Inputs'!F$25*E$18</f>
        <v>0</v>
      </c>
      <c r="F27" s="59">
        <f>E27*'Technology Inputs'!G25*F18</f>
        <v>0</v>
      </c>
      <c r="G27" s="59">
        <f>F27*'Technology Inputs'!H25*G18</f>
        <v>0</v>
      </c>
      <c r="H27" s="59">
        <f>G27*'Technology Inputs'!I25*H18</f>
        <v>0</v>
      </c>
      <c r="I27" s="59">
        <f>H27*'Technology Inputs'!J25*I18</f>
        <v>0</v>
      </c>
      <c r="J27" s="59">
        <f>I27*'Technology Inputs'!K25*J18</f>
        <v>0</v>
      </c>
      <c r="K27" s="59">
        <f>J27*'Technology Inputs'!L25*K18</f>
        <v>0</v>
      </c>
      <c r="L27" s="59">
        <f>K27*'Technology Inputs'!M25*L18</f>
        <v>0</v>
      </c>
      <c r="M27" s="59">
        <f>L27*'Technology Inputs'!N25*M18</f>
        <v>0</v>
      </c>
      <c r="N27" s="59">
        <f>M27*'Technology Inputs'!O25*N18</f>
        <v>0</v>
      </c>
      <c r="O27" s="59">
        <f>N27*'Technology Inputs'!P25*O18</f>
        <v>0</v>
      </c>
      <c r="P27" s="59">
        <f>O27*'Technology Inputs'!Q25*P18</f>
        <v>0</v>
      </c>
      <c r="Q27" s="59">
        <f>P27*'Technology Inputs'!R25*Q18</f>
        <v>0</v>
      </c>
      <c r="R27" s="59">
        <f>Q27*'Technology Inputs'!S25*R18</f>
        <v>0</v>
      </c>
      <c r="S27" s="59">
        <f>R27*'Technology Inputs'!T25*S18</f>
        <v>0</v>
      </c>
      <c r="T27" s="59">
        <f>S27*'Technology Inputs'!U25*T18</f>
        <v>0</v>
      </c>
      <c r="U27" s="59">
        <f>T27*'Technology Inputs'!V25*U18</f>
        <v>0</v>
      </c>
      <c r="V27" s="59">
        <f>U27*'Technology Inputs'!W25*V18</f>
        <v>0</v>
      </c>
      <c r="W27" s="59">
        <f>V27*'Technology Inputs'!X25*W18</f>
        <v>0</v>
      </c>
      <c r="X27" s="59">
        <f>W27*'Technology Inputs'!Y25*X18</f>
        <v>0</v>
      </c>
      <c r="Y27" s="59">
        <f t="shared" si="2"/>
        <v>0</v>
      </c>
    </row>
    <row r="28" spans="3:25" x14ac:dyDescent="0.25">
      <c r="C28" s="58" t="s">
        <v>54</v>
      </c>
      <c r="D28" s="59">
        <f>'Project Data Input'!E21</f>
        <v>0</v>
      </c>
      <c r="E28" s="59">
        <f>'Project Data Input'!F21*E$18</f>
        <v>0</v>
      </c>
      <c r="F28" s="59">
        <f>'Project Data Input'!G21*F18</f>
        <v>0</v>
      </c>
      <c r="G28" s="59">
        <f>'Project Data Input'!H21*G18</f>
        <v>0</v>
      </c>
      <c r="H28" s="59">
        <f>'Project Data Input'!I21*H18</f>
        <v>0</v>
      </c>
      <c r="I28" s="59">
        <f>'Project Data Input'!J21*I18</f>
        <v>0</v>
      </c>
      <c r="J28" s="59">
        <f>'Project Data Input'!K21*J18</f>
        <v>0</v>
      </c>
      <c r="K28" s="59">
        <f>'Project Data Input'!L21*K18</f>
        <v>0</v>
      </c>
      <c r="L28" s="59">
        <f>'Project Data Input'!M21*L18</f>
        <v>0</v>
      </c>
      <c r="M28" s="59">
        <f>'Project Data Input'!N21*M18</f>
        <v>0</v>
      </c>
      <c r="N28" s="59">
        <f>'Project Data Input'!O21*N18</f>
        <v>0</v>
      </c>
      <c r="O28" s="59">
        <f>'Project Data Input'!P21*O18</f>
        <v>0</v>
      </c>
      <c r="P28" s="59">
        <f>'Project Data Input'!Q21*P18</f>
        <v>0</v>
      </c>
      <c r="Q28" s="59">
        <f>'Project Data Input'!R21*Q18</f>
        <v>0</v>
      </c>
      <c r="R28" s="59">
        <f>'Project Data Input'!S21*R18</f>
        <v>0</v>
      </c>
      <c r="S28" s="59">
        <f>'Project Data Input'!T21*S18</f>
        <v>0</v>
      </c>
      <c r="T28" s="59">
        <f>'Project Data Input'!U21*T18</f>
        <v>0</v>
      </c>
      <c r="U28" s="59">
        <f>'Project Data Input'!V21*U18</f>
        <v>0</v>
      </c>
      <c r="V28" s="59">
        <f>'Project Data Input'!W21*V18</f>
        <v>0</v>
      </c>
      <c r="W28" s="59">
        <f>'Project Data Input'!X21*W18</f>
        <v>0</v>
      </c>
      <c r="X28" s="59">
        <f>'Project Data Input'!Y21*X18</f>
        <v>0</v>
      </c>
      <c r="Y28" s="59">
        <f t="shared" si="2"/>
        <v>0</v>
      </c>
    </row>
    <row r="29" spans="3:25" ht="15.75" thickBot="1" x14ac:dyDescent="0.3">
      <c r="C29" s="58" t="s">
        <v>122</v>
      </c>
      <c r="D29" s="59">
        <f>((SUM('Option A Outcome'!D32:D34))*'Technology Inputs'!E31)+(D31*'Technology Inputs'!E30)</f>
        <v>0</v>
      </c>
      <c r="E29" s="59">
        <f>((SUM('Option A Outcome'!E32:E34))*'Technology Inputs'!F31)+(E31*'Technology Inputs'!F30)</f>
        <v>0</v>
      </c>
      <c r="F29" s="59">
        <f>((SUM('Option A Outcome'!F32:F34))*'Technology Inputs'!G31)+(F31*'Technology Inputs'!G30)</f>
        <v>0</v>
      </c>
      <c r="G29" s="59">
        <f>((SUM('Option A Outcome'!G32:G34))*'Technology Inputs'!H31)+(G31*'Technology Inputs'!H30)</f>
        <v>0</v>
      </c>
      <c r="H29" s="59">
        <f>((SUM('Option A Outcome'!H32:H34))*'Technology Inputs'!I31)+(H31*'Technology Inputs'!I30)</f>
        <v>0</v>
      </c>
      <c r="I29" s="59">
        <f>((SUM('Option A Outcome'!I32:I34))*'Technology Inputs'!J31)+(I31*'Technology Inputs'!J30)</f>
        <v>0</v>
      </c>
      <c r="J29" s="59">
        <f>((SUM('Option A Outcome'!J32:J34))*'Technology Inputs'!K31)+(J31*'Technology Inputs'!K30)</f>
        <v>0</v>
      </c>
      <c r="K29" s="59">
        <f>((SUM('Option A Outcome'!K32:K34))*'Technology Inputs'!L31)+(K31*'Technology Inputs'!L30)</f>
        <v>0</v>
      </c>
      <c r="L29" s="59">
        <f>((SUM('Option A Outcome'!L32:L34))*'Technology Inputs'!M31)+(L31*'Technology Inputs'!M30)</f>
        <v>0</v>
      </c>
      <c r="M29" s="59">
        <f>((SUM('Option A Outcome'!M32:M34))*'Technology Inputs'!N31)+(M31*'Technology Inputs'!N30)</f>
        <v>0</v>
      </c>
      <c r="N29" s="59">
        <f>((SUM('Option A Outcome'!N32:N34))*'Technology Inputs'!O31)+(N31*'Technology Inputs'!O30)</f>
        <v>0</v>
      </c>
      <c r="O29" s="59">
        <f>((SUM('Option A Outcome'!O32:O34))*'Technology Inputs'!P31)+(O31*'Technology Inputs'!P30)</f>
        <v>0</v>
      </c>
      <c r="P29" s="59">
        <f>((SUM('Option A Outcome'!P32:P34))*'Technology Inputs'!Q31)+(P31*'Technology Inputs'!Q30)</f>
        <v>0</v>
      </c>
      <c r="Q29" s="59">
        <f>((SUM('Option A Outcome'!Q32:Q34))*'Technology Inputs'!R31)+(Q31*'Technology Inputs'!R30)</f>
        <v>0</v>
      </c>
      <c r="R29" s="59">
        <f>((SUM('Option A Outcome'!R32:R34))*'Technology Inputs'!S31)+(R31*'Technology Inputs'!S30)</f>
        <v>0</v>
      </c>
      <c r="S29" s="59">
        <f>((SUM('Option A Outcome'!S32:S34))*'Technology Inputs'!T31)+(S31*'Technology Inputs'!T30)</f>
        <v>0</v>
      </c>
      <c r="T29" s="59">
        <f>((SUM('Option A Outcome'!T32:T34))*'Technology Inputs'!U31)+(T31*'Technology Inputs'!U30)</f>
        <v>0</v>
      </c>
      <c r="U29" s="59">
        <f>((SUM('Option A Outcome'!U32:U34))*'Technology Inputs'!V31)+(U31*'Technology Inputs'!V30)</f>
        <v>0</v>
      </c>
      <c r="V29" s="59">
        <f>((SUM('Option A Outcome'!V32:V34))*'Technology Inputs'!W31)+(V31*'Technology Inputs'!W30)</f>
        <v>0</v>
      </c>
      <c r="W29" s="59">
        <f>((SUM('Option A Outcome'!W32:W34))*'Technology Inputs'!X31)+(W31*'Technology Inputs'!X30)</f>
        <v>0</v>
      </c>
      <c r="X29" s="59">
        <f>((SUM('Option A Outcome'!X32:X34))*'Technology Inputs'!Y31)+(X31*'Technology Inputs'!Y30)</f>
        <v>0</v>
      </c>
      <c r="Y29" s="59">
        <f t="shared" si="2"/>
        <v>0</v>
      </c>
    </row>
    <row r="30" spans="3:25" x14ac:dyDescent="0.25">
      <c r="C30" s="55" t="s">
        <v>123</v>
      </c>
      <c r="D30" s="56"/>
      <c r="E30" s="56"/>
      <c r="F30" s="56"/>
      <c r="G30" s="56"/>
      <c r="H30" s="56"/>
      <c r="I30" s="56"/>
      <c r="J30" s="56"/>
      <c r="K30" s="56"/>
      <c r="L30" s="56"/>
      <c r="M30" s="56"/>
      <c r="N30" s="56"/>
      <c r="O30" s="56"/>
      <c r="P30" s="56"/>
      <c r="Q30" s="56"/>
      <c r="R30" s="56"/>
      <c r="S30" s="56"/>
      <c r="T30" s="56"/>
      <c r="U30" s="56"/>
      <c r="V30" s="56"/>
      <c r="W30" s="56"/>
      <c r="X30" s="57"/>
      <c r="Y30" s="57">
        <f t="shared" si="2"/>
        <v>0</v>
      </c>
    </row>
    <row r="31" spans="3:25" x14ac:dyDescent="0.25">
      <c r="C31" s="58" t="s">
        <v>124</v>
      </c>
      <c r="D31" s="108">
        <f>'Project Data Input'!$D$14*'Technology Inputs'!E6/1000*Elec_sales_kWh</f>
        <v>0</v>
      </c>
      <c r="E31" s="108">
        <f>'Project Data Input'!$D$14*'Technology Inputs'!F$6/1000*E$18</f>
        <v>0</v>
      </c>
      <c r="F31" s="108">
        <f>'Project Data Input'!$D$14*'Technology Inputs'!G6/1000*F18</f>
        <v>0</v>
      </c>
      <c r="G31" s="108">
        <f>'Project Data Input'!$D$14*'Technology Inputs'!H6/1000*G18</f>
        <v>0</v>
      </c>
      <c r="H31" s="108">
        <f>'Project Data Input'!$D$14*'Technology Inputs'!I6/1000*H18</f>
        <v>0</v>
      </c>
      <c r="I31" s="108">
        <f>'Project Data Input'!$D$14*'Technology Inputs'!J6/1000*I18</f>
        <v>0</v>
      </c>
      <c r="J31" s="108">
        <f>'Project Data Input'!$D$14*'Technology Inputs'!K6/1000*J18</f>
        <v>0</v>
      </c>
      <c r="K31" s="108">
        <f>'Project Data Input'!$D$14*'Technology Inputs'!L6/1000*K18</f>
        <v>0</v>
      </c>
      <c r="L31" s="108">
        <f>'Project Data Input'!$D$14*'Technology Inputs'!M6/1000*L18</f>
        <v>0</v>
      </c>
      <c r="M31" s="108">
        <f>'Project Data Input'!$D$14*'Technology Inputs'!N6/1000*M18</f>
        <v>0</v>
      </c>
      <c r="N31" s="108">
        <f>'Project Data Input'!$D$14*'Technology Inputs'!O6/1000*N18</f>
        <v>0</v>
      </c>
      <c r="O31" s="108">
        <f>'Project Data Input'!$D$14*'Technology Inputs'!P6/1000*O18</f>
        <v>0</v>
      </c>
      <c r="P31" s="108">
        <f>'Project Data Input'!$D$14*'Technology Inputs'!Q6/1000*P18</f>
        <v>0</v>
      </c>
      <c r="Q31" s="108">
        <f>'Project Data Input'!$D$14*'Technology Inputs'!R6/1000*Q18</f>
        <v>0</v>
      </c>
      <c r="R31" s="108">
        <f>'Project Data Input'!$D$14*'Technology Inputs'!S6/1000*R18</f>
        <v>0</v>
      </c>
      <c r="S31" s="108">
        <f>'Project Data Input'!$D$14*'Technology Inputs'!T6/1000*S18</f>
        <v>0</v>
      </c>
      <c r="T31" s="108">
        <f>'Project Data Input'!$D$14*'Technology Inputs'!U6/1000*T18</f>
        <v>0</v>
      </c>
      <c r="U31" s="108">
        <f>'Project Data Input'!$D$14*'Technology Inputs'!V6/1000*U18</f>
        <v>0</v>
      </c>
      <c r="V31" s="108">
        <f>'Project Data Input'!$D$14*'Technology Inputs'!W6/1000*V18</f>
        <v>0</v>
      </c>
      <c r="W31" s="108">
        <f>'Project Data Input'!$D$14*'Technology Inputs'!X6/1000*W18</f>
        <v>0</v>
      </c>
      <c r="X31" s="108">
        <f>'Project Data Input'!$D$14*'Technology Inputs'!Y6/1000*X18</f>
        <v>0</v>
      </c>
      <c r="Y31" s="108">
        <f t="shared" si="2"/>
        <v>0</v>
      </c>
    </row>
    <row r="32" spans="3:25" x14ac:dyDescent="0.25">
      <c r="C32" s="58" t="s">
        <v>125</v>
      </c>
      <c r="D32" s="108">
        <f>'Project Data Input'!$D$15*'Technology Inputs'!E7/1000*Elec_sales_kWh</f>
        <v>0</v>
      </c>
      <c r="E32" s="108">
        <f>'Project Data Input'!$D$15*'Technology Inputs'!F$7/1000*E$18</f>
        <v>0</v>
      </c>
      <c r="F32" s="108">
        <f>'Project Data Input'!$D$15*'Technology Inputs'!G7/1000*F18</f>
        <v>0</v>
      </c>
      <c r="G32" s="108">
        <f>'Project Data Input'!$D$15*'Technology Inputs'!H7/1000*G18</f>
        <v>0</v>
      </c>
      <c r="H32" s="108">
        <f>'Project Data Input'!$D$15*'Technology Inputs'!I7/1000*H18</f>
        <v>0</v>
      </c>
      <c r="I32" s="108">
        <f>'Project Data Input'!$D$15*'Technology Inputs'!J7/1000*I18</f>
        <v>0</v>
      </c>
      <c r="J32" s="108">
        <f>'Project Data Input'!$D$15*'Technology Inputs'!K7/1000*J18</f>
        <v>0</v>
      </c>
      <c r="K32" s="108">
        <f>'Project Data Input'!$D$15*'Technology Inputs'!L7/1000*K18</f>
        <v>0</v>
      </c>
      <c r="L32" s="108">
        <f>'Project Data Input'!$D$15*'Technology Inputs'!M7/1000*L18</f>
        <v>0</v>
      </c>
      <c r="M32" s="108">
        <f>'Project Data Input'!$D$15*'Technology Inputs'!N7/1000*M18</f>
        <v>0</v>
      </c>
      <c r="N32" s="108">
        <f>'Project Data Input'!$D$15*'Technology Inputs'!O7/1000*N18</f>
        <v>0</v>
      </c>
      <c r="O32" s="108">
        <f>'Project Data Input'!$D$15*'Technology Inputs'!P7/1000*O18</f>
        <v>0</v>
      </c>
      <c r="P32" s="108">
        <f>'Project Data Input'!$D$15*'Technology Inputs'!Q7/1000*P18</f>
        <v>0</v>
      </c>
      <c r="Q32" s="108">
        <f>'Project Data Input'!$D$15*'Technology Inputs'!R7/1000*Q18</f>
        <v>0</v>
      </c>
      <c r="R32" s="108">
        <f>'Project Data Input'!$D$15*'Technology Inputs'!S7/1000*R18</f>
        <v>0</v>
      </c>
      <c r="S32" s="108">
        <f>'Project Data Input'!$D$15*'Technology Inputs'!T7/1000*S18</f>
        <v>0</v>
      </c>
      <c r="T32" s="108">
        <f>'Project Data Input'!$D$15*'Technology Inputs'!U7/1000*T18</f>
        <v>0</v>
      </c>
      <c r="U32" s="108">
        <f>'Project Data Input'!$D$15*'Technology Inputs'!V7/1000*U18</f>
        <v>0</v>
      </c>
      <c r="V32" s="108">
        <f>'Project Data Input'!$D$15*'Technology Inputs'!W7/1000*V18</f>
        <v>0</v>
      </c>
      <c r="W32" s="108">
        <f>'Project Data Input'!$D$15*'Technology Inputs'!X7/1000*W18</f>
        <v>0</v>
      </c>
      <c r="X32" s="108">
        <f>'Project Data Input'!$D$15*'Technology Inputs'!Y7/1000*X18</f>
        <v>0</v>
      </c>
      <c r="Y32" s="108">
        <f t="shared" si="2"/>
        <v>0</v>
      </c>
    </row>
    <row r="33" spans="3:25" x14ac:dyDescent="0.25">
      <c r="C33" s="58" t="str">
        <f>""&amp;'Project Data Input'!$C$16&amp;" emissions"</f>
        <v>Fuel oil emissions</v>
      </c>
      <c r="D33" s="108">
        <f>'Project Data Input'!$D$16*'Technology Inputs'!E9/1000*Elec_sales_kWh</f>
        <v>0</v>
      </c>
      <c r="E33" s="108">
        <f>'Project Data Input'!$D$16*'Technology Inputs'!F$9/1000*E$18</f>
        <v>0</v>
      </c>
      <c r="F33" s="108">
        <f>'Project Data Input'!$D$16*'Technology Inputs'!G9/1000*F18</f>
        <v>0</v>
      </c>
      <c r="G33" s="108">
        <f>'Project Data Input'!$D$16*'Technology Inputs'!H9/1000*G18</f>
        <v>0</v>
      </c>
      <c r="H33" s="108">
        <f>'Project Data Input'!$D$16*'Technology Inputs'!I9/1000*H18</f>
        <v>0</v>
      </c>
      <c r="I33" s="108">
        <f>'Project Data Input'!$D$16*'Technology Inputs'!J9/1000*I18</f>
        <v>0</v>
      </c>
      <c r="J33" s="108">
        <f>'Project Data Input'!$D$16*'Technology Inputs'!K9/1000*J18</f>
        <v>0</v>
      </c>
      <c r="K33" s="108">
        <f>'Project Data Input'!$D$16*'Technology Inputs'!L9/1000*K18</f>
        <v>0</v>
      </c>
      <c r="L33" s="108">
        <f>'Project Data Input'!$D$16*'Technology Inputs'!M9/1000*L18</f>
        <v>0</v>
      </c>
      <c r="M33" s="108">
        <f>'Project Data Input'!$D$16*'Technology Inputs'!N9/1000*M18</f>
        <v>0</v>
      </c>
      <c r="N33" s="108">
        <f>'Project Data Input'!$D$16*'Technology Inputs'!O9/1000*N18</f>
        <v>0</v>
      </c>
      <c r="O33" s="108">
        <f>'Project Data Input'!$D$16*'Technology Inputs'!P9/1000*O18</f>
        <v>0</v>
      </c>
      <c r="P33" s="108">
        <f>'Project Data Input'!$D$16*'Technology Inputs'!Q9/1000*P18</f>
        <v>0</v>
      </c>
      <c r="Q33" s="108">
        <f>'Project Data Input'!$D$16*'Technology Inputs'!R9/1000*Q18</f>
        <v>0</v>
      </c>
      <c r="R33" s="108">
        <f>'Project Data Input'!$D$16*'Technology Inputs'!S9/1000*R18</f>
        <v>0</v>
      </c>
      <c r="S33" s="108">
        <f>'Project Data Input'!$D$16*'Technology Inputs'!T9/1000*S18</f>
        <v>0</v>
      </c>
      <c r="T33" s="108">
        <f>'Project Data Input'!$D$16*'Technology Inputs'!U9/1000*T18</f>
        <v>0</v>
      </c>
      <c r="U33" s="108">
        <f>'Project Data Input'!$D$16*'Technology Inputs'!V9/1000*U18</f>
        <v>0</v>
      </c>
      <c r="V33" s="108">
        <f>'Project Data Input'!$D$16*'Technology Inputs'!W9/1000*V18</f>
        <v>0</v>
      </c>
      <c r="W33" s="108">
        <f>'Project Data Input'!$D$16*'Technology Inputs'!X9/1000*W18</f>
        <v>0</v>
      </c>
      <c r="X33" s="108">
        <f>'Project Data Input'!$D$16*'Technology Inputs'!Y9/1000*X18</f>
        <v>0</v>
      </c>
      <c r="Y33" s="108">
        <f t="shared" si="2"/>
        <v>0</v>
      </c>
    </row>
    <row r="34" spans="3:25" x14ac:dyDescent="0.25">
      <c r="C34" s="58" t="str">
        <f>""&amp;'Project Data Input'!$C$17&amp;" Emissions"</f>
        <v>Burning oil Emissions</v>
      </c>
      <c r="D34" s="108">
        <f>'Project Data Input'!$D$17*'Technology Inputs'!E13/1000*Elec_sales_kWh</f>
        <v>0</v>
      </c>
      <c r="E34" s="108">
        <f>'Project Data Input'!$D$17*'Technology Inputs'!F$13/1000*E$18</f>
        <v>0</v>
      </c>
      <c r="F34" s="108">
        <f>'Project Data Input'!$D$17*'Technology Inputs'!G13/1000*F18</f>
        <v>0</v>
      </c>
      <c r="G34" s="108">
        <f>'Project Data Input'!$D$17*'Technology Inputs'!H13/1000*G18</f>
        <v>0</v>
      </c>
      <c r="H34" s="108">
        <f>'Project Data Input'!$D$17*'Technology Inputs'!I13/1000*H18</f>
        <v>0</v>
      </c>
      <c r="I34" s="108">
        <f>'Project Data Input'!$D$17*'Technology Inputs'!J13/1000*I18</f>
        <v>0</v>
      </c>
      <c r="J34" s="108">
        <f>'Project Data Input'!$D$17*'Technology Inputs'!K13/1000*J18</f>
        <v>0</v>
      </c>
      <c r="K34" s="108">
        <f>'Project Data Input'!$D$17*'Technology Inputs'!L13/1000*K18</f>
        <v>0</v>
      </c>
      <c r="L34" s="108">
        <f>'Project Data Input'!$D$17*'Technology Inputs'!M13/1000*L18</f>
        <v>0</v>
      </c>
      <c r="M34" s="108">
        <f>'Project Data Input'!$D$17*'Technology Inputs'!N13/1000*M18</f>
        <v>0</v>
      </c>
      <c r="N34" s="108">
        <f>'Project Data Input'!$D$17*'Technology Inputs'!O13/1000*N18</f>
        <v>0</v>
      </c>
      <c r="O34" s="108">
        <f>'Project Data Input'!$D$17*'Technology Inputs'!P13/1000*O18</f>
        <v>0</v>
      </c>
      <c r="P34" s="108">
        <f>'Project Data Input'!$D$17*'Technology Inputs'!Q13/1000*P18</f>
        <v>0</v>
      </c>
      <c r="Q34" s="108">
        <f>'Project Data Input'!$D$17*'Technology Inputs'!R13/1000*Q18</f>
        <v>0</v>
      </c>
      <c r="R34" s="108">
        <f>'Project Data Input'!$D$17*'Technology Inputs'!S13/1000*R18</f>
        <v>0</v>
      </c>
      <c r="S34" s="108">
        <f>'Project Data Input'!$D$17*'Technology Inputs'!T13/1000*S18</f>
        <v>0</v>
      </c>
      <c r="T34" s="108">
        <f>'Project Data Input'!$D$17*'Technology Inputs'!U13/1000*T18</f>
        <v>0</v>
      </c>
      <c r="U34" s="108">
        <f>'Project Data Input'!$D$17*'Technology Inputs'!V13/1000*U18</f>
        <v>0</v>
      </c>
      <c r="V34" s="108">
        <f>'Project Data Input'!$D$17*'Technology Inputs'!W13/1000*V18</f>
        <v>0</v>
      </c>
      <c r="W34" s="108">
        <f>'Project Data Input'!$D$17*'Technology Inputs'!X13/1000*W18</f>
        <v>0</v>
      </c>
      <c r="X34" s="108">
        <f>'Project Data Input'!$D$17*'Technology Inputs'!Y13/1000*X18</f>
        <v>0</v>
      </c>
      <c r="Y34" s="108">
        <f t="shared" si="2"/>
        <v>0</v>
      </c>
    </row>
    <row r="35" spans="3:25" ht="15.75" thickBot="1" x14ac:dyDescent="0.3">
      <c r="C35" s="52"/>
      <c r="D35" s="137"/>
      <c r="E35" s="54"/>
      <c r="F35" s="54"/>
      <c r="G35" s="54"/>
      <c r="H35" s="54"/>
      <c r="I35" s="54"/>
      <c r="J35" s="54"/>
      <c r="K35" s="54"/>
      <c r="L35" s="54"/>
      <c r="M35" s="54"/>
      <c r="N35" s="54"/>
      <c r="O35" s="54"/>
      <c r="P35" s="54"/>
      <c r="Q35" s="54"/>
      <c r="R35" s="54"/>
      <c r="S35" s="54"/>
      <c r="T35" s="54"/>
      <c r="U35" s="54"/>
      <c r="V35" s="54"/>
      <c r="W35" s="54"/>
      <c r="X35" s="54"/>
      <c r="Y35" s="54">
        <f t="shared" si="2"/>
        <v>0</v>
      </c>
    </row>
    <row r="36" spans="3:25" x14ac:dyDescent="0.25">
      <c r="C36" s="55" t="s">
        <v>126</v>
      </c>
      <c r="D36" s="56"/>
      <c r="E36" s="56"/>
      <c r="F36" s="56"/>
      <c r="G36" s="56"/>
      <c r="H36" s="56"/>
      <c r="I36" s="56"/>
      <c r="J36" s="56"/>
      <c r="K36" s="56"/>
      <c r="L36" s="56"/>
      <c r="M36" s="56"/>
      <c r="N36" s="56"/>
      <c r="O36" s="56"/>
      <c r="P36" s="56"/>
      <c r="Q36" s="56"/>
      <c r="R36" s="56"/>
      <c r="S36" s="56"/>
      <c r="T36" s="56"/>
      <c r="U36" s="56"/>
      <c r="V36" s="56"/>
      <c r="W36" s="56"/>
      <c r="X36" s="57"/>
      <c r="Y36" s="57">
        <f t="shared" si="2"/>
        <v>0</v>
      </c>
    </row>
    <row r="37" spans="3:25" x14ac:dyDescent="0.25">
      <c r="C37" s="58" t="s">
        <v>127</v>
      </c>
      <c r="D37" s="59">
        <f>('Project Data Input'!D14-'Option A'!O16)*'Project Data Input'!F14</f>
        <v>0</v>
      </c>
      <c r="E37" s="59">
        <f>D37*'Technology Inputs'!F$18*E$18</f>
        <v>0</v>
      </c>
      <c r="F37" s="59">
        <f>E37*'Technology Inputs'!G$18*F$18</f>
        <v>0</v>
      </c>
      <c r="G37" s="59">
        <f>F37*'Technology Inputs'!H$18*G$18</f>
        <v>0</v>
      </c>
      <c r="H37" s="59">
        <f>G37*'Technology Inputs'!I$18*H$18</f>
        <v>0</v>
      </c>
      <c r="I37" s="59">
        <f>H37*'Technology Inputs'!J$18*I$18</f>
        <v>0</v>
      </c>
      <c r="J37" s="59">
        <f>I37*'Technology Inputs'!K$18*J$18</f>
        <v>0</v>
      </c>
      <c r="K37" s="59">
        <f>J37*'Technology Inputs'!L$18*K$18</f>
        <v>0</v>
      </c>
      <c r="L37" s="59">
        <f>K37*'Technology Inputs'!M$18*L$18</f>
        <v>0</v>
      </c>
      <c r="M37" s="59">
        <f>L37*'Technology Inputs'!N$18*M$18</f>
        <v>0</v>
      </c>
      <c r="N37" s="59">
        <f>M37*'Technology Inputs'!O$18*N$18</f>
        <v>0</v>
      </c>
      <c r="O37" s="59">
        <f>N37*'Technology Inputs'!P$18*O$18</f>
        <v>0</v>
      </c>
      <c r="P37" s="59">
        <f>O37*'Technology Inputs'!Q$18*P$18</f>
        <v>0</v>
      </c>
      <c r="Q37" s="59">
        <f>P37*'Technology Inputs'!R$18*Q$18</f>
        <v>0</v>
      </c>
      <c r="R37" s="59">
        <f>Q37*'Technology Inputs'!S$18*R$18</f>
        <v>0</v>
      </c>
      <c r="S37" s="59">
        <f>R37*'Technology Inputs'!T$18*S$18</f>
        <v>0</v>
      </c>
      <c r="T37" s="59">
        <f>S37*'Technology Inputs'!U$18*T$18</f>
        <v>0</v>
      </c>
      <c r="U37" s="59">
        <f>T37*'Technology Inputs'!V$18*U$18</f>
        <v>0</v>
      </c>
      <c r="V37" s="59">
        <f>U37*'Technology Inputs'!W$18*V$18</f>
        <v>0</v>
      </c>
      <c r="W37" s="59">
        <f>V37*'Technology Inputs'!X$18*W$18</f>
        <v>0</v>
      </c>
      <c r="X37" s="59">
        <f>W37*'Technology Inputs'!Y$18*X$18</f>
        <v>0</v>
      </c>
      <c r="Y37" s="59">
        <f t="shared" si="2"/>
        <v>0</v>
      </c>
    </row>
    <row r="38" spans="3:25" x14ac:dyDescent="0.25">
      <c r="C38" s="58" t="s">
        <v>128</v>
      </c>
      <c r="D38" s="59">
        <f>('Project Data Input'!D15-'Option A'!Q16)*'Project Data Input'!F15</f>
        <v>0</v>
      </c>
      <c r="E38" s="59">
        <f>D38*'Technology Inputs'!F$19*E$18</f>
        <v>0</v>
      </c>
      <c r="F38" s="59">
        <f>E38*'Technology Inputs'!G$19*F$18</f>
        <v>0</v>
      </c>
      <c r="G38" s="59">
        <f>F38*'Technology Inputs'!H$19*G$18</f>
        <v>0</v>
      </c>
      <c r="H38" s="59">
        <f>G38*'Technology Inputs'!I$19*H$18</f>
        <v>0</v>
      </c>
      <c r="I38" s="59">
        <f>H38*'Technology Inputs'!J$19*I$18</f>
        <v>0</v>
      </c>
      <c r="J38" s="59">
        <f>I38*'Technology Inputs'!K$19*J$18</f>
        <v>0</v>
      </c>
      <c r="K38" s="59">
        <f>J38*'Technology Inputs'!L$19*K$18</f>
        <v>0</v>
      </c>
      <c r="L38" s="59">
        <f>K38*'Technology Inputs'!M$19*L$18</f>
        <v>0</v>
      </c>
      <c r="M38" s="59">
        <f>L38*'Technology Inputs'!N$19*M$18</f>
        <v>0</v>
      </c>
      <c r="N38" s="59">
        <f>M38*'Technology Inputs'!O$19*N$18</f>
        <v>0</v>
      </c>
      <c r="O38" s="59">
        <f>N38*'Technology Inputs'!P$19*O$18</f>
        <v>0</v>
      </c>
      <c r="P38" s="59">
        <f>O38*'Technology Inputs'!Q$19*P$18</f>
        <v>0</v>
      </c>
      <c r="Q38" s="59">
        <f>P38*'Technology Inputs'!R$19*Q$18</f>
        <v>0</v>
      </c>
      <c r="R38" s="59">
        <f>Q38*'Technology Inputs'!S$19*R$18</f>
        <v>0</v>
      </c>
      <c r="S38" s="59">
        <f>R38*'Technology Inputs'!T$19*S$18</f>
        <v>0</v>
      </c>
      <c r="T38" s="59">
        <f>S38*'Technology Inputs'!U$19*T$18</f>
        <v>0</v>
      </c>
      <c r="U38" s="59">
        <f>T38*'Technology Inputs'!V$19*U$18</f>
        <v>0</v>
      </c>
      <c r="V38" s="59">
        <f>U38*'Technology Inputs'!W$19*V$18</f>
        <v>0</v>
      </c>
      <c r="W38" s="59">
        <f>V38*'Technology Inputs'!X$19*W$18</f>
        <v>0</v>
      </c>
      <c r="X38" s="59">
        <f>W38*'Technology Inputs'!Y$19*X$18</f>
        <v>0</v>
      </c>
      <c r="Y38" s="59">
        <f t="shared" si="2"/>
        <v>0</v>
      </c>
    </row>
    <row r="39" spans="3:25" x14ac:dyDescent="0.25">
      <c r="C39" s="58" t="str">
        <f>""&amp;'Project Data Input'!$C$16&amp;" "</f>
        <v xml:space="preserve">Fuel oil </v>
      </c>
      <c r="D39" s="59">
        <f>('Project Data Input'!D16-'Option A'!S16)*'Project Data Input'!F16</f>
        <v>0</v>
      </c>
      <c r="E39" s="59">
        <f>D39*'Technology Inputs'!F$20*E$18</f>
        <v>0</v>
      </c>
      <c r="F39" s="59">
        <f>E39*'Technology Inputs'!G$20*F$18</f>
        <v>0</v>
      </c>
      <c r="G39" s="59">
        <f>F39*'Technology Inputs'!H$20*G$18</f>
        <v>0</v>
      </c>
      <c r="H39" s="59">
        <f>G39*'Technology Inputs'!I$20*H$18</f>
        <v>0</v>
      </c>
      <c r="I39" s="59">
        <f>H39*'Technology Inputs'!J$20*I$18</f>
        <v>0</v>
      </c>
      <c r="J39" s="59">
        <f>I39*'Technology Inputs'!K$20*J$18</f>
        <v>0</v>
      </c>
      <c r="K39" s="59">
        <f>J39*'Technology Inputs'!L$20*K$18</f>
        <v>0</v>
      </c>
      <c r="L39" s="59">
        <f>K39*'Technology Inputs'!M$20*L$18</f>
        <v>0</v>
      </c>
      <c r="M39" s="59">
        <f>L39*'Technology Inputs'!N$20*M$18</f>
        <v>0</v>
      </c>
      <c r="N39" s="59">
        <f>M39*'Technology Inputs'!O$20*N$18</f>
        <v>0</v>
      </c>
      <c r="O39" s="59">
        <f>N39*'Technology Inputs'!P$20*O$18</f>
        <v>0</v>
      </c>
      <c r="P39" s="59">
        <f>O39*'Technology Inputs'!Q$20*P$18</f>
        <v>0</v>
      </c>
      <c r="Q39" s="59">
        <f>P39*'Technology Inputs'!R$20*Q$18</f>
        <v>0</v>
      </c>
      <c r="R39" s="59">
        <f>Q39*'Technology Inputs'!S$20*R$18</f>
        <v>0</v>
      </c>
      <c r="S39" s="59">
        <f>R39*'Technology Inputs'!T$20*S$18</f>
        <v>0</v>
      </c>
      <c r="T39" s="59">
        <f>S39*'Technology Inputs'!U$20*T$18</f>
        <v>0</v>
      </c>
      <c r="U39" s="59">
        <f>T39*'Technology Inputs'!V$20*U$18</f>
        <v>0</v>
      </c>
      <c r="V39" s="59">
        <f>U39*'Technology Inputs'!W$20*V$18</f>
        <v>0</v>
      </c>
      <c r="W39" s="59">
        <f>V39*'Technology Inputs'!X$20*W$18</f>
        <v>0</v>
      </c>
      <c r="X39" s="59">
        <f>W39*'Technology Inputs'!Y$20*X$18</f>
        <v>0</v>
      </c>
      <c r="Y39" s="59">
        <f t="shared" si="2"/>
        <v>0</v>
      </c>
    </row>
    <row r="40" spans="3:25" x14ac:dyDescent="0.25">
      <c r="C40" s="58" t="str">
        <f>""&amp;'Project Data Input'!$C$17&amp;" "</f>
        <v xml:space="preserve">Burning oil </v>
      </c>
      <c r="D40" s="59">
        <f>('Project Data Input'!D17-'Option A'!U16)*'Project Data Input'!F17</f>
        <v>0</v>
      </c>
      <c r="E40" s="59">
        <f>D40*'Technology Inputs'!F$25*E$18</f>
        <v>0</v>
      </c>
      <c r="F40" s="59">
        <f>E40*'Technology Inputs'!G$25*F$18</f>
        <v>0</v>
      </c>
      <c r="G40" s="59">
        <f>F40*'Technology Inputs'!H$25*G$18</f>
        <v>0</v>
      </c>
      <c r="H40" s="59">
        <f>G40*'Technology Inputs'!I$25*H$18</f>
        <v>0</v>
      </c>
      <c r="I40" s="59">
        <f>H40*'Technology Inputs'!J$25*I$18</f>
        <v>0</v>
      </c>
      <c r="J40" s="59">
        <f>I40*'Technology Inputs'!K$25*J$18</f>
        <v>0</v>
      </c>
      <c r="K40" s="59">
        <f>J40*'Technology Inputs'!L$25*K$18</f>
        <v>0</v>
      </c>
      <c r="L40" s="59">
        <f>K40*'Technology Inputs'!M$25*L$18</f>
        <v>0</v>
      </c>
      <c r="M40" s="59">
        <f>L40*'Technology Inputs'!N$25*M$18</f>
        <v>0</v>
      </c>
      <c r="N40" s="59">
        <f>M40*'Technology Inputs'!O$25*N$18</f>
        <v>0</v>
      </c>
      <c r="O40" s="59">
        <f>N40*'Technology Inputs'!P$25*O$18</f>
        <v>0</v>
      </c>
      <c r="P40" s="59">
        <f>O40*'Technology Inputs'!Q$25*P$18</f>
        <v>0</v>
      </c>
      <c r="Q40" s="59">
        <f>P40*'Technology Inputs'!R$25*Q$18</f>
        <v>0</v>
      </c>
      <c r="R40" s="59">
        <f>Q40*'Technology Inputs'!S$25*R$18</f>
        <v>0</v>
      </c>
      <c r="S40" s="59">
        <f>R40*'Technology Inputs'!T$25*S$18</f>
        <v>0</v>
      </c>
      <c r="T40" s="59">
        <f>S40*'Technology Inputs'!U$25*T$18</f>
        <v>0</v>
      </c>
      <c r="U40" s="59">
        <f>T40*'Technology Inputs'!V$25*U$18</f>
        <v>0</v>
      </c>
      <c r="V40" s="59">
        <f>U40*'Technology Inputs'!W$25*V$18</f>
        <v>0</v>
      </c>
      <c r="W40" s="59">
        <f>V40*'Technology Inputs'!X$25*W$18</f>
        <v>0</v>
      </c>
      <c r="X40" s="59">
        <f>W40*'Technology Inputs'!Y$25*X$18</f>
        <v>0</v>
      </c>
      <c r="Y40" s="59">
        <f t="shared" si="2"/>
        <v>0</v>
      </c>
    </row>
    <row r="41" spans="3:25" x14ac:dyDescent="0.25">
      <c r="C41" s="58" t="s">
        <v>129</v>
      </c>
      <c r="D41" s="62"/>
      <c r="E41" s="62"/>
      <c r="F41" s="62"/>
      <c r="G41" s="62"/>
      <c r="H41" s="62"/>
      <c r="I41" s="62"/>
      <c r="J41" s="62"/>
      <c r="K41" s="62"/>
      <c r="L41" s="62"/>
      <c r="M41" s="62"/>
      <c r="N41" s="62"/>
      <c r="O41" s="62"/>
      <c r="P41" s="62"/>
      <c r="Q41" s="62"/>
      <c r="R41" s="62"/>
      <c r="S41" s="62"/>
      <c r="T41" s="62"/>
      <c r="U41" s="62"/>
      <c r="V41" s="62"/>
      <c r="W41" s="62"/>
      <c r="X41" s="63"/>
      <c r="Y41" s="63">
        <f t="shared" si="2"/>
        <v>0</v>
      </c>
    </row>
    <row r="42" spans="3:25" x14ac:dyDescent="0.25">
      <c r="C42" s="81" t="s">
        <v>130</v>
      </c>
      <c r="D42" s="82">
        <f>SUM('Option A'!M16)</f>
        <v>0</v>
      </c>
      <c r="E42" s="82"/>
      <c r="F42" s="82"/>
      <c r="G42" s="82"/>
      <c r="H42" s="82"/>
      <c r="I42" s="82"/>
      <c r="J42" s="82"/>
      <c r="K42" s="82"/>
      <c r="L42" s="82"/>
      <c r="M42" s="82"/>
      <c r="N42" s="82"/>
      <c r="O42" s="82"/>
      <c r="P42" s="82"/>
      <c r="Q42" s="82"/>
      <c r="R42" s="82"/>
      <c r="S42" s="82"/>
      <c r="T42" s="82"/>
      <c r="U42" s="82"/>
      <c r="V42" s="82"/>
      <c r="W42" s="82"/>
      <c r="X42" s="83"/>
      <c r="Y42" s="83">
        <f t="shared" si="2"/>
        <v>0</v>
      </c>
    </row>
    <row r="43" spans="3:25" x14ac:dyDescent="0.25">
      <c r="C43" s="81" t="s">
        <v>122</v>
      </c>
      <c r="D43" s="82">
        <f>((SUM('Option A Outcome'!D50:D52))*'Technology Inputs'!E31)+((D49)*'Technology Inputs'!E30)</f>
        <v>0</v>
      </c>
      <c r="E43" s="82">
        <f>((SUM('Option A Outcome'!E50:E52))*'Technology Inputs'!F31)+((E49)*'Technology Inputs'!F30)</f>
        <v>0</v>
      </c>
      <c r="F43" s="82">
        <f>((SUM('Option A Outcome'!F50:F52))*'Technology Inputs'!G31)+((F49)*'Technology Inputs'!G30)</f>
        <v>0</v>
      </c>
      <c r="G43" s="82">
        <f>((SUM('Option A Outcome'!G50:G52))*'Technology Inputs'!H31)+((G49)*'Technology Inputs'!H30)</f>
        <v>0</v>
      </c>
      <c r="H43" s="82">
        <f>((SUM('Option A Outcome'!H50:H52))*'Technology Inputs'!I31)+((H49)*'Technology Inputs'!I30)</f>
        <v>0</v>
      </c>
      <c r="I43" s="82">
        <f>((SUM('Option A Outcome'!I50:I52))*'Technology Inputs'!J31)+((I49)*'Technology Inputs'!J30)</f>
        <v>0</v>
      </c>
      <c r="J43" s="82">
        <f>((SUM('Option A Outcome'!J50:J52))*'Technology Inputs'!K31)+((J49)*'Technology Inputs'!K30)</f>
        <v>0</v>
      </c>
      <c r="K43" s="82">
        <f>((SUM('Option A Outcome'!K50:K52))*'Technology Inputs'!L31)+((K49)*'Technology Inputs'!L30)</f>
        <v>0</v>
      </c>
      <c r="L43" s="82">
        <f>((SUM('Option A Outcome'!L50:L52))*'Technology Inputs'!M31)+((L49)*'Technology Inputs'!M30)</f>
        <v>0</v>
      </c>
      <c r="M43" s="82">
        <f>((SUM('Option A Outcome'!M50:M52))*'Technology Inputs'!N31)+((M49)*'Technology Inputs'!N30)</f>
        <v>0</v>
      </c>
      <c r="N43" s="82">
        <f>((SUM('Option A Outcome'!N50:N52))*'Technology Inputs'!O31)+((N49)*'Technology Inputs'!O30)</f>
        <v>0</v>
      </c>
      <c r="O43" s="82">
        <f>((SUM('Option A Outcome'!O50:O52))*'Technology Inputs'!P31)+((O49)*'Technology Inputs'!P30)</f>
        <v>0</v>
      </c>
      <c r="P43" s="82">
        <f>((SUM('Option A Outcome'!P50:P52))*'Technology Inputs'!Q31)+((P49)*'Technology Inputs'!Q30)</f>
        <v>0</v>
      </c>
      <c r="Q43" s="82">
        <f>((SUM('Option A Outcome'!Q50:Q52))*'Technology Inputs'!R31)+((Q49)*'Technology Inputs'!R30)</f>
        <v>0</v>
      </c>
      <c r="R43" s="82">
        <f>((SUM('Option A Outcome'!R50:R52))*'Technology Inputs'!S31)+((R49)*'Technology Inputs'!S30)</f>
        <v>0</v>
      </c>
      <c r="S43" s="82">
        <f>((SUM('Option A Outcome'!S50:S52))*'Technology Inputs'!T31)+((S49)*'Technology Inputs'!T30)</f>
        <v>0</v>
      </c>
      <c r="T43" s="82">
        <f>((SUM('Option A Outcome'!T50:T52))*'Technology Inputs'!U31)+((T49)*'Technology Inputs'!U30)</f>
        <v>0</v>
      </c>
      <c r="U43" s="82">
        <f>((SUM('Option A Outcome'!U50:U52))*'Technology Inputs'!V31)+((U49)*'Technology Inputs'!V30)</f>
        <v>0</v>
      </c>
      <c r="V43" s="82">
        <f>((SUM('Option A Outcome'!V50:V52))*'Technology Inputs'!W31)+((V49)*'Technology Inputs'!W30)</f>
        <v>0</v>
      </c>
      <c r="W43" s="82">
        <f>((SUM('Option A Outcome'!W50:W52))*'Technology Inputs'!X31)+((W49)*'Technology Inputs'!X30)</f>
        <v>0</v>
      </c>
      <c r="X43" s="82">
        <f>((SUM('Option A Outcome'!X50:X52))*'Technology Inputs'!Y31)+((X49)*'Technology Inputs'!Y30)</f>
        <v>0</v>
      </c>
      <c r="Y43" s="83">
        <f t="shared" si="2"/>
        <v>0</v>
      </c>
    </row>
    <row r="44" spans="3:25" x14ac:dyDescent="0.25">
      <c r="C44" s="81" t="s">
        <v>131</v>
      </c>
      <c r="D44" s="82"/>
      <c r="E44" s="82"/>
      <c r="F44" s="82"/>
      <c r="G44" s="82"/>
      <c r="H44" s="82"/>
      <c r="I44" s="82"/>
      <c r="J44" s="82"/>
      <c r="K44" s="82"/>
      <c r="L44" s="82"/>
      <c r="M44" s="82"/>
      <c r="N44" s="82"/>
      <c r="O44" s="82"/>
      <c r="P44" s="82"/>
      <c r="Q44" s="82"/>
      <c r="R44" s="82"/>
      <c r="S44" s="82"/>
      <c r="T44" s="82"/>
      <c r="U44" s="82"/>
      <c r="V44" s="82"/>
      <c r="W44" s="82"/>
      <c r="X44" s="83"/>
      <c r="Y44" s="83">
        <f t="shared" si="2"/>
        <v>0</v>
      </c>
    </row>
    <row r="45" spans="3:25" x14ac:dyDescent="0.25">
      <c r="C45" s="81" t="s">
        <v>132</v>
      </c>
      <c r="D45" s="82">
        <f>'Option A - Lifecycle'!AB36*D$18</f>
        <v>0</v>
      </c>
      <c r="E45" s="82">
        <f>'Option A - Lifecycle'!AC36*E$18</f>
        <v>0</v>
      </c>
      <c r="F45" s="82">
        <f>'Option A - Lifecycle'!AD36*F$18</f>
        <v>0</v>
      </c>
      <c r="G45" s="82">
        <f>'Option A - Lifecycle'!AE36*G$18</f>
        <v>0</v>
      </c>
      <c r="H45" s="82">
        <f>'Option A - Lifecycle'!AF36*H$18</f>
        <v>0</v>
      </c>
      <c r="I45" s="82">
        <f>'Option A - Lifecycle'!AG36*I$18</f>
        <v>0</v>
      </c>
      <c r="J45" s="82">
        <f>'Option A - Lifecycle'!AH36*J$18</f>
        <v>0</v>
      </c>
      <c r="K45" s="82">
        <f>'Option A - Lifecycle'!AI36*K$18</f>
        <v>0</v>
      </c>
      <c r="L45" s="82">
        <f>'Option A - Lifecycle'!AJ36*L$18</f>
        <v>0</v>
      </c>
      <c r="M45" s="82">
        <f>'Option A - Lifecycle'!AK36*M$18</f>
        <v>0</v>
      </c>
      <c r="N45" s="82">
        <f>'Option A - Lifecycle'!AL36*N$18</f>
        <v>0</v>
      </c>
      <c r="O45" s="82">
        <f>'Option A - Lifecycle'!AM36*O$18</f>
        <v>0</v>
      </c>
      <c r="P45" s="82">
        <f>'Option A - Lifecycle'!AN36*P$18</f>
        <v>0</v>
      </c>
      <c r="Q45" s="82">
        <f>'Option A - Lifecycle'!AO36*Q$18</f>
        <v>0</v>
      </c>
      <c r="R45" s="82">
        <f>'Option A - Lifecycle'!AP36*R$18</f>
        <v>0</v>
      </c>
      <c r="S45" s="82">
        <f>'Option A - Lifecycle'!AQ36*S$18</f>
        <v>0</v>
      </c>
      <c r="T45" s="82">
        <f>'Option A - Lifecycle'!AR36*T$18</f>
        <v>0</v>
      </c>
      <c r="U45" s="82">
        <f>'Option A - Lifecycle'!AS36*U$18</f>
        <v>0</v>
      </c>
      <c r="V45" s="82">
        <f>'Option A - Lifecycle'!AT36*V$18</f>
        <v>0</v>
      </c>
      <c r="W45" s="82">
        <f>'Option A - Lifecycle'!AU36*W$18</f>
        <v>0</v>
      </c>
      <c r="X45" s="82">
        <f>'Option A - Lifecycle'!AV36*X$18</f>
        <v>0</v>
      </c>
      <c r="Y45" s="82">
        <f t="shared" si="2"/>
        <v>0</v>
      </c>
    </row>
    <row r="46" spans="3:25" ht="15.75" thickBot="1" x14ac:dyDescent="0.3">
      <c r="C46" s="61" t="s">
        <v>133</v>
      </c>
      <c r="D46" s="64"/>
      <c r="E46" s="64">
        <f t="shared" ref="E46:X46" si="3">IF(E17&lt;=$M$13, $M$15, 0)</f>
        <v>0</v>
      </c>
      <c r="F46" s="64">
        <f t="shared" si="3"/>
        <v>0</v>
      </c>
      <c r="G46" s="64">
        <f t="shared" si="3"/>
        <v>0</v>
      </c>
      <c r="H46" s="64">
        <f t="shared" si="3"/>
        <v>0</v>
      </c>
      <c r="I46" s="64">
        <f t="shared" si="3"/>
        <v>0</v>
      </c>
      <c r="J46" s="64">
        <f t="shared" si="3"/>
        <v>0</v>
      </c>
      <c r="K46" s="64">
        <f t="shared" si="3"/>
        <v>0</v>
      </c>
      <c r="L46" s="64">
        <f t="shared" si="3"/>
        <v>0</v>
      </c>
      <c r="M46" s="64">
        <f t="shared" si="3"/>
        <v>0</v>
      </c>
      <c r="N46" s="64">
        <f t="shared" si="3"/>
        <v>0</v>
      </c>
      <c r="O46" s="64">
        <f t="shared" si="3"/>
        <v>0</v>
      </c>
      <c r="P46" s="64">
        <f t="shared" si="3"/>
        <v>0</v>
      </c>
      <c r="Q46" s="64">
        <f t="shared" si="3"/>
        <v>0</v>
      </c>
      <c r="R46" s="64">
        <f t="shared" si="3"/>
        <v>0</v>
      </c>
      <c r="S46" s="64">
        <f t="shared" si="3"/>
        <v>0</v>
      </c>
      <c r="T46" s="64">
        <f t="shared" si="3"/>
        <v>0</v>
      </c>
      <c r="U46" s="64">
        <f t="shared" si="3"/>
        <v>0</v>
      </c>
      <c r="V46" s="64">
        <f t="shared" si="3"/>
        <v>0</v>
      </c>
      <c r="W46" s="64">
        <f t="shared" si="3"/>
        <v>0</v>
      </c>
      <c r="X46" s="64">
        <f t="shared" si="3"/>
        <v>0</v>
      </c>
      <c r="Y46" s="64">
        <f t="shared" si="2"/>
        <v>0</v>
      </c>
    </row>
    <row r="47" spans="3:25" ht="15.75" thickBot="1" x14ac:dyDescent="0.3">
      <c r="C47" s="52"/>
      <c r="D47" s="54"/>
      <c r="E47" s="54"/>
      <c r="F47" s="54"/>
      <c r="G47" s="54"/>
      <c r="H47" s="54"/>
      <c r="I47" s="65"/>
      <c r="J47" s="65"/>
      <c r="K47" s="54"/>
      <c r="L47" s="54"/>
      <c r="M47" s="54"/>
      <c r="N47" s="54"/>
      <c r="O47" s="54"/>
      <c r="P47" s="54"/>
      <c r="Q47" s="54"/>
      <c r="R47" s="54"/>
      <c r="S47" s="54"/>
      <c r="T47" s="54"/>
      <c r="U47" s="54"/>
      <c r="V47" s="54"/>
      <c r="W47" s="54"/>
      <c r="X47" s="54"/>
      <c r="Y47" s="54"/>
    </row>
    <row r="48" spans="3:25" x14ac:dyDescent="0.25">
      <c r="C48" s="55" t="s">
        <v>134</v>
      </c>
      <c r="D48" s="56"/>
      <c r="E48" s="56"/>
      <c r="F48" s="56"/>
      <c r="G48" s="56"/>
      <c r="H48" s="56"/>
      <c r="I48" s="56"/>
      <c r="J48" s="56"/>
      <c r="K48" s="56"/>
      <c r="L48" s="56"/>
      <c r="M48" s="56"/>
      <c r="N48" s="56"/>
      <c r="O48" s="56"/>
      <c r="P48" s="56"/>
      <c r="Q48" s="56"/>
      <c r="R48" s="56"/>
      <c r="S48" s="56"/>
      <c r="T48" s="56"/>
      <c r="U48" s="56"/>
      <c r="V48" s="56"/>
      <c r="W48" s="56"/>
      <c r="X48" s="57"/>
      <c r="Y48" s="57">
        <f t="shared" ref="Y48:Y52" si="4">SUM(D48:X48)</f>
        <v>0</v>
      </c>
    </row>
    <row r="49" spans="3:25" x14ac:dyDescent="0.25">
      <c r="C49" s="58" t="s">
        <v>124</v>
      </c>
      <c r="D49" s="108">
        <f>('Project Data Input'!$D$14-'Option A'!$O$16)*'Technology Inputs'!E6/1000</f>
        <v>0</v>
      </c>
      <c r="E49" s="108">
        <f>('Project Data Input'!$D$14-'Option A'!$O$16)*'Technology Inputs'!F6/1000*E$18</f>
        <v>0</v>
      </c>
      <c r="F49" s="108">
        <f>('Project Data Input'!$D$14-'Option A'!$O$16)*'Technology Inputs'!G6/1000*F$18</f>
        <v>0</v>
      </c>
      <c r="G49" s="108">
        <f>('Project Data Input'!$D$14-'Option A'!$O$16)*'Technology Inputs'!H6/1000*G$18</f>
        <v>0</v>
      </c>
      <c r="H49" s="108">
        <f>('Project Data Input'!$D$14-'Option A'!$O$16)*'Technology Inputs'!I6/1000*H$18</f>
        <v>0</v>
      </c>
      <c r="I49" s="108">
        <f>('Project Data Input'!$D$14-'Option A'!$O$16)*'Technology Inputs'!J6/1000*I$18</f>
        <v>0</v>
      </c>
      <c r="J49" s="108">
        <f>('Project Data Input'!$D$14-'Option A'!$O$16)*'Technology Inputs'!K6/1000*J$18</f>
        <v>0</v>
      </c>
      <c r="K49" s="108">
        <f>('Project Data Input'!$D$14-'Option A'!$O$16)*'Technology Inputs'!L6/1000*K$18</f>
        <v>0</v>
      </c>
      <c r="L49" s="108">
        <f>('Project Data Input'!$D$14-'Option A'!$O$16)*'Technology Inputs'!M6/1000*L$18</f>
        <v>0</v>
      </c>
      <c r="M49" s="108">
        <f>('Project Data Input'!$D$14-'Option A'!$O$16)*'Technology Inputs'!N6/1000*M$18</f>
        <v>0</v>
      </c>
      <c r="N49" s="108">
        <f>('Project Data Input'!$D$14-'Option A'!$O$16)*'Technology Inputs'!O6/1000*N$18</f>
        <v>0</v>
      </c>
      <c r="O49" s="108">
        <f>('Project Data Input'!$D$14-'Option A'!$O$16)*'Technology Inputs'!P6/1000*O$18</f>
        <v>0</v>
      </c>
      <c r="P49" s="108">
        <f>('Project Data Input'!$D$14-'Option A'!$O$16)*'Technology Inputs'!Q6/1000*P$18</f>
        <v>0</v>
      </c>
      <c r="Q49" s="108">
        <f>('Project Data Input'!$D$14-'Option A'!$O$16)*'Technology Inputs'!R6/1000*Q$18</f>
        <v>0</v>
      </c>
      <c r="R49" s="108">
        <f>('Project Data Input'!$D$14-'Option A'!$O$16)*'Technology Inputs'!S6/1000*R$18</f>
        <v>0</v>
      </c>
      <c r="S49" s="108">
        <f>('Project Data Input'!$D$14-'Option A'!$O$16)*'Technology Inputs'!T6/1000*S$18</f>
        <v>0</v>
      </c>
      <c r="T49" s="108">
        <f>('Project Data Input'!$D$14-'Option A'!$O$16)*'Technology Inputs'!U6/1000*T$18</f>
        <v>0</v>
      </c>
      <c r="U49" s="108">
        <f>('Project Data Input'!$D$14-'Option A'!$O$16)*'Technology Inputs'!V6/1000*U$18</f>
        <v>0</v>
      </c>
      <c r="V49" s="108">
        <f>('Project Data Input'!$D$14-'Option A'!$O$16)*'Technology Inputs'!W6/1000*V$18</f>
        <v>0</v>
      </c>
      <c r="W49" s="108">
        <f>('Project Data Input'!$D$14-'Option A'!$O$16)*'Technology Inputs'!X6/1000*W$18</f>
        <v>0</v>
      </c>
      <c r="X49" s="108">
        <f>('Project Data Input'!$D$14-'Option A'!$O$16)*'Technology Inputs'!Y6/1000*X$18</f>
        <v>0</v>
      </c>
      <c r="Y49" s="108">
        <f t="shared" si="4"/>
        <v>0</v>
      </c>
    </row>
    <row r="50" spans="3:25" x14ac:dyDescent="0.25">
      <c r="C50" s="58" t="s">
        <v>125</v>
      </c>
      <c r="D50" s="108">
        <f>('Project Data Input'!$D$15-'Option A'!$Q$16)*'Technology Inputs'!E7/1000</f>
        <v>0</v>
      </c>
      <c r="E50" s="108">
        <f>('Project Data Input'!$D$15-'Option A'!$Q$16)*'Technology Inputs'!F7/1000*E$18</f>
        <v>0</v>
      </c>
      <c r="F50" s="108">
        <f>('Project Data Input'!$D$15-'Option A'!$Q$16)*'Technology Inputs'!G7/1000*F$18</f>
        <v>0</v>
      </c>
      <c r="G50" s="108">
        <f>('Project Data Input'!$D$15-'Option A'!$Q$16)*'Technology Inputs'!H7/1000*G$18</f>
        <v>0</v>
      </c>
      <c r="H50" s="108">
        <f>('Project Data Input'!$D$15-'Option A'!$Q$16)*'Technology Inputs'!I7/1000*H$18</f>
        <v>0</v>
      </c>
      <c r="I50" s="108">
        <f>('Project Data Input'!$D$15-'Option A'!$Q$16)*'Technology Inputs'!J7/1000*I$18</f>
        <v>0</v>
      </c>
      <c r="J50" s="108">
        <f>('Project Data Input'!$D$15-'Option A'!$Q$16)*'Technology Inputs'!K7/1000*J$18</f>
        <v>0</v>
      </c>
      <c r="K50" s="108">
        <f>('Project Data Input'!$D$15-'Option A'!$Q$16)*'Technology Inputs'!L7/1000*K$18</f>
        <v>0</v>
      </c>
      <c r="L50" s="108">
        <f>('Project Data Input'!$D$15-'Option A'!$Q$16)*'Technology Inputs'!M7/1000*L$18</f>
        <v>0</v>
      </c>
      <c r="M50" s="108">
        <f>('Project Data Input'!$D$15-'Option A'!$Q$16)*'Technology Inputs'!N7/1000*M$18</f>
        <v>0</v>
      </c>
      <c r="N50" s="108">
        <f>('Project Data Input'!$D$15-'Option A'!$Q$16)*'Technology Inputs'!O7/1000*N$18</f>
        <v>0</v>
      </c>
      <c r="O50" s="108">
        <f>('Project Data Input'!$D$15-'Option A'!$Q$16)*'Technology Inputs'!P7/1000*O$18</f>
        <v>0</v>
      </c>
      <c r="P50" s="108">
        <f>('Project Data Input'!$D$15-'Option A'!$Q$16)*'Technology Inputs'!Q7/1000*P$18</f>
        <v>0</v>
      </c>
      <c r="Q50" s="108">
        <f>('Project Data Input'!$D$15-'Option A'!$Q$16)*'Technology Inputs'!R7/1000*Q$18</f>
        <v>0</v>
      </c>
      <c r="R50" s="108">
        <f>('Project Data Input'!$D$15-'Option A'!$Q$16)*'Technology Inputs'!S7/1000*R$18</f>
        <v>0</v>
      </c>
      <c r="S50" s="108">
        <f>('Project Data Input'!$D$15-'Option A'!$Q$16)*'Technology Inputs'!T7/1000*S$18</f>
        <v>0</v>
      </c>
      <c r="T50" s="108">
        <f>('Project Data Input'!$D$15-'Option A'!$Q$16)*'Technology Inputs'!U7/1000*T$18</f>
        <v>0</v>
      </c>
      <c r="U50" s="108">
        <f>('Project Data Input'!$D$15-'Option A'!$Q$16)*'Technology Inputs'!V7/1000*U$18</f>
        <v>0</v>
      </c>
      <c r="V50" s="108">
        <f>('Project Data Input'!$D$15-'Option A'!$Q$16)*'Technology Inputs'!W7/1000*V$18</f>
        <v>0</v>
      </c>
      <c r="W50" s="108">
        <f>('Project Data Input'!$D$15-'Option A'!$Q$16)*'Technology Inputs'!X7/1000*W$18</f>
        <v>0</v>
      </c>
      <c r="X50" s="108">
        <f>('Project Data Input'!$D$15-'Option A'!$Q$16)*'Technology Inputs'!Y7/1000*X$18</f>
        <v>0</v>
      </c>
      <c r="Y50" s="108">
        <f t="shared" si="4"/>
        <v>0</v>
      </c>
    </row>
    <row r="51" spans="3:25" x14ac:dyDescent="0.25">
      <c r="C51" s="58" t="str">
        <f>""&amp;'Project Data Input'!$C$16&amp;" emissions"</f>
        <v>Fuel oil emissions</v>
      </c>
      <c r="D51" s="108">
        <f>('Project Data Input'!$D$16-'Option A'!$S$16)*'Technology Inputs'!E9/1000</f>
        <v>0</v>
      </c>
      <c r="E51" s="108">
        <f>('Project Data Input'!$D$16-'Option A'!$S$16)*'Technology Inputs'!F9/1000*E$18</f>
        <v>0</v>
      </c>
      <c r="F51" s="108">
        <f>('Project Data Input'!$D$16-'Option A'!$S$16)*'Technology Inputs'!G9/1000*F$18</f>
        <v>0</v>
      </c>
      <c r="G51" s="108">
        <f>('Project Data Input'!$D$16-'Option A'!$S$16)*'Technology Inputs'!H9/1000*G$18</f>
        <v>0</v>
      </c>
      <c r="H51" s="108">
        <f>('Project Data Input'!$D$16-'Option A'!$S$16)*'Technology Inputs'!I9/1000*H$18</f>
        <v>0</v>
      </c>
      <c r="I51" s="108">
        <f>('Project Data Input'!$D$16-'Option A'!$S$16)*'Technology Inputs'!J9/1000*I$18</f>
        <v>0</v>
      </c>
      <c r="J51" s="108">
        <f>('Project Data Input'!$D$16-'Option A'!$S$16)*'Technology Inputs'!K9/1000*J$18</f>
        <v>0</v>
      </c>
      <c r="K51" s="108">
        <f>('Project Data Input'!$D$16-'Option A'!$S$16)*'Technology Inputs'!L9/1000*K$18</f>
        <v>0</v>
      </c>
      <c r="L51" s="108">
        <f>('Project Data Input'!$D$16-'Option A'!$S$16)*'Technology Inputs'!M9/1000*L$18</f>
        <v>0</v>
      </c>
      <c r="M51" s="108">
        <f>('Project Data Input'!$D$16-'Option A'!$S$16)*'Technology Inputs'!N9/1000*M$18</f>
        <v>0</v>
      </c>
      <c r="N51" s="108">
        <f>('Project Data Input'!$D$16-'Option A'!$S$16)*'Technology Inputs'!O9/1000*N$18</f>
        <v>0</v>
      </c>
      <c r="O51" s="108">
        <f>('Project Data Input'!$D$16-'Option A'!$S$16)*'Technology Inputs'!P9/1000*O$18</f>
        <v>0</v>
      </c>
      <c r="P51" s="108">
        <f>('Project Data Input'!$D$16-'Option A'!$S$16)*'Technology Inputs'!Q9/1000*P$18</f>
        <v>0</v>
      </c>
      <c r="Q51" s="108">
        <f>('Project Data Input'!$D$16-'Option A'!$S$16)*'Technology Inputs'!R9/1000*Q$18</f>
        <v>0</v>
      </c>
      <c r="R51" s="108">
        <f>('Project Data Input'!$D$16-'Option A'!$S$16)*'Technology Inputs'!S9/1000*R$18</f>
        <v>0</v>
      </c>
      <c r="S51" s="108">
        <f>('Project Data Input'!$D$16-'Option A'!$S$16)*'Technology Inputs'!T9/1000*S$18</f>
        <v>0</v>
      </c>
      <c r="T51" s="108">
        <f>('Project Data Input'!$D$16-'Option A'!$S$16)*'Technology Inputs'!U9/1000*T$18</f>
        <v>0</v>
      </c>
      <c r="U51" s="108">
        <f>('Project Data Input'!$D$16-'Option A'!$S$16)*'Technology Inputs'!V9/1000*U$18</f>
        <v>0</v>
      </c>
      <c r="V51" s="108">
        <f>('Project Data Input'!$D$16-'Option A'!$S$16)*'Technology Inputs'!W9/1000*V$18</f>
        <v>0</v>
      </c>
      <c r="W51" s="108">
        <f>('Project Data Input'!$D$16-'Option A'!$S$16)*'Technology Inputs'!X9/1000*W$18</f>
        <v>0</v>
      </c>
      <c r="X51" s="108">
        <f>('Project Data Input'!$D$16-'Option A'!$S$16)*'Technology Inputs'!Y9/1000*X$18</f>
        <v>0</v>
      </c>
      <c r="Y51" s="108">
        <f t="shared" si="4"/>
        <v>0</v>
      </c>
    </row>
    <row r="52" spans="3:25" x14ac:dyDescent="0.25">
      <c r="C52" s="58" t="str">
        <f>""&amp;'Project Data Input'!$C$17&amp;" Emissions"</f>
        <v>Burning oil Emissions</v>
      </c>
      <c r="D52" s="108">
        <f>('Project Data Input'!$D$17-'Option A'!$U$16)*'Technology Inputs'!E13/1000</f>
        <v>0</v>
      </c>
      <c r="E52" s="108">
        <f>('Project Data Input'!$D$17-'Option A'!$U$16)*'Technology Inputs'!F13/1000*E$18</f>
        <v>0</v>
      </c>
      <c r="F52" s="108">
        <f>('Project Data Input'!$D$17-'Option A'!$U$16)*'Technology Inputs'!G13/1000*F$18</f>
        <v>0</v>
      </c>
      <c r="G52" s="108">
        <f>('Project Data Input'!$D$17-'Option A'!$U$16)*'Technology Inputs'!H13/1000*G$18</f>
        <v>0</v>
      </c>
      <c r="H52" s="108">
        <f>('Project Data Input'!$D$17-'Option A'!$U$16)*'Technology Inputs'!I13/1000*H$18</f>
        <v>0</v>
      </c>
      <c r="I52" s="108">
        <f>('Project Data Input'!$D$17-'Option A'!$U$16)*'Technology Inputs'!J13/1000*I$18</f>
        <v>0</v>
      </c>
      <c r="J52" s="108">
        <f>('Project Data Input'!$D$17-'Option A'!$U$16)*'Technology Inputs'!K13/1000*J$18</f>
        <v>0</v>
      </c>
      <c r="K52" s="108">
        <f>('Project Data Input'!$D$17-'Option A'!$U$16)*'Technology Inputs'!L13/1000*K$18</f>
        <v>0</v>
      </c>
      <c r="L52" s="108">
        <f>('Project Data Input'!$D$17-'Option A'!$U$16)*'Technology Inputs'!M13/1000*L$18</f>
        <v>0</v>
      </c>
      <c r="M52" s="108">
        <f>('Project Data Input'!$D$17-'Option A'!$U$16)*'Technology Inputs'!N13/1000*M$18</f>
        <v>0</v>
      </c>
      <c r="N52" s="108">
        <f>('Project Data Input'!$D$17-'Option A'!$U$16)*'Technology Inputs'!O13/1000*N$18</f>
        <v>0</v>
      </c>
      <c r="O52" s="108">
        <f>('Project Data Input'!$D$17-'Option A'!$U$16)*'Technology Inputs'!P13/1000*O$18</f>
        <v>0</v>
      </c>
      <c r="P52" s="108">
        <f>('Project Data Input'!$D$17-'Option A'!$U$16)*'Technology Inputs'!Q13/1000*P$18</f>
        <v>0</v>
      </c>
      <c r="Q52" s="108">
        <f>('Project Data Input'!$D$17-'Option A'!$U$16)*'Technology Inputs'!R13/1000*Q$18</f>
        <v>0</v>
      </c>
      <c r="R52" s="108">
        <f>('Project Data Input'!$D$17-'Option A'!$U$16)*'Technology Inputs'!S13/1000*R$18</f>
        <v>0</v>
      </c>
      <c r="S52" s="108">
        <f>('Project Data Input'!$D$17-'Option A'!$U$16)*'Technology Inputs'!T13/1000*S$18</f>
        <v>0</v>
      </c>
      <c r="T52" s="108">
        <f>('Project Data Input'!$D$17-'Option A'!$U$16)*'Technology Inputs'!U13/1000*T$18</f>
        <v>0</v>
      </c>
      <c r="U52" s="108">
        <f>('Project Data Input'!$D$17-'Option A'!$U$16)*'Technology Inputs'!V13/1000*U$18</f>
        <v>0</v>
      </c>
      <c r="V52" s="108">
        <f>('Project Data Input'!$D$17-'Option A'!$U$16)*'Technology Inputs'!W13/1000*V$18</f>
        <v>0</v>
      </c>
      <c r="W52" s="108">
        <f>('Project Data Input'!$D$17-'Option A'!$U$16)*'Technology Inputs'!X13/1000*W$18</f>
        <v>0</v>
      </c>
      <c r="X52" s="108">
        <f>('Project Data Input'!$D$17-'Option A'!$U$16)*'Technology Inputs'!Y13/1000*X$18</f>
        <v>0</v>
      </c>
      <c r="Y52" s="108">
        <f t="shared" si="4"/>
        <v>0</v>
      </c>
    </row>
    <row r="53" spans="3:25" x14ac:dyDescent="0.25">
      <c r="C53" s="58" t="s">
        <v>135</v>
      </c>
      <c r="D53" s="108">
        <f>SUM(D49:D52)</f>
        <v>0</v>
      </c>
      <c r="E53" s="108">
        <f t="shared" ref="E53:Y53" si="5">SUM(E49:E52)</f>
        <v>0</v>
      </c>
      <c r="F53" s="108">
        <f t="shared" si="5"/>
        <v>0</v>
      </c>
      <c r="G53" s="108">
        <f t="shared" si="5"/>
        <v>0</v>
      </c>
      <c r="H53" s="108">
        <f t="shared" si="5"/>
        <v>0</v>
      </c>
      <c r="I53" s="108">
        <f t="shared" si="5"/>
        <v>0</v>
      </c>
      <c r="J53" s="108">
        <f t="shared" si="5"/>
        <v>0</v>
      </c>
      <c r="K53" s="108">
        <f t="shared" si="5"/>
        <v>0</v>
      </c>
      <c r="L53" s="108">
        <f t="shared" si="5"/>
        <v>0</v>
      </c>
      <c r="M53" s="108">
        <f t="shared" si="5"/>
        <v>0</v>
      </c>
      <c r="N53" s="108">
        <f t="shared" si="5"/>
        <v>0</v>
      </c>
      <c r="O53" s="108">
        <f t="shared" si="5"/>
        <v>0</v>
      </c>
      <c r="P53" s="108">
        <f t="shared" si="5"/>
        <v>0</v>
      </c>
      <c r="Q53" s="108">
        <f t="shared" si="5"/>
        <v>0</v>
      </c>
      <c r="R53" s="108">
        <f t="shared" si="5"/>
        <v>0</v>
      </c>
      <c r="S53" s="108">
        <f t="shared" si="5"/>
        <v>0</v>
      </c>
      <c r="T53" s="108">
        <f t="shared" si="5"/>
        <v>0</v>
      </c>
      <c r="U53" s="108">
        <f t="shared" si="5"/>
        <v>0</v>
      </c>
      <c r="V53" s="108">
        <f t="shared" si="5"/>
        <v>0</v>
      </c>
      <c r="W53" s="108">
        <f t="shared" si="5"/>
        <v>0</v>
      </c>
      <c r="X53" s="108">
        <f t="shared" si="5"/>
        <v>0</v>
      </c>
      <c r="Y53" s="108">
        <f t="shared" si="5"/>
        <v>0</v>
      </c>
    </row>
    <row r="54" spans="3:25" ht="15.75" thickBot="1" x14ac:dyDescent="0.3">
      <c r="C54" s="52"/>
      <c r="D54" s="54"/>
      <c r="E54" s="54"/>
      <c r="F54" s="54"/>
      <c r="G54" s="54"/>
      <c r="H54" s="54"/>
      <c r="I54" s="54"/>
      <c r="J54" s="54"/>
      <c r="K54" s="54"/>
      <c r="L54" s="54"/>
      <c r="M54" s="54"/>
      <c r="N54" s="54"/>
      <c r="O54" s="54"/>
      <c r="P54" s="54"/>
      <c r="Q54" s="54"/>
      <c r="R54" s="54"/>
      <c r="S54" s="54"/>
      <c r="T54" s="54"/>
      <c r="U54" s="54"/>
      <c r="V54" s="54"/>
      <c r="W54" s="54"/>
      <c r="X54" s="54"/>
      <c r="Y54" s="54"/>
    </row>
    <row r="55" spans="3:25" x14ac:dyDescent="0.25">
      <c r="C55" s="66" t="s">
        <v>102</v>
      </c>
      <c r="D55" s="405" t="e">
        <f>IRR(D56:W56,0.3)</f>
        <v>#NUM!</v>
      </c>
      <c r="E55" s="56"/>
      <c r="F55" s="56"/>
      <c r="G55" s="56"/>
      <c r="H55" s="56"/>
      <c r="I55" s="56"/>
      <c r="J55" s="56"/>
      <c r="K55" s="56"/>
      <c r="L55" s="56"/>
      <c r="M55" s="56"/>
      <c r="N55" s="56"/>
      <c r="O55" s="56"/>
      <c r="P55" s="56"/>
      <c r="Q55" s="56"/>
      <c r="R55" s="56"/>
      <c r="S55" s="56"/>
      <c r="T55" s="56"/>
      <c r="U55" s="56"/>
      <c r="V55" s="56"/>
      <c r="W55" s="56"/>
      <c r="X55" s="57"/>
      <c r="Y55" s="57"/>
    </row>
    <row r="56" spans="3:25" x14ac:dyDescent="0.25">
      <c r="C56" s="58" t="s">
        <v>136</v>
      </c>
      <c r="D56" s="68">
        <f>-D42</f>
        <v>0</v>
      </c>
      <c r="E56" s="60">
        <f>SUM(E$23:E$29)-SUM(E$37:E$45)</f>
        <v>0</v>
      </c>
      <c r="F56" s="60">
        <f t="shared" ref="F56:X56" si="6">SUM(F$23:F$29)-SUM(F$37:F$45)</f>
        <v>0</v>
      </c>
      <c r="G56" s="60">
        <f t="shared" si="6"/>
        <v>0</v>
      </c>
      <c r="H56" s="60">
        <f t="shared" si="6"/>
        <v>0</v>
      </c>
      <c r="I56" s="60">
        <f t="shared" si="6"/>
        <v>0</v>
      </c>
      <c r="J56" s="60">
        <f t="shared" si="6"/>
        <v>0</v>
      </c>
      <c r="K56" s="60">
        <f t="shared" si="6"/>
        <v>0</v>
      </c>
      <c r="L56" s="60">
        <f t="shared" si="6"/>
        <v>0</v>
      </c>
      <c r="M56" s="60">
        <f t="shared" si="6"/>
        <v>0</v>
      </c>
      <c r="N56" s="60">
        <f t="shared" si="6"/>
        <v>0</v>
      </c>
      <c r="O56" s="60">
        <f t="shared" si="6"/>
        <v>0</v>
      </c>
      <c r="P56" s="60">
        <f t="shared" si="6"/>
        <v>0</v>
      </c>
      <c r="Q56" s="60">
        <f t="shared" si="6"/>
        <v>0</v>
      </c>
      <c r="R56" s="60">
        <f t="shared" si="6"/>
        <v>0</v>
      </c>
      <c r="S56" s="60">
        <f t="shared" si="6"/>
        <v>0</v>
      </c>
      <c r="T56" s="60">
        <f t="shared" si="6"/>
        <v>0</v>
      </c>
      <c r="U56" s="60">
        <f t="shared" si="6"/>
        <v>0</v>
      </c>
      <c r="V56" s="60">
        <f t="shared" si="6"/>
        <v>0</v>
      </c>
      <c r="W56" s="60">
        <f t="shared" si="6"/>
        <v>0</v>
      </c>
      <c r="X56" s="60">
        <f t="shared" si="6"/>
        <v>0</v>
      </c>
      <c r="Y56" s="60"/>
    </row>
    <row r="57" spans="3:25" ht="15.75" thickBot="1" x14ac:dyDescent="0.3">
      <c r="C57" s="61" t="s">
        <v>137</v>
      </c>
      <c r="D57" s="69">
        <f>D56</f>
        <v>0</v>
      </c>
      <c r="E57" s="69">
        <f>D57+E56*E$18</f>
        <v>0</v>
      </c>
      <c r="F57" s="69">
        <f t="shared" ref="F57:X57" si="7">E57+F56*F$18</f>
        <v>0</v>
      </c>
      <c r="G57" s="69">
        <f t="shared" si="7"/>
        <v>0</v>
      </c>
      <c r="H57" s="69">
        <f t="shared" si="7"/>
        <v>0</v>
      </c>
      <c r="I57" s="69">
        <f t="shared" si="7"/>
        <v>0</v>
      </c>
      <c r="J57" s="69">
        <f t="shared" si="7"/>
        <v>0</v>
      </c>
      <c r="K57" s="69">
        <f t="shared" si="7"/>
        <v>0</v>
      </c>
      <c r="L57" s="69">
        <f t="shared" si="7"/>
        <v>0</v>
      </c>
      <c r="M57" s="69">
        <f t="shared" si="7"/>
        <v>0</v>
      </c>
      <c r="N57" s="69">
        <f t="shared" si="7"/>
        <v>0</v>
      </c>
      <c r="O57" s="69">
        <f t="shared" si="7"/>
        <v>0</v>
      </c>
      <c r="P57" s="69">
        <f t="shared" si="7"/>
        <v>0</v>
      </c>
      <c r="Q57" s="69">
        <f t="shared" si="7"/>
        <v>0</v>
      </c>
      <c r="R57" s="69">
        <f t="shared" si="7"/>
        <v>0</v>
      </c>
      <c r="S57" s="69">
        <f t="shared" si="7"/>
        <v>0</v>
      </c>
      <c r="T57" s="69">
        <f t="shared" si="7"/>
        <v>0</v>
      </c>
      <c r="U57" s="69">
        <f t="shared" si="7"/>
        <v>0</v>
      </c>
      <c r="V57" s="69">
        <f t="shared" si="7"/>
        <v>0</v>
      </c>
      <c r="W57" s="69">
        <f t="shared" si="7"/>
        <v>0</v>
      </c>
      <c r="X57" s="69">
        <f t="shared" si="7"/>
        <v>0</v>
      </c>
      <c r="Y57" s="69"/>
    </row>
    <row r="58" spans="3:25" ht="15.75" thickBot="1" x14ac:dyDescent="0.3">
      <c r="C58" s="52"/>
      <c r="D58" s="70" t="s">
        <v>101</v>
      </c>
      <c r="E58" s="71">
        <f>NPV(3.5%,D56:W56)</f>
        <v>0</v>
      </c>
      <c r="F58" s="54"/>
      <c r="G58" s="54"/>
      <c r="H58" s="54"/>
      <c r="I58" s="54"/>
      <c r="J58" s="54"/>
      <c r="K58" s="54"/>
      <c r="L58" s="54"/>
      <c r="M58" s="54"/>
      <c r="N58" s="54"/>
      <c r="O58" s="54"/>
      <c r="P58" s="54"/>
      <c r="Q58" s="54"/>
      <c r="R58" s="54"/>
      <c r="S58" s="54"/>
      <c r="T58" s="54"/>
      <c r="U58" s="54"/>
      <c r="V58" s="54"/>
      <c r="W58" s="54"/>
      <c r="X58" s="54"/>
      <c r="Y58" s="54"/>
    </row>
    <row r="59" spans="3:25" ht="15.75" thickBot="1" x14ac:dyDescent="0.3">
      <c r="D59" s="72"/>
    </row>
    <row r="60" spans="3:25" x14ac:dyDescent="0.25">
      <c r="C60" s="66" t="s">
        <v>138</v>
      </c>
      <c r="D60" s="73">
        <f>-D42*(1-M10)</f>
        <v>0</v>
      </c>
      <c r="E60" s="74">
        <f>SUM(E$23:E$29)-SUM(E$37:E$46)</f>
        <v>0</v>
      </c>
      <c r="F60" s="74">
        <f t="shared" ref="F60:X60" si="8">SUM(F$23:F$29)-SUM(F$37:F$46)</f>
        <v>0</v>
      </c>
      <c r="G60" s="74">
        <f t="shared" si="8"/>
        <v>0</v>
      </c>
      <c r="H60" s="74">
        <f t="shared" si="8"/>
        <v>0</v>
      </c>
      <c r="I60" s="74">
        <f t="shared" si="8"/>
        <v>0</v>
      </c>
      <c r="J60" s="74">
        <f t="shared" si="8"/>
        <v>0</v>
      </c>
      <c r="K60" s="74">
        <f t="shared" si="8"/>
        <v>0</v>
      </c>
      <c r="L60" s="74">
        <f t="shared" si="8"/>
        <v>0</v>
      </c>
      <c r="M60" s="74">
        <f t="shared" si="8"/>
        <v>0</v>
      </c>
      <c r="N60" s="74">
        <f t="shared" si="8"/>
        <v>0</v>
      </c>
      <c r="O60" s="74">
        <f t="shared" si="8"/>
        <v>0</v>
      </c>
      <c r="P60" s="74">
        <f t="shared" si="8"/>
        <v>0</v>
      </c>
      <c r="Q60" s="74">
        <f t="shared" si="8"/>
        <v>0</v>
      </c>
      <c r="R60" s="74">
        <f t="shared" si="8"/>
        <v>0</v>
      </c>
      <c r="S60" s="74">
        <f t="shared" si="8"/>
        <v>0</v>
      </c>
      <c r="T60" s="74">
        <f t="shared" si="8"/>
        <v>0</v>
      </c>
      <c r="U60" s="74">
        <f t="shared" si="8"/>
        <v>0</v>
      </c>
      <c r="V60" s="74">
        <f t="shared" si="8"/>
        <v>0</v>
      </c>
      <c r="W60" s="74">
        <f t="shared" si="8"/>
        <v>0</v>
      </c>
      <c r="X60" s="74">
        <f t="shared" si="8"/>
        <v>0</v>
      </c>
      <c r="Y60" s="75"/>
    </row>
    <row r="61" spans="3:25" ht="15.75" thickBot="1" x14ac:dyDescent="0.3">
      <c r="C61" s="61" t="s">
        <v>139</v>
      </c>
      <c r="D61" s="76">
        <f>D60</f>
        <v>0</v>
      </c>
      <c r="E61" s="77">
        <f>D61+E60</f>
        <v>0</v>
      </c>
      <c r="F61" s="78">
        <f t="shared" ref="F61:X61" si="9">E61+F60</f>
        <v>0</v>
      </c>
      <c r="G61" s="78">
        <f t="shared" si="9"/>
        <v>0</v>
      </c>
      <c r="H61" s="78">
        <f t="shared" si="9"/>
        <v>0</v>
      </c>
      <c r="I61" s="78">
        <f t="shared" si="9"/>
        <v>0</v>
      </c>
      <c r="J61" s="78">
        <f t="shared" si="9"/>
        <v>0</v>
      </c>
      <c r="K61" s="78">
        <f t="shared" si="9"/>
        <v>0</v>
      </c>
      <c r="L61" s="78">
        <f t="shared" si="9"/>
        <v>0</v>
      </c>
      <c r="M61" s="78">
        <f t="shared" si="9"/>
        <v>0</v>
      </c>
      <c r="N61" s="78">
        <f t="shared" si="9"/>
        <v>0</v>
      </c>
      <c r="O61" s="78">
        <f t="shared" si="9"/>
        <v>0</v>
      </c>
      <c r="P61" s="78">
        <f t="shared" si="9"/>
        <v>0</v>
      </c>
      <c r="Q61" s="78">
        <f t="shared" si="9"/>
        <v>0</v>
      </c>
      <c r="R61" s="78">
        <f t="shared" si="9"/>
        <v>0</v>
      </c>
      <c r="S61" s="78">
        <f t="shared" si="9"/>
        <v>0</v>
      </c>
      <c r="T61" s="78">
        <f t="shared" si="9"/>
        <v>0</v>
      </c>
      <c r="U61" s="78">
        <f t="shared" si="9"/>
        <v>0</v>
      </c>
      <c r="V61" s="78">
        <f t="shared" si="9"/>
        <v>0</v>
      </c>
      <c r="W61" s="78">
        <f t="shared" si="9"/>
        <v>0</v>
      </c>
      <c r="X61" s="79">
        <f t="shared" si="9"/>
        <v>0</v>
      </c>
      <c r="Y61" s="79"/>
    </row>
    <row r="62" spans="3:25" ht="15.75" thickBot="1" x14ac:dyDescent="0.3">
      <c r="D62" s="70" t="s">
        <v>101</v>
      </c>
      <c r="E62" s="71">
        <f>NPV(3.5%,D60:W60)</f>
        <v>0</v>
      </c>
    </row>
    <row r="63" spans="3:25" x14ac:dyDescent="0.25">
      <c r="D63" s="51"/>
      <c r="E63" s="51"/>
    </row>
    <row r="64" spans="3:2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sheetData>
  <sheetProtection algorithmName="SHA-512" hashValue="kfO/af3bRqkEuBz12wapbhn8C5TNYwwH2YlEF5Pka9OwA1rR/qVStQAPBgLCHwWgQbjQwccpH8MHEPVKYwXAiw==" saltValue="0xW0U7iyjXnZSoBWfQc0zQ==" spinCount="100000" sheet="1" formatCells="0" formatColumns="0" formatRows="0" insertColumns="0" insertRows="0" insertHyperlinks="0" deleteColumns="0" deleteRows="0" sort="0" autoFilter="0" pivotTables="0"/>
  <mergeCells count="1">
    <mergeCell ref="B4:H4"/>
  </mergeCells>
  <printOptions horizontalCentered="1"/>
  <pageMargins left="0.31496062992125984" right="0.31496062992125984" top="0.35433070866141736" bottom="0.74803149606299213" header="0.31496062992125984" footer="0.31496062992125984"/>
  <pageSetup paperSize="9" scale="35" orientation="landscape" r:id="rId1"/>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D6E1-A68F-4986-B121-D08D1CF46DBA}">
  <sheetPr>
    <tabColor rgb="FFFFC000"/>
    <pageSetUpPr fitToPage="1"/>
  </sheetPr>
  <dimension ref="B2:Y69"/>
  <sheetViews>
    <sheetView zoomScale="80" zoomScaleNormal="80" zoomScalePageLayoutView="85" workbookViewId="0">
      <selection activeCell="C24" sqref="C24"/>
    </sheetView>
  </sheetViews>
  <sheetFormatPr defaultColWidth="8.7109375" defaultRowHeight="15" x14ac:dyDescent="0.25"/>
  <cols>
    <col min="1" max="2" width="8.7109375" style="23"/>
    <col min="3" max="3" width="43" style="23" customWidth="1"/>
    <col min="4" max="4" width="17.140625" style="23" customWidth="1"/>
    <col min="5" max="5" width="21.7109375" style="23" customWidth="1"/>
    <col min="6" max="6" width="18.5703125" style="23" customWidth="1"/>
    <col min="7" max="7" width="14.42578125" style="23" customWidth="1"/>
    <col min="8" max="8" width="36.85546875" style="23" bestFit="1" customWidth="1"/>
    <col min="9" max="9" width="15.140625" style="23" customWidth="1"/>
    <col min="10" max="10" width="15" style="23" customWidth="1"/>
    <col min="11" max="11" width="14.42578125" style="23" customWidth="1"/>
    <col min="12" max="12" width="20.140625" style="23" customWidth="1"/>
    <col min="13" max="15" width="14.42578125" style="23" customWidth="1"/>
    <col min="16" max="16" width="17.7109375" style="23" customWidth="1"/>
    <col min="17" max="17" width="16.5703125" style="23" customWidth="1"/>
    <col min="18" max="25" width="14.42578125" style="23" customWidth="1"/>
    <col min="26" max="16384" width="8.7109375" style="23"/>
  </cols>
  <sheetData>
    <row r="2" spans="2:21" ht="22.5" customHeight="1" x14ac:dyDescent="0.25">
      <c r="B2" s="139" t="s">
        <v>3</v>
      </c>
      <c r="C2" s="139"/>
      <c r="D2" s="139"/>
      <c r="E2" s="139"/>
      <c r="F2" s="139"/>
      <c r="G2" s="139"/>
      <c r="H2" s="139"/>
      <c r="I2" s="121"/>
      <c r="J2" s="121"/>
      <c r="K2" s="122"/>
      <c r="L2" s="122"/>
      <c r="O2" s="121"/>
      <c r="P2" s="123"/>
      <c r="Q2" s="123"/>
      <c r="S2" s="121"/>
      <c r="T2" s="121"/>
      <c r="U2" s="121"/>
    </row>
    <row r="3" spans="2:21" ht="30" customHeight="1" x14ac:dyDescent="0.25">
      <c r="B3" s="139" t="s">
        <v>4</v>
      </c>
      <c r="C3" s="140"/>
      <c r="D3" s="140"/>
      <c r="E3" s="140"/>
      <c r="F3" s="140"/>
      <c r="G3" s="140"/>
      <c r="H3" s="140"/>
      <c r="I3" s="121"/>
      <c r="J3" s="121"/>
      <c r="K3" s="122"/>
      <c r="L3" s="122"/>
      <c r="O3" s="121"/>
      <c r="P3" s="122"/>
      <c r="Q3" s="122"/>
      <c r="S3" s="122"/>
      <c r="T3" s="122"/>
      <c r="U3" s="122"/>
    </row>
    <row r="4" spans="2:21" x14ac:dyDescent="0.25">
      <c r="B4" s="683"/>
      <c r="C4" s="683"/>
      <c r="D4" s="683"/>
      <c r="E4" s="683"/>
      <c r="F4" s="683"/>
      <c r="G4" s="683"/>
      <c r="H4" s="683"/>
    </row>
    <row r="5" spans="2:21" ht="15" customHeight="1" x14ac:dyDescent="0.25">
      <c r="B5" s="141" t="s">
        <v>140</v>
      </c>
      <c r="C5" s="141"/>
      <c r="D5" s="141"/>
      <c r="E5" s="141"/>
      <c r="F5" s="141"/>
      <c r="G5" s="181" t="s">
        <v>1</v>
      </c>
      <c r="H5" s="182" t="str">
        <f>'Project Data Input'!H5</f>
        <v xml:space="preserve"> </v>
      </c>
      <c r="I5" s="124"/>
      <c r="J5" s="124"/>
      <c r="K5" s="124"/>
      <c r="L5" s="124"/>
      <c r="M5" s="124"/>
      <c r="N5" s="124"/>
      <c r="O5" s="124"/>
      <c r="P5" s="124"/>
      <c r="Q5" s="124"/>
    </row>
    <row r="6" spans="2:21" ht="15.75" customHeight="1" x14ac:dyDescent="0.25">
      <c r="B6" s="141"/>
      <c r="C6" s="141"/>
      <c r="D6" s="141"/>
      <c r="E6" s="141"/>
      <c r="F6" s="141"/>
      <c r="G6" s="181" t="s">
        <v>0</v>
      </c>
      <c r="H6" s="181" t="str">
        <f>'Project Data Input'!H6</f>
        <v xml:space="preserve"> </v>
      </c>
      <c r="I6" s="124"/>
      <c r="J6" s="124"/>
      <c r="K6" s="124"/>
      <c r="L6" s="124"/>
      <c r="M6" s="124"/>
      <c r="N6" s="124"/>
      <c r="O6" s="124"/>
      <c r="P6" s="124"/>
      <c r="Q6" s="124"/>
    </row>
    <row r="7" spans="2:21" x14ac:dyDescent="0.25">
      <c r="C7" s="28"/>
      <c r="D7" s="28"/>
      <c r="E7" s="36"/>
      <c r="F7" s="36"/>
      <c r="G7" s="36"/>
      <c r="H7" s="36"/>
      <c r="I7" s="36"/>
      <c r="J7" s="36"/>
      <c r="K7" s="36"/>
      <c r="L7" s="36"/>
      <c r="M7" s="36"/>
      <c r="N7" s="36"/>
      <c r="O7" s="36"/>
      <c r="P7" s="36"/>
      <c r="Q7" s="36"/>
    </row>
    <row r="8" spans="2:21" x14ac:dyDescent="0.25">
      <c r="C8" s="37"/>
      <c r="L8" s="38" t="s">
        <v>108</v>
      </c>
      <c r="M8" s="39" t="s">
        <v>109</v>
      </c>
    </row>
    <row r="9" spans="2:21" x14ac:dyDescent="0.25">
      <c r="C9" s="37"/>
      <c r="L9" s="40" t="s">
        <v>110</v>
      </c>
      <c r="M9" s="41">
        <f>D42</f>
        <v>0</v>
      </c>
      <c r="P9" s="42" t="s">
        <v>102</v>
      </c>
      <c r="Q9" s="43" t="e">
        <f>D55</f>
        <v>#NUM!</v>
      </c>
    </row>
    <row r="10" spans="2:21" x14ac:dyDescent="0.25">
      <c r="C10" s="37"/>
      <c r="L10" s="40" t="s">
        <v>111</v>
      </c>
      <c r="M10" s="44">
        <v>1</v>
      </c>
      <c r="P10" s="42" t="s">
        <v>101</v>
      </c>
      <c r="Q10" s="45">
        <f>E58</f>
        <v>0</v>
      </c>
    </row>
    <row r="11" spans="2:21" x14ac:dyDescent="0.25">
      <c r="C11" s="37"/>
      <c r="L11" s="40" t="s">
        <v>111</v>
      </c>
      <c r="M11" s="46">
        <f>M9*M10</f>
        <v>0</v>
      </c>
      <c r="P11" s="47" t="s">
        <v>55</v>
      </c>
      <c r="Q11" s="48" t="e">
        <f>-D56/((SUM($E$23:$E$28)-SUM($E$37:$E$41)))</f>
        <v>#DIV/0!</v>
      </c>
    </row>
    <row r="12" spans="2:21" x14ac:dyDescent="0.25">
      <c r="C12" s="37"/>
      <c r="L12" s="40" t="s">
        <v>112</v>
      </c>
      <c r="M12" s="49">
        <f>'DASHBOARD '!G21</f>
        <v>0</v>
      </c>
    </row>
    <row r="13" spans="2:21" x14ac:dyDescent="0.25">
      <c r="C13" s="37"/>
      <c r="L13" s="40" t="s">
        <v>113</v>
      </c>
      <c r="M13" s="116">
        <f>'DASHBOARD '!G22</f>
        <v>0</v>
      </c>
    </row>
    <row r="14" spans="2:21" x14ac:dyDescent="0.25">
      <c r="C14" s="37"/>
      <c r="L14" s="40" t="s">
        <v>114</v>
      </c>
      <c r="M14" s="46" t="e">
        <f>PMT(M12/12,M13*12,-M11)</f>
        <v>#NUM!</v>
      </c>
    </row>
    <row r="15" spans="2:21" x14ac:dyDescent="0.25">
      <c r="C15" s="37"/>
      <c r="L15" s="40" t="s">
        <v>115</v>
      </c>
      <c r="M15" s="46" t="e">
        <f>M14*12</f>
        <v>#NUM!</v>
      </c>
    </row>
    <row r="16" spans="2:21" x14ac:dyDescent="0.25">
      <c r="C16" s="37"/>
      <c r="L16" s="40" t="s">
        <v>116</v>
      </c>
      <c r="M16" s="46" t="e">
        <f>M15*M13</f>
        <v>#NUM!</v>
      </c>
    </row>
    <row r="17" spans="3:25" x14ac:dyDescent="0.25">
      <c r="C17" s="37"/>
      <c r="D17" s="23">
        <v>0</v>
      </c>
      <c r="E17" s="23">
        <v>1</v>
      </c>
      <c r="F17" s="23">
        <v>2</v>
      </c>
      <c r="G17" s="23">
        <v>3</v>
      </c>
      <c r="H17" s="23">
        <v>4</v>
      </c>
      <c r="I17" s="23">
        <v>5</v>
      </c>
      <c r="J17" s="23">
        <v>6</v>
      </c>
      <c r="K17" s="23">
        <v>7</v>
      </c>
      <c r="L17" s="23">
        <v>8</v>
      </c>
      <c r="M17" s="23">
        <v>9</v>
      </c>
      <c r="N17" s="23">
        <v>10</v>
      </c>
      <c r="O17" s="23">
        <v>11</v>
      </c>
      <c r="P17" s="23">
        <v>12</v>
      </c>
      <c r="Q17" s="23">
        <v>13</v>
      </c>
      <c r="R17" s="23">
        <v>14</v>
      </c>
      <c r="S17" s="23">
        <v>15</v>
      </c>
      <c r="T17" s="23">
        <v>16</v>
      </c>
      <c r="U17" s="23">
        <v>17</v>
      </c>
      <c r="V17" s="23">
        <v>18</v>
      </c>
      <c r="W17" s="23">
        <v>19</v>
      </c>
      <c r="X17" s="23">
        <v>20</v>
      </c>
      <c r="Y17" s="109" t="s">
        <v>63</v>
      </c>
    </row>
    <row r="18" spans="3:25" ht="15.75" thickBot="1" x14ac:dyDescent="0.3">
      <c r="C18" s="37"/>
      <c r="D18" s="23">
        <f>IF(D19&lt;'Project Data Input'!$D$9, 1, 0)</f>
        <v>0</v>
      </c>
      <c r="E18" s="23">
        <f>IF(E19&lt;'Project Data Input'!$D$9, 1, 0)</f>
        <v>0</v>
      </c>
      <c r="F18" s="23">
        <f>IF(F19&lt;'Project Data Input'!$D$9, 1, 0)</f>
        <v>0</v>
      </c>
      <c r="G18" s="23">
        <f>IF(G19&lt;'Project Data Input'!$D$9, 1, 0)</f>
        <v>0</v>
      </c>
      <c r="H18" s="23">
        <f>IF(H19&lt;'Project Data Input'!$D$9, 1, 0)</f>
        <v>0</v>
      </c>
      <c r="I18" s="23">
        <f>IF(I19&lt;'Project Data Input'!$D$9, 1, 0)</f>
        <v>0</v>
      </c>
      <c r="J18" s="23">
        <f>IF(J19&lt;'Project Data Input'!$D$9, 1, 0)</f>
        <v>0</v>
      </c>
      <c r="K18" s="23">
        <f>IF(K19&lt;'Project Data Input'!$D$9, 1, 0)</f>
        <v>0</v>
      </c>
      <c r="L18" s="23">
        <f>IF(L19&lt;'Project Data Input'!$D$9, 1, 0)</f>
        <v>0</v>
      </c>
      <c r="M18" s="23">
        <f>IF(M19&lt;'Project Data Input'!$D$9, 1, 0)</f>
        <v>0</v>
      </c>
      <c r="N18" s="23">
        <f>IF(N19&lt;'Project Data Input'!$D$9, 1, 0)</f>
        <v>0</v>
      </c>
      <c r="O18" s="23">
        <f>IF(O19&lt;'Project Data Input'!$D$9, 1, 0)</f>
        <v>0</v>
      </c>
      <c r="P18" s="23">
        <f>IF(P19&lt;'Project Data Input'!$D$9, 1, 0)</f>
        <v>0</v>
      </c>
      <c r="Q18" s="23">
        <f>IF(Q19&lt;'Project Data Input'!$D$9, 1, 0)</f>
        <v>0</v>
      </c>
      <c r="R18" s="23">
        <f>IF(R19&lt;'Project Data Input'!$D$9, 1, 0)</f>
        <v>0</v>
      </c>
      <c r="S18" s="23">
        <f>IF(S19&lt;'Project Data Input'!$D$9, 1, 0)</f>
        <v>0</v>
      </c>
      <c r="T18" s="23">
        <f>IF(T19&lt;'Project Data Input'!$D$9, 1, 0)</f>
        <v>0</v>
      </c>
      <c r="U18" s="23">
        <v>0</v>
      </c>
      <c r="V18" s="23">
        <v>0</v>
      </c>
      <c r="W18" s="23">
        <v>0</v>
      </c>
      <c r="X18" s="23">
        <v>0</v>
      </c>
      <c r="Y18" s="23">
        <v>0</v>
      </c>
    </row>
    <row r="19" spans="3:25" ht="15.75" thickBot="1" x14ac:dyDescent="0.3">
      <c r="C19" s="52"/>
      <c r="D19" s="53">
        <f>'Technology Inputs'!E1</f>
        <v>0</v>
      </c>
      <c r="E19" s="53">
        <f>'Technology Inputs'!F1</f>
        <v>1</v>
      </c>
      <c r="F19" s="53">
        <f>'Technology Inputs'!G1</f>
        <v>2</v>
      </c>
      <c r="G19" s="53">
        <f>'Technology Inputs'!H1</f>
        <v>3</v>
      </c>
      <c r="H19" s="53">
        <f>'Technology Inputs'!I1</f>
        <v>4</v>
      </c>
      <c r="I19" s="53">
        <f>'Technology Inputs'!J1</f>
        <v>5</v>
      </c>
      <c r="J19" s="53">
        <f>'Technology Inputs'!K1</f>
        <v>6</v>
      </c>
      <c r="K19" s="53">
        <f>'Technology Inputs'!L1</f>
        <v>7</v>
      </c>
      <c r="L19" s="53">
        <f>'Technology Inputs'!M1</f>
        <v>8</v>
      </c>
      <c r="M19" s="53">
        <f>'Technology Inputs'!N1</f>
        <v>9</v>
      </c>
      <c r="N19" s="53">
        <f>'Technology Inputs'!O1</f>
        <v>10</v>
      </c>
      <c r="O19" s="53">
        <f>'Technology Inputs'!P1</f>
        <v>11</v>
      </c>
      <c r="P19" s="53">
        <f>'Technology Inputs'!Q1</f>
        <v>12</v>
      </c>
      <c r="Q19" s="53">
        <f>'Technology Inputs'!R1</f>
        <v>13</v>
      </c>
      <c r="R19" s="53">
        <f>'Technology Inputs'!S1</f>
        <v>14</v>
      </c>
      <c r="S19" s="53">
        <f>'Technology Inputs'!T1</f>
        <v>15</v>
      </c>
      <c r="T19" s="53">
        <f>'Technology Inputs'!U1</f>
        <v>16</v>
      </c>
      <c r="U19" s="53">
        <f>'Technology Inputs'!V1</f>
        <v>17</v>
      </c>
      <c r="V19" s="53">
        <f>'Technology Inputs'!W1</f>
        <v>18</v>
      </c>
      <c r="W19" s="53">
        <f>'Technology Inputs'!X1</f>
        <v>19</v>
      </c>
      <c r="X19" s="53">
        <f>'Technology Inputs'!Y1</f>
        <v>20</v>
      </c>
      <c r="Y19" s="53"/>
    </row>
    <row r="20" spans="3:25" ht="15.75" thickBot="1" x14ac:dyDescent="0.3">
      <c r="C20" s="52" t="s">
        <v>118</v>
      </c>
      <c r="D20" s="53">
        <f>'Technology Inputs'!E2</f>
        <v>2022</v>
      </c>
      <c r="E20" s="53">
        <f>'Technology Inputs'!F2</f>
        <v>2023</v>
      </c>
      <c r="F20" s="53">
        <f>'Technology Inputs'!G2</f>
        <v>2024</v>
      </c>
      <c r="G20" s="53">
        <f>'Technology Inputs'!H2</f>
        <v>2025</v>
      </c>
      <c r="H20" s="53">
        <f>'Technology Inputs'!I2</f>
        <v>2026</v>
      </c>
      <c r="I20" s="53">
        <f>'Technology Inputs'!J2</f>
        <v>2027</v>
      </c>
      <c r="J20" s="53">
        <f>'Technology Inputs'!K2</f>
        <v>2028</v>
      </c>
      <c r="K20" s="53">
        <f>'Technology Inputs'!L2</f>
        <v>2029</v>
      </c>
      <c r="L20" s="53">
        <f>'Technology Inputs'!M2</f>
        <v>2030</v>
      </c>
      <c r="M20" s="53">
        <f>'Technology Inputs'!N2</f>
        <v>2031</v>
      </c>
      <c r="N20" s="53">
        <f>'Technology Inputs'!O2</f>
        <v>2032</v>
      </c>
      <c r="O20" s="53">
        <f>'Technology Inputs'!P2</f>
        <v>2033</v>
      </c>
      <c r="P20" s="53">
        <f>'Technology Inputs'!Q2</f>
        <v>2034</v>
      </c>
      <c r="Q20" s="53">
        <f>'Technology Inputs'!R2</f>
        <v>2035</v>
      </c>
      <c r="R20" s="53">
        <f>'Technology Inputs'!S2</f>
        <v>2036</v>
      </c>
      <c r="S20" s="53">
        <f>'Technology Inputs'!T2</f>
        <v>2037</v>
      </c>
      <c r="T20" s="53">
        <f>'Technology Inputs'!U2</f>
        <v>2038</v>
      </c>
      <c r="U20" s="53">
        <f>'Technology Inputs'!V2</f>
        <v>2039</v>
      </c>
      <c r="V20" s="53">
        <f>'Technology Inputs'!W2</f>
        <v>2040</v>
      </c>
      <c r="W20" s="53">
        <f>'Technology Inputs'!X2</f>
        <v>2041</v>
      </c>
      <c r="X20" s="53">
        <f>'Technology Inputs'!Y2</f>
        <v>2042</v>
      </c>
      <c r="Y20" s="53"/>
    </row>
    <row r="21" spans="3:25" ht="15.75" thickBot="1" x14ac:dyDescent="0.3">
      <c r="C21" s="52"/>
      <c r="D21" s="54"/>
      <c r="E21" s="54"/>
      <c r="F21" s="54"/>
      <c r="G21" s="54"/>
      <c r="H21" s="54"/>
      <c r="I21" s="54"/>
      <c r="J21" s="54"/>
      <c r="K21" s="54"/>
      <c r="L21" s="54"/>
      <c r="M21" s="54"/>
      <c r="N21" s="54"/>
      <c r="O21" s="54"/>
      <c r="P21" s="54"/>
      <c r="Q21" s="54"/>
      <c r="R21" s="54"/>
      <c r="S21" s="54"/>
      <c r="T21" s="54"/>
      <c r="U21" s="54"/>
      <c r="V21" s="54"/>
      <c r="W21" s="54"/>
      <c r="X21" s="54"/>
      <c r="Y21" s="54"/>
    </row>
    <row r="22" spans="3:25" x14ac:dyDescent="0.25">
      <c r="C22" s="55" t="s">
        <v>119</v>
      </c>
      <c r="D22" s="56"/>
      <c r="E22" s="56"/>
      <c r="F22" s="56"/>
      <c r="G22" s="56"/>
      <c r="H22" s="56"/>
      <c r="I22" s="56"/>
      <c r="J22" s="56"/>
      <c r="K22" s="56"/>
      <c r="L22" s="56"/>
      <c r="M22" s="56"/>
      <c r="N22" s="56"/>
      <c r="O22" s="56"/>
      <c r="P22" s="56"/>
      <c r="Q22" s="56"/>
      <c r="R22" s="56"/>
      <c r="S22" s="56"/>
      <c r="T22" s="56"/>
      <c r="U22" s="56"/>
      <c r="V22" s="56"/>
      <c r="W22" s="56"/>
      <c r="X22" s="57"/>
      <c r="Y22" s="110" t="s">
        <v>63</v>
      </c>
    </row>
    <row r="23" spans="3:25" x14ac:dyDescent="0.25">
      <c r="C23" s="58" t="s">
        <v>120</v>
      </c>
      <c r="D23" s="59">
        <f>'Project Data Input'!$D14*'Project Data Input'!F14</f>
        <v>0</v>
      </c>
      <c r="E23" s="59">
        <f>D23*'Technology Inputs'!F$18*E$18</f>
        <v>0</v>
      </c>
      <c r="F23" s="59">
        <f>E23*'Technology Inputs'!G18*F18</f>
        <v>0</v>
      </c>
      <c r="G23" s="59">
        <f>F23*'Technology Inputs'!H18*G18</f>
        <v>0</v>
      </c>
      <c r="H23" s="59">
        <f>G23*'Technology Inputs'!I18*H18</f>
        <v>0</v>
      </c>
      <c r="I23" s="59">
        <f>H23*'Technology Inputs'!J18*I18</f>
        <v>0</v>
      </c>
      <c r="J23" s="59">
        <f>I23*'Technology Inputs'!K18*J18</f>
        <v>0</v>
      </c>
      <c r="K23" s="59">
        <f>J23*'Technology Inputs'!L18*K18</f>
        <v>0</v>
      </c>
      <c r="L23" s="59">
        <f>K23*'Technology Inputs'!M18*L18</f>
        <v>0</v>
      </c>
      <c r="M23" s="59">
        <f>L23*'Technology Inputs'!N18*M18</f>
        <v>0</v>
      </c>
      <c r="N23" s="59">
        <f>M23*'Technology Inputs'!O18*N18</f>
        <v>0</v>
      </c>
      <c r="O23" s="59">
        <f>N23*'Technology Inputs'!P18*O18</f>
        <v>0</v>
      </c>
      <c r="P23" s="59">
        <f>O23*'Technology Inputs'!Q18*P18</f>
        <v>0</v>
      </c>
      <c r="Q23" s="59">
        <f>P23*'Technology Inputs'!R18*Q18</f>
        <v>0</v>
      </c>
      <c r="R23" s="59">
        <f>Q23*'Technology Inputs'!S18*R18</f>
        <v>0</v>
      </c>
      <c r="S23" s="59">
        <f>R23*'Technology Inputs'!T18*S18</f>
        <v>0</v>
      </c>
      <c r="T23" s="59">
        <f>S23*'Technology Inputs'!U18*T18</f>
        <v>0</v>
      </c>
      <c r="U23" s="59">
        <f>T23*'Technology Inputs'!V18*U18</f>
        <v>0</v>
      </c>
      <c r="V23" s="59">
        <f>U23*'Technology Inputs'!W18*V18</f>
        <v>0</v>
      </c>
      <c r="W23" s="59">
        <f>V23*'Technology Inputs'!X18*W18</f>
        <v>0</v>
      </c>
      <c r="X23" s="59">
        <f>W23*'Technology Inputs'!Y18*X18</f>
        <v>0</v>
      </c>
      <c r="Y23" s="59">
        <f>SUM(D23:X23)</f>
        <v>0</v>
      </c>
    </row>
    <row r="24" spans="3:25" x14ac:dyDescent="0.25">
      <c r="C24" s="58" t="s">
        <v>53</v>
      </c>
      <c r="D24" s="60">
        <f>'Project Data Input'!E20</f>
        <v>0</v>
      </c>
      <c r="E24" s="60">
        <f>D24</f>
        <v>0</v>
      </c>
      <c r="F24" s="60">
        <f t="shared" ref="F24:X24" si="0">E24</f>
        <v>0</v>
      </c>
      <c r="G24" s="60">
        <f t="shared" si="0"/>
        <v>0</v>
      </c>
      <c r="H24" s="60">
        <f t="shared" si="0"/>
        <v>0</v>
      </c>
      <c r="I24" s="60">
        <f t="shared" si="0"/>
        <v>0</v>
      </c>
      <c r="J24" s="60">
        <f t="shared" si="0"/>
        <v>0</v>
      </c>
      <c r="K24" s="60">
        <f t="shared" si="0"/>
        <v>0</v>
      </c>
      <c r="L24" s="60">
        <f t="shared" si="0"/>
        <v>0</v>
      </c>
      <c r="M24" s="60">
        <f t="shared" si="0"/>
        <v>0</v>
      </c>
      <c r="N24" s="60">
        <f t="shared" si="0"/>
        <v>0</v>
      </c>
      <c r="O24" s="60">
        <f t="shared" si="0"/>
        <v>0</v>
      </c>
      <c r="P24" s="60">
        <f t="shared" si="0"/>
        <v>0</v>
      </c>
      <c r="Q24" s="60">
        <f t="shared" si="0"/>
        <v>0</v>
      </c>
      <c r="R24" s="60">
        <f t="shared" si="0"/>
        <v>0</v>
      </c>
      <c r="S24" s="60">
        <f t="shared" si="0"/>
        <v>0</v>
      </c>
      <c r="T24" s="60">
        <f t="shared" si="0"/>
        <v>0</v>
      </c>
      <c r="U24" s="60">
        <f t="shared" si="0"/>
        <v>0</v>
      </c>
      <c r="V24" s="60">
        <f t="shared" si="0"/>
        <v>0</v>
      </c>
      <c r="W24" s="60">
        <f t="shared" si="0"/>
        <v>0</v>
      </c>
      <c r="X24" s="60">
        <f t="shared" si="0"/>
        <v>0</v>
      </c>
      <c r="Y24" s="60">
        <f t="shared" ref="Y24:Y46" si="1">SUM(D24:X24)</f>
        <v>0</v>
      </c>
    </row>
    <row r="25" spans="3:25" x14ac:dyDescent="0.25">
      <c r="C25" s="58" t="s">
        <v>121</v>
      </c>
      <c r="D25" s="59">
        <f>'Project Data Input'!D15*'Project Data Input'!F15</f>
        <v>0</v>
      </c>
      <c r="E25" s="59">
        <f>D25*'Technology Inputs'!F$19*E$18</f>
        <v>0</v>
      </c>
      <c r="F25" s="59">
        <f>E25*'Technology Inputs'!G19*F18</f>
        <v>0</v>
      </c>
      <c r="G25" s="59">
        <f>F25*'Technology Inputs'!H19*G18</f>
        <v>0</v>
      </c>
      <c r="H25" s="59">
        <f>G25*'Technology Inputs'!I19*H18</f>
        <v>0</v>
      </c>
      <c r="I25" s="59">
        <f>H25*'Technology Inputs'!J19*I18</f>
        <v>0</v>
      </c>
      <c r="J25" s="59">
        <f>I25*'Technology Inputs'!K19*J18</f>
        <v>0</v>
      </c>
      <c r="K25" s="59">
        <f>J25*'Technology Inputs'!L19*K18</f>
        <v>0</v>
      </c>
      <c r="L25" s="59">
        <f>K25*'Technology Inputs'!M19*L18</f>
        <v>0</v>
      </c>
      <c r="M25" s="59">
        <f>L25*'Technology Inputs'!N19*M18</f>
        <v>0</v>
      </c>
      <c r="N25" s="59">
        <f>M25*'Technology Inputs'!O19*N18</f>
        <v>0</v>
      </c>
      <c r="O25" s="59">
        <f>N25*'Technology Inputs'!P19*O18</f>
        <v>0</v>
      </c>
      <c r="P25" s="59">
        <f>O25*'Technology Inputs'!Q19*P18</f>
        <v>0</v>
      </c>
      <c r="Q25" s="59">
        <f>P25*'Technology Inputs'!R19*Q18</f>
        <v>0</v>
      </c>
      <c r="R25" s="59">
        <f>Q25*'Technology Inputs'!S19*R18</f>
        <v>0</v>
      </c>
      <c r="S25" s="59">
        <f>R25*'Technology Inputs'!T19*S18</f>
        <v>0</v>
      </c>
      <c r="T25" s="59">
        <f>S25*'Technology Inputs'!U19*T18</f>
        <v>0</v>
      </c>
      <c r="U25" s="59">
        <f>T25*'Technology Inputs'!V19*U18</f>
        <v>0</v>
      </c>
      <c r="V25" s="59">
        <f>U25*'Technology Inputs'!W19*V18</f>
        <v>0</v>
      </c>
      <c r="W25" s="59">
        <f>V25*'Technology Inputs'!X19*W18</f>
        <v>0</v>
      </c>
      <c r="X25" s="59">
        <f>W25*'Technology Inputs'!Y19*X18</f>
        <v>0</v>
      </c>
      <c r="Y25" s="59">
        <f t="shared" si="1"/>
        <v>0</v>
      </c>
    </row>
    <row r="26" spans="3:25" x14ac:dyDescent="0.25">
      <c r="C26" s="58" t="str">
        <f>""&amp;'Project Data Input'!$C$16&amp;" Costs"</f>
        <v>Fuel oil Costs</v>
      </c>
      <c r="D26" s="59">
        <f>'Project Data Input'!D16*'Project Data Input'!F16</f>
        <v>0</v>
      </c>
      <c r="E26" s="59">
        <f>D26*'Technology Inputs'!F$20*E$18</f>
        <v>0</v>
      </c>
      <c r="F26" s="59">
        <f>E26*'Technology Inputs'!G20*F18</f>
        <v>0</v>
      </c>
      <c r="G26" s="59">
        <f>F26*'Technology Inputs'!H20*G18</f>
        <v>0</v>
      </c>
      <c r="H26" s="59">
        <f>G26*'Technology Inputs'!I20*H18</f>
        <v>0</v>
      </c>
      <c r="I26" s="59">
        <f>H26*'Technology Inputs'!J20*I18</f>
        <v>0</v>
      </c>
      <c r="J26" s="59">
        <f>I26*'Technology Inputs'!K20*J18</f>
        <v>0</v>
      </c>
      <c r="K26" s="59">
        <f>J26*'Technology Inputs'!L20*K18</f>
        <v>0</v>
      </c>
      <c r="L26" s="59">
        <f>K26*'Technology Inputs'!M20*L18</f>
        <v>0</v>
      </c>
      <c r="M26" s="59">
        <f>L26*'Technology Inputs'!N20*M18</f>
        <v>0</v>
      </c>
      <c r="N26" s="59">
        <f>M26*'Technology Inputs'!O20*N18</f>
        <v>0</v>
      </c>
      <c r="O26" s="59">
        <f>N26*'Technology Inputs'!P20*O18</f>
        <v>0</v>
      </c>
      <c r="P26" s="59">
        <f>O26*'Technology Inputs'!Q20*P18</f>
        <v>0</v>
      </c>
      <c r="Q26" s="59">
        <f>P26*'Technology Inputs'!R20*Q18</f>
        <v>0</v>
      </c>
      <c r="R26" s="59">
        <f>Q26*'Technology Inputs'!S20*R18</f>
        <v>0</v>
      </c>
      <c r="S26" s="59">
        <f>R26*'Technology Inputs'!T20*S18</f>
        <v>0</v>
      </c>
      <c r="T26" s="59">
        <f>S26*'Technology Inputs'!U20*T18</f>
        <v>0</v>
      </c>
      <c r="U26" s="59">
        <f>T26*'Technology Inputs'!V20*U18</f>
        <v>0</v>
      </c>
      <c r="V26" s="59">
        <f>U26*'Technology Inputs'!W20*V18</f>
        <v>0</v>
      </c>
      <c r="W26" s="59">
        <f>V26*'Technology Inputs'!X20*W18</f>
        <v>0</v>
      </c>
      <c r="X26" s="59">
        <f>W26*'Technology Inputs'!Y20*X18</f>
        <v>0</v>
      </c>
      <c r="Y26" s="59">
        <f t="shared" si="1"/>
        <v>0</v>
      </c>
    </row>
    <row r="27" spans="3:25" x14ac:dyDescent="0.25">
      <c r="C27" s="58" t="str">
        <f>""&amp;'Project Data Input'!$C$17&amp;" Costs"</f>
        <v>Burning oil Costs</v>
      </c>
      <c r="D27" s="59">
        <f>'Project Data Input'!D17*'Project Data Input'!F17</f>
        <v>0</v>
      </c>
      <c r="E27" s="59">
        <f>D27*'Technology Inputs'!F$25*E$18</f>
        <v>0</v>
      </c>
      <c r="F27" s="59">
        <f>E27*'Technology Inputs'!G25*F18</f>
        <v>0</v>
      </c>
      <c r="G27" s="59">
        <f>F27*'Technology Inputs'!H25*G18</f>
        <v>0</v>
      </c>
      <c r="H27" s="59">
        <f>G27*'Technology Inputs'!I25*H18</f>
        <v>0</v>
      </c>
      <c r="I27" s="59">
        <f>H27*'Technology Inputs'!J25*I18</f>
        <v>0</v>
      </c>
      <c r="J27" s="59">
        <f>I27*'Technology Inputs'!K25*J18</f>
        <v>0</v>
      </c>
      <c r="K27" s="59">
        <f>J27*'Technology Inputs'!L25*K18</f>
        <v>0</v>
      </c>
      <c r="L27" s="59">
        <f>K27*'Technology Inputs'!M25*L18</f>
        <v>0</v>
      </c>
      <c r="M27" s="59">
        <f>L27*'Technology Inputs'!N25*M18</f>
        <v>0</v>
      </c>
      <c r="N27" s="59">
        <f>M27*'Technology Inputs'!O25*N18</f>
        <v>0</v>
      </c>
      <c r="O27" s="59">
        <f>N27*'Technology Inputs'!P25*O18</f>
        <v>0</v>
      </c>
      <c r="P27" s="59">
        <f>O27*'Technology Inputs'!Q25*P18</f>
        <v>0</v>
      </c>
      <c r="Q27" s="59">
        <f>P27*'Technology Inputs'!R25*Q18</f>
        <v>0</v>
      </c>
      <c r="R27" s="59">
        <f>Q27*'Technology Inputs'!S25*R18</f>
        <v>0</v>
      </c>
      <c r="S27" s="59">
        <f>R27*'Technology Inputs'!T25*S18</f>
        <v>0</v>
      </c>
      <c r="T27" s="59">
        <f>S27*'Technology Inputs'!U25*T18</f>
        <v>0</v>
      </c>
      <c r="U27" s="59">
        <f>T27*'Technology Inputs'!V25*U18</f>
        <v>0</v>
      </c>
      <c r="V27" s="59">
        <f>U27*'Technology Inputs'!W25*V18</f>
        <v>0</v>
      </c>
      <c r="W27" s="59">
        <f>V27*'Technology Inputs'!X25*W18</f>
        <v>0</v>
      </c>
      <c r="X27" s="59">
        <f>W27*'Technology Inputs'!Y25*X18</f>
        <v>0</v>
      </c>
      <c r="Y27" s="59">
        <f t="shared" si="1"/>
        <v>0</v>
      </c>
    </row>
    <row r="28" spans="3:25" x14ac:dyDescent="0.25">
      <c r="C28" s="58" t="s">
        <v>54</v>
      </c>
      <c r="D28" s="59">
        <f>'Project Data Input'!E21</f>
        <v>0</v>
      </c>
      <c r="E28" s="59">
        <f>'Project Data Input'!F21*E$18</f>
        <v>0</v>
      </c>
      <c r="F28" s="59">
        <f>'Project Data Input'!G21*F18</f>
        <v>0</v>
      </c>
      <c r="G28" s="59">
        <f>'Project Data Input'!H21*G18</f>
        <v>0</v>
      </c>
      <c r="H28" s="59">
        <f>'Project Data Input'!I21*H18</f>
        <v>0</v>
      </c>
      <c r="I28" s="59">
        <f>'Project Data Input'!J21*I18</f>
        <v>0</v>
      </c>
      <c r="J28" s="59">
        <f>'Project Data Input'!K21*J18</f>
        <v>0</v>
      </c>
      <c r="K28" s="59">
        <f>'Project Data Input'!L21*K18</f>
        <v>0</v>
      </c>
      <c r="L28" s="59">
        <f>'Project Data Input'!M21*L18</f>
        <v>0</v>
      </c>
      <c r="M28" s="59">
        <f>'Project Data Input'!N21*M18</f>
        <v>0</v>
      </c>
      <c r="N28" s="59">
        <f>'Project Data Input'!O21*N18</f>
        <v>0</v>
      </c>
      <c r="O28" s="59">
        <f>'Project Data Input'!P21*O18</f>
        <v>0</v>
      </c>
      <c r="P28" s="59">
        <f>'Project Data Input'!Q21*P18</f>
        <v>0</v>
      </c>
      <c r="Q28" s="59">
        <f>'Project Data Input'!R21*Q18</f>
        <v>0</v>
      </c>
      <c r="R28" s="59">
        <f>'Project Data Input'!S21*R18</f>
        <v>0</v>
      </c>
      <c r="S28" s="59">
        <f>'Project Data Input'!T21*S18</f>
        <v>0</v>
      </c>
      <c r="T28" s="59">
        <f>'Project Data Input'!U21*T18</f>
        <v>0</v>
      </c>
      <c r="U28" s="59">
        <f>'Project Data Input'!V21*U18</f>
        <v>0</v>
      </c>
      <c r="V28" s="59">
        <f>'Project Data Input'!W21*V18</f>
        <v>0</v>
      </c>
      <c r="W28" s="59">
        <f>'Project Data Input'!X21*W18</f>
        <v>0</v>
      </c>
      <c r="X28" s="59">
        <f>'Project Data Input'!Y21*X18</f>
        <v>0</v>
      </c>
      <c r="Y28" s="59">
        <f t="shared" si="1"/>
        <v>0</v>
      </c>
    </row>
    <row r="29" spans="3:25" ht="15.75" thickBot="1" x14ac:dyDescent="0.3">
      <c r="C29" s="58" t="s">
        <v>122</v>
      </c>
      <c r="D29" s="125">
        <f>((SUM('Option B Outcome'!D32:D34))*'Technology Inputs'!E31)+(D31*'Technology Inputs'!E30)</f>
        <v>0</v>
      </c>
      <c r="E29" s="125">
        <f>((SUM('Option B Outcome'!E32:E34))*'Technology Inputs'!F31)+(E31*'Technology Inputs'!F30)</f>
        <v>0</v>
      </c>
      <c r="F29" s="125">
        <f>((SUM('Option B Outcome'!F32:F34))*'Technology Inputs'!G31)+(F31*'Technology Inputs'!G30)</f>
        <v>0</v>
      </c>
      <c r="G29" s="125">
        <f>((SUM('Option B Outcome'!G32:G34))*'Technology Inputs'!H31)+(G31*'Technology Inputs'!H30)</f>
        <v>0</v>
      </c>
      <c r="H29" s="125">
        <f>((SUM('Option B Outcome'!H32:H34))*'Technology Inputs'!I31)+(H31*'Technology Inputs'!I30)</f>
        <v>0</v>
      </c>
      <c r="I29" s="125">
        <f>((SUM('Option B Outcome'!I32:I34))*'Technology Inputs'!J31)+(I31*'Technology Inputs'!J30)</f>
        <v>0</v>
      </c>
      <c r="J29" s="125">
        <f>((SUM('Option B Outcome'!J32:J34))*'Technology Inputs'!K31)+(J31*'Technology Inputs'!K30)</f>
        <v>0</v>
      </c>
      <c r="K29" s="125">
        <f>((SUM('Option B Outcome'!K32:K34))*'Technology Inputs'!L31)+(K31*'Technology Inputs'!L30)</f>
        <v>0</v>
      </c>
      <c r="L29" s="125">
        <f>((SUM('Option B Outcome'!L32:L34))*'Technology Inputs'!M31)+(L31*'Technology Inputs'!M30)</f>
        <v>0</v>
      </c>
      <c r="M29" s="125">
        <f>((SUM('Option B Outcome'!M32:M34))*'Technology Inputs'!N31)+(M31*'Technology Inputs'!N30)</f>
        <v>0</v>
      </c>
      <c r="N29" s="125">
        <f>((SUM('Option B Outcome'!N32:N34))*'Technology Inputs'!O31)+(N31*'Technology Inputs'!O30)</f>
        <v>0</v>
      </c>
      <c r="O29" s="125">
        <f>((SUM('Option B Outcome'!O32:O34))*'Technology Inputs'!P31)+(O31*'Technology Inputs'!P30)</f>
        <v>0</v>
      </c>
      <c r="P29" s="125">
        <f>((SUM('Option B Outcome'!P32:P34))*'Technology Inputs'!Q31)+(P31*'Technology Inputs'!Q30)</f>
        <v>0</v>
      </c>
      <c r="Q29" s="125">
        <f>((SUM('Option B Outcome'!Q32:Q34))*'Technology Inputs'!R31)+(Q31*'Technology Inputs'!R30)</f>
        <v>0</v>
      </c>
      <c r="R29" s="125">
        <f>((SUM('Option B Outcome'!R32:R34))*'Technology Inputs'!S31)+(R31*'Technology Inputs'!S30)</f>
        <v>0</v>
      </c>
      <c r="S29" s="125">
        <f>((SUM('Option B Outcome'!S32:S34))*'Technology Inputs'!T31)+(S31*'Technology Inputs'!T30)</f>
        <v>0</v>
      </c>
      <c r="T29" s="125">
        <f>((SUM('Option B Outcome'!T32:T34))*'Technology Inputs'!U31)+(T31*'Technology Inputs'!U30)</f>
        <v>0</v>
      </c>
      <c r="U29" s="125">
        <f>((SUM('Option B Outcome'!U32:U34))*'Technology Inputs'!V31)+(U31*'Technology Inputs'!V30)</f>
        <v>0</v>
      </c>
      <c r="V29" s="125">
        <f>((SUM('Option B Outcome'!V32:V34))*'Technology Inputs'!W31)+(V31*'Technology Inputs'!W30)</f>
        <v>0</v>
      </c>
      <c r="W29" s="125">
        <f>((SUM('Option B Outcome'!W32:W34))*'Technology Inputs'!X31)+(W31*'Technology Inputs'!X30)</f>
        <v>0</v>
      </c>
      <c r="X29" s="125">
        <f>((SUM('Option B Outcome'!X32:X34))*'Technology Inputs'!Y31)+(X31*'Technology Inputs'!Y30)</f>
        <v>0</v>
      </c>
      <c r="Y29" s="59">
        <f t="shared" si="1"/>
        <v>0</v>
      </c>
    </row>
    <row r="30" spans="3:25" x14ac:dyDescent="0.25">
      <c r="C30" s="55" t="s">
        <v>123</v>
      </c>
      <c r="D30" s="56"/>
      <c r="E30" s="56"/>
      <c r="F30" s="56"/>
      <c r="G30" s="56"/>
      <c r="H30" s="56"/>
      <c r="I30" s="56"/>
      <c r="J30" s="56"/>
      <c r="K30" s="56"/>
      <c r="L30" s="56"/>
      <c r="M30" s="56"/>
      <c r="N30" s="56"/>
      <c r="O30" s="56"/>
      <c r="P30" s="56"/>
      <c r="Q30" s="56"/>
      <c r="R30" s="56"/>
      <c r="S30" s="56"/>
      <c r="T30" s="56"/>
      <c r="U30" s="56"/>
      <c r="V30" s="56"/>
      <c r="W30" s="56"/>
      <c r="X30" s="57"/>
      <c r="Y30" s="57">
        <f t="shared" si="1"/>
        <v>0</v>
      </c>
    </row>
    <row r="31" spans="3:25" x14ac:dyDescent="0.25">
      <c r="C31" s="58" t="s">
        <v>124</v>
      </c>
      <c r="D31" s="108">
        <f>'Project Data Input'!$D$14*'Technology Inputs'!E6/1000*Elec_sales_kWh</f>
        <v>0</v>
      </c>
      <c r="E31" s="108">
        <f>'Project Data Input'!$D$14*'Technology Inputs'!F$6/1000*E$18</f>
        <v>0</v>
      </c>
      <c r="F31" s="108">
        <f>'Project Data Input'!$D$14*'Technology Inputs'!G6/1000*F18</f>
        <v>0</v>
      </c>
      <c r="G31" s="108">
        <f>'Project Data Input'!$D$14*'Technology Inputs'!H6/1000*G18</f>
        <v>0</v>
      </c>
      <c r="H31" s="108">
        <f>'Project Data Input'!$D$14*'Technology Inputs'!I6/1000*H18</f>
        <v>0</v>
      </c>
      <c r="I31" s="108">
        <f>'Project Data Input'!$D$14*'Technology Inputs'!J6/1000*I18</f>
        <v>0</v>
      </c>
      <c r="J31" s="108">
        <f>'Project Data Input'!$D$14*'Technology Inputs'!K6/1000*J18</f>
        <v>0</v>
      </c>
      <c r="K31" s="108">
        <f>'Project Data Input'!$D$14*'Technology Inputs'!L6/1000*K18</f>
        <v>0</v>
      </c>
      <c r="L31" s="108">
        <f>'Project Data Input'!$D$14*'Technology Inputs'!M6/1000*L18</f>
        <v>0</v>
      </c>
      <c r="M31" s="108">
        <f>'Project Data Input'!$D$14*'Technology Inputs'!N6/1000*M18</f>
        <v>0</v>
      </c>
      <c r="N31" s="108">
        <f>'Project Data Input'!$D$14*'Technology Inputs'!O6/1000*N18</f>
        <v>0</v>
      </c>
      <c r="O31" s="108">
        <f>'Project Data Input'!$D$14*'Technology Inputs'!P6/1000*O18</f>
        <v>0</v>
      </c>
      <c r="P31" s="108">
        <f>'Project Data Input'!$D$14*'Technology Inputs'!Q6/1000*P18</f>
        <v>0</v>
      </c>
      <c r="Q31" s="108">
        <f>'Project Data Input'!$D$14*'Technology Inputs'!R6/1000*Q18</f>
        <v>0</v>
      </c>
      <c r="R31" s="108">
        <f>'Project Data Input'!$D$14*'Technology Inputs'!S6/1000*R18</f>
        <v>0</v>
      </c>
      <c r="S31" s="108">
        <f>'Project Data Input'!$D$14*'Technology Inputs'!T6/1000*S18</f>
        <v>0</v>
      </c>
      <c r="T31" s="108">
        <f>'Project Data Input'!$D$14*'Technology Inputs'!U6/1000*T18</f>
        <v>0</v>
      </c>
      <c r="U31" s="108">
        <f>'Project Data Input'!$D$14*'Technology Inputs'!V6/1000*U18</f>
        <v>0</v>
      </c>
      <c r="V31" s="108">
        <f>'Project Data Input'!$D$14*'Technology Inputs'!W6/1000*V18</f>
        <v>0</v>
      </c>
      <c r="W31" s="108">
        <f>'Project Data Input'!$D$14*'Technology Inputs'!X6/1000*W18</f>
        <v>0</v>
      </c>
      <c r="X31" s="108">
        <f>'Project Data Input'!$D$14*'Technology Inputs'!Y6/1000*X18</f>
        <v>0</v>
      </c>
      <c r="Y31" s="108">
        <f t="shared" si="1"/>
        <v>0</v>
      </c>
    </row>
    <row r="32" spans="3:25" x14ac:dyDescent="0.25">
      <c r="C32" s="58" t="s">
        <v>125</v>
      </c>
      <c r="D32" s="108">
        <f>'Project Data Input'!$D$15*'Technology Inputs'!E7/1000*Elec_sales_kWh</f>
        <v>0</v>
      </c>
      <c r="E32" s="108">
        <f>'Project Data Input'!$D$15*'Technology Inputs'!F$7/1000*E$18</f>
        <v>0</v>
      </c>
      <c r="F32" s="108">
        <f>'Project Data Input'!$D$15*'Technology Inputs'!G7/1000*F18</f>
        <v>0</v>
      </c>
      <c r="G32" s="108">
        <f>'Project Data Input'!$D$15*'Technology Inputs'!H7/1000*G18</f>
        <v>0</v>
      </c>
      <c r="H32" s="108">
        <f>'Project Data Input'!$D$15*'Technology Inputs'!I7/1000*H18</f>
        <v>0</v>
      </c>
      <c r="I32" s="108">
        <f>'Project Data Input'!$D$15*'Technology Inputs'!J7/1000*I18</f>
        <v>0</v>
      </c>
      <c r="J32" s="108">
        <f>'Project Data Input'!$D$15*'Technology Inputs'!K7/1000*J18</f>
        <v>0</v>
      </c>
      <c r="K32" s="108">
        <f>'Project Data Input'!$D$15*'Technology Inputs'!L7/1000*K18</f>
        <v>0</v>
      </c>
      <c r="L32" s="108">
        <f>'Project Data Input'!$D$15*'Technology Inputs'!M7/1000*L18</f>
        <v>0</v>
      </c>
      <c r="M32" s="108">
        <f>'Project Data Input'!$D$15*'Technology Inputs'!N7/1000*M18</f>
        <v>0</v>
      </c>
      <c r="N32" s="108">
        <f>'Project Data Input'!$D$15*'Technology Inputs'!O7/1000*N18</f>
        <v>0</v>
      </c>
      <c r="O32" s="108">
        <f>'Project Data Input'!$D$15*'Technology Inputs'!P7/1000*O18</f>
        <v>0</v>
      </c>
      <c r="P32" s="108">
        <f>'Project Data Input'!$D$15*'Technology Inputs'!Q7/1000*P18</f>
        <v>0</v>
      </c>
      <c r="Q32" s="108">
        <f>'Project Data Input'!$D$15*'Technology Inputs'!R7/1000*Q18</f>
        <v>0</v>
      </c>
      <c r="R32" s="108">
        <f>'Project Data Input'!$D$15*'Technology Inputs'!S7/1000*R18</f>
        <v>0</v>
      </c>
      <c r="S32" s="108">
        <f>'Project Data Input'!$D$15*'Technology Inputs'!T7/1000*S18</f>
        <v>0</v>
      </c>
      <c r="T32" s="108">
        <f>'Project Data Input'!$D$15*'Technology Inputs'!U7/1000*T18</f>
        <v>0</v>
      </c>
      <c r="U32" s="108">
        <f>'Project Data Input'!$D$15*'Technology Inputs'!V7/1000*U18</f>
        <v>0</v>
      </c>
      <c r="V32" s="108">
        <f>'Project Data Input'!$D$15*'Technology Inputs'!W7/1000*V18</f>
        <v>0</v>
      </c>
      <c r="W32" s="108">
        <f>'Project Data Input'!$D$15*'Technology Inputs'!X7/1000*W18</f>
        <v>0</v>
      </c>
      <c r="X32" s="108">
        <f>'Project Data Input'!$D$15*'Technology Inputs'!Y7/1000*X18</f>
        <v>0</v>
      </c>
      <c r="Y32" s="108">
        <f t="shared" si="1"/>
        <v>0</v>
      </c>
    </row>
    <row r="33" spans="3:25" x14ac:dyDescent="0.25">
      <c r="C33" s="58" t="str">
        <f>""&amp;'Project Data Input'!$C$16&amp;" emissions"</f>
        <v>Fuel oil emissions</v>
      </c>
      <c r="D33" s="108">
        <f>'Project Data Input'!$D$16*'Technology Inputs'!E9/1000*Elec_sales_kWh</f>
        <v>0</v>
      </c>
      <c r="E33" s="108">
        <f>'Project Data Input'!$D$16*'Technology Inputs'!F$9/1000*E$18</f>
        <v>0</v>
      </c>
      <c r="F33" s="108">
        <f>'Project Data Input'!$D$16*'Technology Inputs'!G9/1000*F18</f>
        <v>0</v>
      </c>
      <c r="G33" s="108">
        <f>'Project Data Input'!$D$16*'Technology Inputs'!H9/1000*G18</f>
        <v>0</v>
      </c>
      <c r="H33" s="108">
        <f>'Project Data Input'!$D$16*'Technology Inputs'!I9/1000*H18</f>
        <v>0</v>
      </c>
      <c r="I33" s="108">
        <f>'Project Data Input'!$D$16*'Technology Inputs'!J9/1000*I18</f>
        <v>0</v>
      </c>
      <c r="J33" s="108">
        <f>'Project Data Input'!$D$16*'Technology Inputs'!K9/1000*J18</f>
        <v>0</v>
      </c>
      <c r="K33" s="108">
        <f>'Project Data Input'!$D$16*'Technology Inputs'!L9/1000*K18</f>
        <v>0</v>
      </c>
      <c r="L33" s="108">
        <f>'Project Data Input'!$D$16*'Technology Inputs'!M9/1000*L18</f>
        <v>0</v>
      </c>
      <c r="M33" s="108">
        <f>'Project Data Input'!$D$16*'Technology Inputs'!N9/1000*M18</f>
        <v>0</v>
      </c>
      <c r="N33" s="108">
        <f>'Project Data Input'!$D$16*'Technology Inputs'!O9/1000*N18</f>
        <v>0</v>
      </c>
      <c r="O33" s="108">
        <f>'Project Data Input'!$D$16*'Technology Inputs'!P9/1000*O18</f>
        <v>0</v>
      </c>
      <c r="P33" s="108">
        <f>'Project Data Input'!$D$16*'Technology Inputs'!Q9/1000*P18</f>
        <v>0</v>
      </c>
      <c r="Q33" s="108">
        <f>'Project Data Input'!$D$16*'Technology Inputs'!R9/1000*Q18</f>
        <v>0</v>
      </c>
      <c r="R33" s="108">
        <f>'Project Data Input'!$D$16*'Technology Inputs'!S9/1000*R18</f>
        <v>0</v>
      </c>
      <c r="S33" s="108">
        <f>'Project Data Input'!$D$16*'Technology Inputs'!T9/1000*S18</f>
        <v>0</v>
      </c>
      <c r="T33" s="108">
        <f>'Project Data Input'!$D$16*'Technology Inputs'!U9/1000*T18</f>
        <v>0</v>
      </c>
      <c r="U33" s="108">
        <f>'Project Data Input'!$D$16*'Technology Inputs'!V9/1000*U18</f>
        <v>0</v>
      </c>
      <c r="V33" s="108">
        <f>'Project Data Input'!$D$16*'Technology Inputs'!W9/1000*V18</f>
        <v>0</v>
      </c>
      <c r="W33" s="108">
        <f>'Project Data Input'!$D$16*'Technology Inputs'!X9/1000*W18</f>
        <v>0</v>
      </c>
      <c r="X33" s="108">
        <f>'Project Data Input'!$D$16*'Technology Inputs'!Y9/1000*X18</f>
        <v>0</v>
      </c>
      <c r="Y33" s="108">
        <f t="shared" si="1"/>
        <v>0</v>
      </c>
    </row>
    <row r="34" spans="3:25" x14ac:dyDescent="0.25">
      <c r="C34" s="58" t="str">
        <f>""&amp;'Project Data Input'!$C$17&amp;" Emissions"</f>
        <v>Burning oil Emissions</v>
      </c>
      <c r="D34" s="108">
        <f>'Project Data Input'!$D$17*'Technology Inputs'!E13/1000*Elec_sales_kWh</f>
        <v>0</v>
      </c>
      <c r="E34" s="108">
        <f>'Project Data Input'!$D$17*'Technology Inputs'!F$13/1000*E$18</f>
        <v>0</v>
      </c>
      <c r="F34" s="108">
        <f>'Project Data Input'!$D$17*'Technology Inputs'!G13/1000*F18</f>
        <v>0</v>
      </c>
      <c r="G34" s="108">
        <f>'Project Data Input'!$D$17*'Technology Inputs'!H13/1000*G18</f>
        <v>0</v>
      </c>
      <c r="H34" s="108">
        <f>'Project Data Input'!$D$17*'Technology Inputs'!I13/1000*H18</f>
        <v>0</v>
      </c>
      <c r="I34" s="108">
        <f>'Project Data Input'!$D$17*'Technology Inputs'!J13/1000*I18</f>
        <v>0</v>
      </c>
      <c r="J34" s="108">
        <f>'Project Data Input'!$D$17*'Technology Inputs'!K13/1000*J18</f>
        <v>0</v>
      </c>
      <c r="K34" s="108">
        <f>'Project Data Input'!$D$17*'Technology Inputs'!L13/1000*K18</f>
        <v>0</v>
      </c>
      <c r="L34" s="108">
        <f>'Project Data Input'!$D$17*'Technology Inputs'!M13/1000*L18</f>
        <v>0</v>
      </c>
      <c r="M34" s="108">
        <f>'Project Data Input'!$D$17*'Technology Inputs'!N13/1000*M18</f>
        <v>0</v>
      </c>
      <c r="N34" s="108">
        <f>'Project Data Input'!$D$17*'Technology Inputs'!O13/1000*N18</f>
        <v>0</v>
      </c>
      <c r="O34" s="108">
        <f>'Project Data Input'!$D$17*'Technology Inputs'!P13/1000*O18</f>
        <v>0</v>
      </c>
      <c r="P34" s="108">
        <f>'Project Data Input'!$D$17*'Technology Inputs'!Q13/1000*P18</f>
        <v>0</v>
      </c>
      <c r="Q34" s="108">
        <f>'Project Data Input'!$D$17*'Technology Inputs'!R13/1000*Q18</f>
        <v>0</v>
      </c>
      <c r="R34" s="108">
        <f>'Project Data Input'!$D$17*'Technology Inputs'!S13/1000*R18</f>
        <v>0</v>
      </c>
      <c r="S34" s="108">
        <f>'Project Data Input'!$D$17*'Technology Inputs'!T13/1000*S18</f>
        <v>0</v>
      </c>
      <c r="T34" s="108">
        <f>'Project Data Input'!$D$17*'Technology Inputs'!U13/1000*T18</f>
        <v>0</v>
      </c>
      <c r="U34" s="108">
        <f>'Project Data Input'!$D$17*'Technology Inputs'!V13/1000*U18</f>
        <v>0</v>
      </c>
      <c r="V34" s="108">
        <f>'Project Data Input'!$D$17*'Technology Inputs'!W13/1000*V18</f>
        <v>0</v>
      </c>
      <c r="W34" s="108">
        <f>'Project Data Input'!$D$17*'Technology Inputs'!X13/1000*W18</f>
        <v>0</v>
      </c>
      <c r="X34" s="108">
        <f>'Project Data Input'!$D$17*'Technology Inputs'!Y13/1000*X18</f>
        <v>0</v>
      </c>
      <c r="Y34" s="108">
        <f t="shared" si="1"/>
        <v>0</v>
      </c>
    </row>
    <row r="35" spans="3:25" ht="15.75" thickBot="1" x14ac:dyDescent="0.3">
      <c r="C35" s="52"/>
      <c r="D35" s="137"/>
      <c r="E35" s="54"/>
      <c r="F35" s="54"/>
      <c r="G35" s="54"/>
      <c r="H35" s="54"/>
      <c r="I35" s="54"/>
      <c r="J35" s="54"/>
      <c r="K35" s="54"/>
      <c r="L35" s="54"/>
      <c r="M35" s="54"/>
      <c r="N35" s="54"/>
      <c r="O35" s="54"/>
      <c r="P35" s="54"/>
      <c r="Q35" s="54"/>
      <c r="R35" s="54"/>
      <c r="S35" s="54"/>
      <c r="T35" s="54"/>
      <c r="U35" s="54"/>
      <c r="V35" s="54"/>
      <c r="W35" s="54"/>
      <c r="X35" s="54"/>
      <c r="Y35" s="54">
        <f t="shared" si="1"/>
        <v>0</v>
      </c>
    </row>
    <row r="36" spans="3:25" x14ac:dyDescent="0.25">
      <c r="C36" s="55" t="s">
        <v>126</v>
      </c>
      <c r="D36" s="56"/>
      <c r="E36" s="56"/>
      <c r="F36" s="56"/>
      <c r="G36" s="56"/>
      <c r="H36" s="56"/>
      <c r="I36" s="56"/>
      <c r="J36" s="56"/>
      <c r="K36" s="56"/>
      <c r="L36" s="56"/>
      <c r="M36" s="56"/>
      <c r="N36" s="56"/>
      <c r="O36" s="56"/>
      <c r="P36" s="56"/>
      <c r="Q36" s="56"/>
      <c r="R36" s="56"/>
      <c r="S36" s="56"/>
      <c r="T36" s="56"/>
      <c r="U36" s="56"/>
      <c r="V36" s="56"/>
      <c r="W36" s="56"/>
      <c r="X36" s="57"/>
      <c r="Y36" s="57">
        <f t="shared" si="1"/>
        <v>0</v>
      </c>
    </row>
    <row r="37" spans="3:25" x14ac:dyDescent="0.25">
      <c r="C37" s="58" t="s">
        <v>127</v>
      </c>
      <c r="D37" s="59">
        <f>('Project Data Input'!D14-'Option B'!O16)*'Project Data Input'!F14</f>
        <v>0</v>
      </c>
      <c r="E37" s="59">
        <f>D37*'Technology Inputs'!F$18*E$18</f>
        <v>0</v>
      </c>
      <c r="F37" s="59">
        <f>E37*'Technology Inputs'!G$18*F$18</f>
        <v>0</v>
      </c>
      <c r="G37" s="59">
        <f>F37*'Technology Inputs'!H$18*G$18</f>
        <v>0</v>
      </c>
      <c r="H37" s="59">
        <f>G37*'Technology Inputs'!I$18*H$18</f>
        <v>0</v>
      </c>
      <c r="I37" s="59">
        <f>H37*'Technology Inputs'!J$18*I$18</f>
        <v>0</v>
      </c>
      <c r="J37" s="59">
        <f>I37*'Technology Inputs'!K$18*J$18</f>
        <v>0</v>
      </c>
      <c r="K37" s="59">
        <f>J37*'Technology Inputs'!L$18*K$18</f>
        <v>0</v>
      </c>
      <c r="L37" s="59">
        <f>K37*'Technology Inputs'!M$18*L$18</f>
        <v>0</v>
      </c>
      <c r="M37" s="59">
        <f>L37*'Technology Inputs'!N$18*M$18</f>
        <v>0</v>
      </c>
      <c r="N37" s="59">
        <f>M37*'Technology Inputs'!O$18*N$18</f>
        <v>0</v>
      </c>
      <c r="O37" s="59">
        <f>N37*'Technology Inputs'!P$18*O$18</f>
        <v>0</v>
      </c>
      <c r="P37" s="59">
        <f>O37*'Technology Inputs'!Q$18*P$18</f>
        <v>0</v>
      </c>
      <c r="Q37" s="59">
        <f>P37*'Technology Inputs'!R$18*Q$18</f>
        <v>0</v>
      </c>
      <c r="R37" s="59">
        <f>Q37*'Technology Inputs'!S$18*R$18</f>
        <v>0</v>
      </c>
      <c r="S37" s="59">
        <f>R37*'Technology Inputs'!T$18*S$18</f>
        <v>0</v>
      </c>
      <c r="T37" s="59">
        <f>S37*'Technology Inputs'!U$18*T$18</f>
        <v>0</v>
      </c>
      <c r="U37" s="59">
        <f>T37*'Technology Inputs'!V$18*U$18</f>
        <v>0</v>
      </c>
      <c r="V37" s="59">
        <f>U37*'Technology Inputs'!W$18*V$18</f>
        <v>0</v>
      </c>
      <c r="W37" s="59">
        <f>V37*'Technology Inputs'!X$18*W$18</f>
        <v>0</v>
      </c>
      <c r="X37" s="59">
        <f>W37*'Technology Inputs'!Y$18*X$18</f>
        <v>0</v>
      </c>
      <c r="Y37" s="59">
        <f t="shared" si="1"/>
        <v>0</v>
      </c>
    </row>
    <row r="38" spans="3:25" x14ac:dyDescent="0.25">
      <c r="C38" s="58" t="s">
        <v>128</v>
      </c>
      <c r="D38" s="59">
        <f>('Project Data Input'!D15-'Option B'!Q16)*'Project Data Input'!F15</f>
        <v>0</v>
      </c>
      <c r="E38" s="59">
        <f>D38*'Technology Inputs'!F$19*E$18</f>
        <v>0</v>
      </c>
      <c r="F38" s="59">
        <f>E38*'Technology Inputs'!G$19*F$18</f>
        <v>0</v>
      </c>
      <c r="G38" s="59">
        <f>F38*'Technology Inputs'!H$19*G$18</f>
        <v>0</v>
      </c>
      <c r="H38" s="59">
        <f>G38*'Technology Inputs'!I$19*H$18</f>
        <v>0</v>
      </c>
      <c r="I38" s="59">
        <f>H38*'Technology Inputs'!J$19*I$18</f>
        <v>0</v>
      </c>
      <c r="J38" s="59">
        <f>I38*'Technology Inputs'!K$19*J$18</f>
        <v>0</v>
      </c>
      <c r="K38" s="59">
        <f>J38*'Technology Inputs'!L$19*K$18</f>
        <v>0</v>
      </c>
      <c r="L38" s="59">
        <f>K38*'Technology Inputs'!M$19*L$18</f>
        <v>0</v>
      </c>
      <c r="M38" s="59">
        <f>L38*'Technology Inputs'!N$19*M$18</f>
        <v>0</v>
      </c>
      <c r="N38" s="59">
        <f>M38*'Technology Inputs'!O$19*N$18</f>
        <v>0</v>
      </c>
      <c r="O38" s="59">
        <f>N38*'Technology Inputs'!P$19*O$18</f>
        <v>0</v>
      </c>
      <c r="P38" s="59">
        <f>O38*'Technology Inputs'!Q$19*P$18</f>
        <v>0</v>
      </c>
      <c r="Q38" s="59">
        <f>P38*'Technology Inputs'!R$19*Q$18</f>
        <v>0</v>
      </c>
      <c r="R38" s="59">
        <f>Q38*'Technology Inputs'!S$19*R$18</f>
        <v>0</v>
      </c>
      <c r="S38" s="59">
        <f>R38*'Technology Inputs'!T$19*S$18</f>
        <v>0</v>
      </c>
      <c r="T38" s="59">
        <f>S38*'Technology Inputs'!U$19*T$18</f>
        <v>0</v>
      </c>
      <c r="U38" s="59">
        <f>T38*'Technology Inputs'!V$19*U$18</f>
        <v>0</v>
      </c>
      <c r="V38" s="59">
        <f>U38*'Technology Inputs'!W$19*V$18</f>
        <v>0</v>
      </c>
      <c r="W38" s="59">
        <f>V38*'Technology Inputs'!X$19*W$18</f>
        <v>0</v>
      </c>
      <c r="X38" s="59">
        <f>W38*'Technology Inputs'!Y$19*X$18</f>
        <v>0</v>
      </c>
      <c r="Y38" s="59">
        <f t="shared" si="1"/>
        <v>0</v>
      </c>
    </row>
    <row r="39" spans="3:25" x14ac:dyDescent="0.25">
      <c r="C39" s="58" t="str">
        <f>""&amp;'Project Data Input'!$C$16&amp;" "</f>
        <v xml:space="preserve">Fuel oil </v>
      </c>
      <c r="D39" s="59">
        <f>('Project Data Input'!D16-'Option B'!S16)*'Project Data Input'!F16</f>
        <v>0</v>
      </c>
      <c r="E39" s="59">
        <f>D39*'Technology Inputs'!F$20*E$18</f>
        <v>0</v>
      </c>
      <c r="F39" s="59">
        <f>E39*'Technology Inputs'!G$20*F$18</f>
        <v>0</v>
      </c>
      <c r="G39" s="59">
        <f>F39*'Technology Inputs'!H$20*G$18</f>
        <v>0</v>
      </c>
      <c r="H39" s="59">
        <f>G39*'Technology Inputs'!I$20*H$18</f>
        <v>0</v>
      </c>
      <c r="I39" s="59">
        <f>H39*'Technology Inputs'!J$20*I$18</f>
        <v>0</v>
      </c>
      <c r="J39" s="59">
        <f>I39*'Technology Inputs'!K$20*J$18</f>
        <v>0</v>
      </c>
      <c r="K39" s="59">
        <f>J39*'Technology Inputs'!L$20*K$18</f>
        <v>0</v>
      </c>
      <c r="L39" s="59">
        <f>K39*'Technology Inputs'!M$20*L$18</f>
        <v>0</v>
      </c>
      <c r="M39" s="59">
        <f>L39*'Technology Inputs'!N$20*M$18</f>
        <v>0</v>
      </c>
      <c r="N39" s="59">
        <f>M39*'Technology Inputs'!O$20*N$18</f>
        <v>0</v>
      </c>
      <c r="O39" s="59">
        <f>N39*'Technology Inputs'!P$20*O$18</f>
        <v>0</v>
      </c>
      <c r="P39" s="59">
        <f>O39*'Technology Inputs'!Q$20*P$18</f>
        <v>0</v>
      </c>
      <c r="Q39" s="59">
        <f>P39*'Technology Inputs'!R$20*Q$18</f>
        <v>0</v>
      </c>
      <c r="R39" s="59">
        <f>Q39*'Technology Inputs'!S$20*R$18</f>
        <v>0</v>
      </c>
      <c r="S39" s="59">
        <f>R39*'Technology Inputs'!T$20*S$18</f>
        <v>0</v>
      </c>
      <c r="T39" s="59">
        <f>S39*'Technology Inputs'!U$20*T$18</f>
        <v>0</v>
      </c>
      <c r="U39" s="59">
        <f>T39*'Technology Inputs'!V$20*U$18</f>
        <v>0</v>
      </c>
      <c r="V39" s="59">
        <f>U39*'Technology Inputs'!W$20*V$18</f>
        <v>0</v>
      </c>
      <c r="W39" s="59">
        <f>V39*'Technology Inputs'!X$20*W$18</f>
        <v>0</v>
      </c>
      <c r="X39" s="59">
        <f>W39*'Technology Inputs'!Y$20*X$18</f>
        <v>0</v>
      </c>
      <c r="Y39" s="59">
        <f t="shared" si="1"/>
        <v>0</v>
      </c>
    </row>
    <row r="40" spans="3:25" x14ac:dyDescent="0.25">
      <c r="C40" s="58" t="str">
        <f>""&amp;'Project Data Input'!$C$17&amp;" "</f>
        <v xml:space="preserve">Burning oil </v>
      </c>
      <c r="D40" s="59">
        <f>('Project Data Input'!D17-'Option B'!U16)*'Project Data Input'!F17</f>
        <v>0</v>
      </c>
      <c r="E40" s="59">
        <f>D40*'Technology Inputs'!F$25*E$18</f>
        <v>0</v>
      </c>
      <c r="F40" s="59">
        <f>E40*'Technology Inputs'!G$25*F$18</f>
        <v>0</v>
      </c>
      <c r="G40" s="59">
        <f>F40*'Technology Inputs'!H$25*G$18</f>
        <v>0</v>
      </c>
      <c r="H40" s="59">
        <f>G40*'Technology Inputs'!I$25*H$18</f>
        <v>0</v>
      </c>
      <c r="I40" s="59">
        <f>H40*'Technology Inputs'!J$25*I$18</f>
        <v>0</v>
      </c>
      <c r="J40" s="59">
        <f>I40*'Technology Inputs'!K$25*J$18</f>
        <v>0</v>
      </c>
      <c r="K40" s="59">
        <f>J40*'Technology Inputs'!L$25*K$18</f>
        <v>0</v>
      </c>
      <c r="L40" s="59">
        <f>K40*'Technology Inputs'!M$25*L$18</f>
        <v>0</v>
      </c>
      <c r="M40" s="59">
        <f>L40*'Technology Inputs'!N$25*M$18</f>
        <v>0</v>
      </c>
      <c r="N40" s="59">
        <f>M40*'Technology Inputs'!O$25*N$18</f>
        <v>0</v>
      </c>
      <c r="O40" s="59">
        <f>N40*'Technology Inputs'!P$25*O$18</f>
        <v>0</v>
      </c>
      <c r="P40" s="59">
        <f>O40*'Technology Inputs'!Q$25*P$18</f>
        <v>0</v>
      </c>
      <c r="Q40" s="59">
        <f>P40*'Technology Inputs'!R$25*Q$18</f>
        <v>0</v>
      </c>
      <c r="R40" s="59">
        <f>Q40*'Technology Inputs'!S$25*R$18</f>
        <v>0</v>
      </c>
      <c r="S40" s="59">
        <f>R40*'Technology Inputs'!T$25*S$18</f>
        <v>0</v>
      </c>
      <c r="T40" s="59">
        <f>S40*'Technology Inputs'!U$25*T$18</f>
        <v>0</v>
      </c>
      <c r="U40" s="59">
        <f>T40*'Technology Inputs'!V$25*U$18</f>
        <v>0</v>
      </c>
      <c r="V40" s="59">
        <f>U40*'Technology Inputs'!W$25*V$18</f>
        <v>0</v>
      </c>
      <c r="W40" s="59">
        <f>V40*'Technology Inputs'!X$25*W$18</f>
        <v>0</v>
      </c>
      <c r="X40" s="59">
        <f>W40*'Technology Inputs'!Y$25*X$18</f>
        <v>0</v>
      </c>
      <c r="Y40" s="59">
        <f t="shared" si="1"/>
        <v>0</v>
      </c>
    </row>
    <row r="41" spans="3:25" x14ac:dyDescent="0.25">
      <c r="C41" s="58" t="s">
        <v>129</v>
      </c>
      <c r="D41" s="62"/>
      <c r="E41" s="62"/>
      <c r="F41" s="62"/>
      <c r="G41" s="62"/>
      <c r="H41" s="62"/>
      <c r="I41" s="62"/>
      <c r="J41" s="62"/>
      <c r="K41" s="62"/>
      <c r="L41" s="62"/>
      <c r="M41" s="62"/>
      <c r="N41" s="62"/>
      <c r="O41" s="62"/>
      <c r="P41" s="62"/>
      <c r="Q41" s="62"/>
      <c r="R41" s="62"/>
      <c r="S41" s="62"/>
      <c r="T41" s="62"/>
      <c r="U41" s="62"/>
      <c r="V41" s="62"/>
      <c r="W41" s="62"/>
      <c r="X41" s="63"/>
      <c r="Y41" s="63">
        <f t="shared" si="1"/>
        <v>0</v>
      </c>
    </row>
    <row r="42" spans="3:25" x14ac:dyDescent="0.25">
      <c r="C42" s="81" t="s">
        <v>130</v>
      </c>
      <c r="D42" s="82">
        <f>SUM('Option B'!M16)</f>
        <v>0</v>
      </c>
      <c r="E42" s="82"/>
      <c r="F42" s="82"/>
      <c r="G42" s="82"/>
      <c r="H42" s="82"/>
      <c r="I42" s="82"/>
      <c r="J42" s="82"/>
      <c r="K42" s="82"/>
      <c r="L42" s="82"/>
      <c r="M42" s="82"/>
      <c r="N42" s="82"/>
      <c r="O42" s="82"/>
      <c r="P42" s="82"/>
      <c r="Q42" s="82"/>
      <c r="R42" s="82"/>
      <c r="S42" s="82"/>
      <c r="T42" s="82"/>
      <c r="U42" s="82"/>
      <c r="V42" s="82"/>
      <c r="W42" s="82"/>
      <c r="X42" s="83"/>
      <c r="Y42" s="83">
        <f t="shared" si="1"/>
        <v>0</v>
      </c>
    </row>
    <row r="43" spans="3:25" x14ac:dyDescent="0.25">
      <c r="C43" s="81" t="s">
        <v>122</v>
      </c>
      <c r="D43" s="82">
        <f>((SUM('Option B Outcome'!D50:D52))*'Technology Inputs'!E31)+((D49)*'Technology Inputs'!E30)</f>
        <v>0</v>
      </c>
      <c r="E43" s="82">
        <f>((SUM('Option B Outcome'!E50:E52))*'Technology Inputs'!F31)+((E49)*'Technology Inputs'!F30)</f>
        <v>0</v>
      </c>
      <c r="F43" s="82">
        <f>((SUM('Option B Outcome'!F50:F52))*'Technology Inputs'!G31)+((F49)*'Technology Inputs'!G30)</f>
        <v>0</v>
      </c>
      <c r="G43" s="82">
        <f>((SUM('Option B Outcome'!G50:G52))*'Technology Inputs'!H31)+((G49)*'Technology Inputs'!H30)</f>
        <v>0</v>
      </c>
      <c r="H43" s="82">
        <f>((SUM('Option B Outcome'!H50:H52))*'Technology Inputs'!I31)+((H49)*'Technology Inputs'!I30)</f>
        <v>0</v>
      </c>
      <c r="I43" s="82">
        <f>((SUM('Option B Outcome'!I50:I52))*'Technology Inputs'!J31)+((I49)*'Technology Inputs'!J30)</f>
        <v>0</v>
      </c>
      <c r="J43" s="82">
        <f>((SUM('Option B Outcome'!J50:J52))*'Technology Inputs'!K31)+((J49)*'Technology Inputs'!K30)</f>
        <v>0</v>
      </c>
      <c r="K43" s="82">
        <f>((SUM('Option B Outcome'!K50:K52))*'Technology Inputs'!L31)+((K49)*'Technology Inputs'!L30)</f>
        <v>0</v>
      </c>
      <c r="L43" s="82">
        <f>((SUM('Option B Outcome'!L50:L52))*'Technology Inputs'!M31)+((L49)*'Technology Inputs'!M30)</f>
        <v>0</v>
      </c>
      <c r="M43" s="82">
        <f>((SUM('Option B Outcome'!M50:M52))*'Technology Inputs'!N31)+((M49)*'Technology Inputs'!N30)</f>
        <v>0</v>
      </c>
      <c r="N43" s="82">
        <f>((SUM('Option B Outcome'!N50:N52))*'Technology Inputs'!O31)+((N49)*'Technology Inputs'!O30)</f>
        <v>0</v>
      </c>
      <c r="O43" s="82">
        <f>((SUM('Option B Outcome'!O50:O52))*'Technology Inputs'!P31)+((O49)*'Technology Inputs'!P30)</f>
        <v>0</v>
      </c>
      <c r="P43" s="82">
        <f>((SUM('Option B Outcome'!P50:P52))*'Technology Inputs'!Q31)+((P49)*'Technology Inputs'!Q30)</f>
        <v>0</v>
      </c>
      <c r="Q43" s="82">
        <f>((SUM('Option B Outcome'!Q50:Q52))*'Technology Inputs'!R31)+((Q49)*'Technology Inputs'!R30)</f>
        <v>0</v>
      </c>
      <c r="R43" s="82">
        <f>((SUM('Option B Outcome'!R50:R52))*'Technology Inputs'!S31)+((R49)*'Technology Inputs'!S30)</f>
        <v>0</v>
      </c>
      <c r="S43" s="82">
        <f>((SUM('Option B Outcome'!S50:S52))*'Technology Inputs'!T31)+((S49)*'Technology Inputs'!T30)</f>
        <v>0</v>
      </c>
      <c r="T43" s="82">
        <f>((SUM('Option B Outcome'!T50:T52))*'Technology Inputs'!U31)+((T49)*'Technology Inputs'!U30)</f>
        <v>0</v>
      </c>
      <c r="U43" s="82">
        <f>((SUM('Option B Outcome'!U50:U52))*'Technology Inputs'!V31)+((U49)*'Technology Inputs'!V30)</f>
        <v>0</v>
      </c>
      <c r="V43" s="82">
        <f>((SUM('Option B Outcome'!V50:V52))*'Technology Inputs'!W31)+((V49)*'Technology Inputs'!W30)</f>
        <v>0</v>
      </c>
      <c r="W43" s="82">
        <f>((SUM('Option B Outcome'!W50:W52))*'Technology Inputs'!X31)+((W49)*'Technology Inputs'!X30)</f>
        <v>0</v>
      </c>
      <c r="X43" s="82">
        <f>((SUM('Option B Outcome'!X50:X52))*'Technology Inputs'!Y31)+((X49)*'Technology Inputs'!Y30)</f>
        <v>0</v>
      </c>
      <c r="Y43" s="83">
        <f t="shared" si="1"/>
        <v>0</v>
      </c>
    </row>
    <row r="44" spans="3:25" x14ac:dyDescent="0.25">
      <c r="C44" s="81" t="s">
        <v>131</v>
      </c>
      <c r="D44" s="82"/>
      <c r="E44" s="82"/>
      <c r="F44" s="82"/>
      <c r="G44" s="82"/>
      <c r="H44" s="82"/>
      <c r="I44" s="82"/>
      <c r="J44" s="82"/>
      <c r="K44" s="82"/>
      <c r="L44" s="82"/>
      <c r="M44" s="82"/>
      <c r="N44" s="82"/>
      <c r="O44" s="82"/>
      <c r="P44" s="82"/>
      <c r="Q44" s="82"/>
      <c r="R44" s="82"/>
      <c r="S44" s="82"/>
      <c r="T44" s="82"/>
      <c r="U44" s="82"/>
      <c r="V44" s="82"/>
      <c r="W44" s="82"/>
      <c r="X44" s="83"/>
      <c r="Y44" s="83">
        <f t="shared" si="1"/>
        <v>0</v>
      </c>
    </row>
    <row r="45" spans="3:25" x14ac:dyDescent="0.25">
      <c r="C45" s="81" t="s">
        <v>132</v>
      </c>
      <c r="D45" s="82">
        <f>'Option B - Lifecycle'!AB36*D$18</f>
        <v>0</v>
      </c>
      <c r="E45" s="82">
        <f>'Option B - Lifecycle'!AC36*E$18</f>
        <v>0</v>
      </c>
      <c r="F45" s="82">
        <f>'Option B - Lifecycle'!AD36*F$18</f>
        <v>0</v>
      </c>
      <c r="G45" s="82">
        <f>'Option B - Lifecycle'!AE36*G$18</f>
        <v>0</v>
      </c>
      <c r="H45" s="82">
        <f>'Option B - Lifecycle'!AF36*H$18</f>
        <v>0</v>
      </c>
      <c r="I45" s="82">
        <f>'Option B - Lifecycle'!AG36*I$18</f>
        <v>0</v>
      </c>
      <c r="J45" s="82">
        <f>'Option B - Lifecycle'!AH36*J$18</f>
        <v>0</v>
      </c>
      <c r="K45" s="82">
        <f>'Option B - Lifecycle'!AI36*K$18</f>
        <v>0</v>
      </c>
      <c r="L45" s="82">
        <f>'Option B - Lifecycle'!AJ36*L$18</f>
        <v>0</v>
      </c>
      <c r="M45" s="82">
        <f>'Option B - Lifecycle'!AK36*M$18</f>
        <v>0</v>
      </c>
      <c r="N45" s="82">
        <f>'Option B - Lifecycle'!AL36*N$18</f>
        <v>0</v>
      </c>
      <c r="O45" s="82">
        <f>'Option B - Lifecycle'!AM36*O$18</f>
        <v>0</v>
      </c>
      <c r="P45" s="82">
        <f>'Option B - Lifecycle'!AN36*P$18</f>
        <v>0</v>
      </c>
      <c r="Q45" s="82">
        <f>'Option B - Lifecycle'!AO36*Q$18</f>
        <v>0</v>
      </c>
      <c r="R45" s="82">
        <f>'Option B - Lifecycle'!AP36*R$18</f>
        <v>0</v>
      </c>
      <c r="S45" s="82">
        <f>'Option B - Lifecycle'!AQ36*S$18</f>
        <v>0</v>
      </c>
      <c r="T45" s="82">
        <f>'Option B - Lifecycle'!AR36*T$18</f>
        <v>0</v>
      </c>
      <c r="U45" s="82">
        <f>'Option B - Lifecycle'!AS36*U$18</f>
        <v>0</v>
      </c>
      <c r="V45" s="82">
        <f>'Option B - Lifecycle'!AT36*V$18</f>
        <v>0</v>
      </c>
      <c r="W45" s="82">
        <f>'Option B - Lifecycle'!AU36*W$18</f>
        <v>0</v>
      </c>
      <c r="X45" s="82">
        <f>'Option B - Lifecycle'!AV36*X$18</f>
        <v>0</v>
      </c>
      <c r="Y45" s="82">
        <f t="shared" si="1"/>
        <v>0</v>
      </c>
    </row>
    <row r="46" spans="3:25" ht="15.75" thickBot="1" x14ac:dyDescent="0.3">
      <c r="C46" s="61" t="s">
        <v>133</v>
      </c>
      <c r="D46" s="64"/>
      <c r="E46" s="64">
        <f t="shared" ref="E46:X46" si="2">IF(E17&lt;=$M$13, $M$15, 0)</f>
        <v>0</v>
      </c>
      <c r="F46" s="64">
        <f t="shared" si="2"/>
        <v>0</v>
      </c>
      <c r="G46" s="64">
        <f t="shared" si="2"/>
        <v>0</v>
      </c>
      <c r="H46" s="64">
        <f t="shared" si="2"/>
        <v>0</v>
      </c>
      <c r="I46" s="64">
        <f t="shared" si="2"/>
        <v>0</v>
      </c>
      <c r="J46" s="64">
        <f t="shared" si="2"/>
        <v>0</v>
      </c>
      <c r="K46" s="64">
        <f t="shared" si="2"/>
        <v>0</v>
      </c>
      <c r="L46" s="64">
        <f t="shared" si="2"/>
        <v>0</v>
      </c>
      <c r="M46" s="64">
        <f t="shared" si="2"/>
        <v>0</v>
      </c>
      <c r="N46" s="64">
        <f t="shared" si="2"/>
        <v>0</v>
      </c>
      <c r="O46" s="64">
        <f t="shared" si="2"/>
        <v>0</v>
      </c>
      <c r="P46" s="64">
        <f t="shared" si="2"/>
        <v>0</v>
      </c>
      <c r="Q46" s="64">
        <f t="shared" si="2"/>
        <v>0</v>
      </c>
      <c r="R46" s="64">
        <f t="shared" si="2"/>
        <v>0</v>
      </c>
      <c r="S46" s="64">
        <f t="shared" si="2"/>
        <v>0</v>
      </c>
      <c r="T46" s="64">
        <f t="shared" si="2"/>
        <v>0</v>
      </c>
      <c r="U46" s="64">
        <f t="shared" si="2"/>
        <v>0</v>
      </c>
      <c r="V46" s="64">
        <f t="shared" si="2"/>
        <v>0</v>
      </c>
      <c r="W46" s="64">
        <f t="shared" si="2"/>
        <v>0</v>
      </c>
      <c r="X46" s="64">
        <f t="shared" si="2"/>
        <v>0</v>
      </c>
      <c r="Y46" s="64">
        <f t="shared" si="1"/>
        <v>0</v>
      </c>
    </row>
    <row r="47" spans="3:25" ht="15.75" thickBot="1" x14ac:dyDescent="0.3">
      <c r="C47" s="52"/>
      <c r="D47" s="54"/>
      <c r="E47" s="54"/>
      <c r="F47" s="54"/>
      <c r="G47" s="54"/>
      <c r="H47" s="54"/>
      <c r="I47" s="65"/>
      <c r="J47" s="65"/>
      <c r="K47" s="54"/>
      <c r="L47" s="54"/>
      <c r="M47" s="54"/>
      <c r="N47" s="54"/>
      <c r="O47" s="54"/>
      <c r="P47" s="54"/>
      <c r="Q47" s="54"/>
      <c r="R47" s="54"/>
      <c r="S47" s="54"/>
      <c r="T47" s="54"/>
      <c r="U47" s="54"/>
      <c r="V47" s="54"/>
      <c r="W47" s="54"/>
      <c r="X47" s="54"/>
      <c r="Y47" s="54"/>
    </row>
    <row r="48" spans="3:25" x14ac:dyDescent="0.25">
      <c r="C48" s="55" t="s">
        <v>134</v>
      </c>
      <c r="D48" s="56"/>
      <c r="E48" s="56"/>
      <c r="F48" s="56"/>
      <c r="G48" s="56"/>
      <c r="H48" s="56"/>
      <c r="I48" s="56"/>
      <c r="J48" s="56"/>
      <c r="K48" s="56"/>
      <c r="L48" s="56"/>
      <c r="M48" s="56"/>
      <c r="N48" s="56"/>
      <c r="O48" s="56"/>
      <c r="P48" s="56"/>
      <c r="Q48" s="56"/>
      <c r="R48" s="56"/>
      <c r="S48" s="56"/>
      <c r="T48" s="56"/>
      <c r="U48" s="56"/>
      <c r="V48" s="56"/>
      <c r="W48" s="56"/>
      <c r="X48" s="57"/>
      <c r="Y48" s="57">
        <f t="shared" ref="Y48:Y53" si="3">SUM(D48:X48)</f>
        <v>0</v>
      </c>
    </row>
    <row r="49" spans="3:25" x14ac:dyDescent="0.25">
      <c r="C49" s="58" t="s">
        <v>124</v>
      </c>
      <c r="D49" s="108">
        <f>('Project Data Input'!$D$14-'Option B'!$O$16)*'Technology Inputs'!E6/1000</f>
        <v>0</v>
      </c>
      <c r="E49" s="108">
        <f>('Project Data Input'!$D$14-'Option B'!$O$16)*'Technology Inputs'!F6/1000*E$18</f>
        <v>0</v>
      </c>
      <c r="F49" s="108">
        <f>('Project Data Input'!$D$14-'Option B'!$O$16)*'Technology Inputs'!G6/1000*F$18</f>
        <v>0</v>
      </c>
      <c r="G49" s="108">
        <f>('Project Data Input'!$D$14-'Option B'!$O$16)*'Technology Inputs'!H6/1000*G$18</f>
        <v>0</v>
      </c>
      <c r="H49" s="108">
        <f>('Project Data Input'!$D$14-'Option B'!$O$16)*'Technology Inputs'!I6/1000*H$18</f>
        <v>0</v>
      </c>
      <c r="I49" s="108">
        <f>('Project Data Input'!$D$14-'Option B'!$O$16)*'Technology Inputs'!J6/1000*I$18</f>
        <v>0</v>
      </c>
      <c r="J49" s="108">
        <f>('Project Data Input'!$D$14-'Option B'!$O$16)*'Technology Inputs'!K6/1000*J$18</f>
        <v>0</v>
      </c>
      <c r="K49" s="108">
        <f>('Project Data Input'!$D$14-'Option B'!$O$16)*'Technology Inputs'!L6/1000*K$18</f>
        <v>0</v>
      </c>
      <c r="L49" s="108">
        <f>('Project Data Input'!$D$14-'Option B'!$O$16)*'Technology Inputs'!M6/1000*L$18</f>
        <v>0</v>
      </c>
      <c r="M49" s="108">
        <f>('Project Data Input'!$D$14-'Option B'!$O$16)*'Technology Inputs'!N6/1000*M$18</f>
        <v>0</v>
      </c>
      <c r="N49" s="108">
        <f>('Project Data Input'!$D$14-'Option B'!$O$16)*'Technology Inputs'!O6/1000*N$18</f>
        <v>0</v>
      </c>
      <c r="O49" s="108">
        <f>('Project Data Input'!$D$14-'Option B'!$O$16)*'Technology Inputs'!P6/1000*O$18</f>
        <v>0</v>
      </c>
      <c r="P49" s="108">
        <f>('Project Data Input'!$D$14-'Option B'!$O$16)*'Technology Inputs'!Q6/1000*P$18</f>
        <v>0</v>
      </c>
      <c r="Q49" s="108">
        <f>('Project Data Input'!$D$14-'Option B'!$O$16)*'Technology Inputs'!R6/1000*Q$18</f>
        <v>0</v>
      </c>
      <c r="R49" s="108">
        <f>('Project Data Input'!$D$14-'Option B'!$O$16)*'Technology Inputs'!S6/1000*R$18</f>
        <v>0</v>
      </c>
      <c r="S49" s="108">
        <f>('Project Data Input'!$D$14-'Option B'!$O$16)*'Technology Inputs'!T6/1000*S$18</f>
        <v>0</v>
      </c>
      <c r="T49" s="108">
        <f>('Project Data Input'!$D$14-'Option B'!$O$16)*'Technology Inputs'!U6/1000*T$18</f>
        <v>0</v>
      </c>
      <c r="U49" s="108">
        <f>('Project Data Input'!$D$14-'Option B'!$O$16)*'Technology Inputs'!V6/1000*U$18</f>
        <v>0</v>
      </c>
      <c r="V49" s="108">
        <f>('Project Data Input'!$D$14-'Option B'!$O$16)*'Technology Inputs'!W6/1000*V$18</f>
        <v>0</v>
      </c>
      <c r="W49" s="108">
        <f>('Project Data Input'!$D$14-'Option B'!$O$16)*'Technology Inputs'!X6/1000*W$18</f>
        <v>0</v>
      </c>
      <c r="X49" s="108">
        <f>('Project Data Input'!$D$14-'Option B'!$O$16)*'Technology Inputs'!Y6/1000*X$18</f>
        <v>0</v>
      </c>
      <c r="Y49" s="108">
        <f t="shared" si="3"/>
        <v>0</v>
      </c>
    </row>
    <row r="50" spans="3:25" x14ac:dyDescent="0.25">
      <c r="C50" s="58" t="s">
        <v>125</v>
      </c>
      <c r="D50" s="108">
        <f>('Project Data Input'!$D$15-'Option B'!$Q$16)*'Technology Inputs'!E7/1000</f>
        <v>0</v>
      </c>
      <c r="E50" s="108">
        <f>('Project Data Input'!$D$15-'Option B'!$Q$16)*'Technology Inputs'!F7/1000*E$18</f>
        <v>0</v>
      </c>
      <c r="F50" s="108">
        <f>('Project Data Input'!$D$15-'Option B'!$Q$16)*'Technology Inputs'!G7/1000*F$18</f>
        <v>0</v>
      </c>
      <c r="G50" s="108">
        <f>('Project Data Input'!$D$15-'Option B'!$Q$16)*'Technology Inputs'!H7/1000*G$18</f>
        <v>0</v>
      </c>
      <c r="H50" s="108">
        <f>('Project Data Input'!$D$15-'Option B'!$Q$16)*'Technology Inputs'!I7/1000*H$18</f>
        <v>0</v>
      </c>
      <c r="I50" s="108">
        <f>('Project Data Input'!$D$15-'Option B'!$Q$16)*'Technology Inputs'!J7/1000*I$18</f>
        <v>0</v>
      </c>
      <c r="J50" s="108">
        <f>('Project Data Input'!$D$15-'Option B'!$Q$16)*'Technology Inputs'!K7/1000*J$18</f>
        <v>0</v>
      </c>
      <c r="K50" s="108">
        <f>('Project Data Input'!$D$15-'Option B'!$Q$16)*'Technology Inputs'!L7/1000*K$18</f>
        <v>0</v>
      </c>
      <c r="L50" s="108">
        <f>('Project Data Input'!$D$15-'Option B'!$Q$16)*'Technology Inputs'!M7/1000*L$18</f>
        <v>0</v>
      </c>
      <c r="M50" s="108">
        <f>('Project Data Input'!$D$15-'Option B'!$Q$16)*'Technology Inputs'!N7/1000*M$18</f>
        <v>0</v>
      </c>
      <c r="N50" s="108">
        <f>('Project Data Input'!$D$15-'Option B'!$Q$16)*'Technology Inputs'!O7/1000*N$18</f>
        <v>0</v>
      </c>
      <c r="O50" s="108">
        <f>('Project Data Input'!$D$15-'Option B'!$Q$16)*'Technology Inputs'!P7/1000*O$18</f>
        <v>0</v>
      </c>
      <c r="P50" s="108">
        <f>('Project Data Input'!$D$15-'Option B'!$Q$16)*'Technology Inputs'!Q7/1000*P$18</f>
        <v>0</v>
      </c>
      <c r="Q50" s="108">
        <f>('Project Data Input'!$D$15-'Option B'!$Q$16)*'Technology Inputs'!R7/1000*Q$18</f>
        <v>0</v>
      </c>
      <c r="R50" s="108">
        <f>('Project Data Input'!$D$15-'Option B'!$Q$16)*'Technology Inputs'!S7/1000*R$18</f>
        <v>0</v>
      </c>
      <c r="S50" s="108">
        <f>('Project Data Input'!$D$15-'Option B'!$Q$16)*'Technology Inputs'!T7/1000*S$18</f>
        <v>0</v>
      </c>
      <c r="T50" s="108">
        <f>('Project Data Input'!$D$15-'Option B'!$Q$16)*'Technology Inputs'!U7/1000*T$18</f>
        <v>0</v>
      </c>
      <c r="U50" s="108">
        <f>('Project Data Input'!$D$15-'Option B'!$Q$16)*'Technology Inputs'!V7/1000*U$18</f>
        <v>0</v>
      </c>
      <c r="V50" s="108">
        <f>('Project Data Input'!$D$15-'Option B'!$Q$16)*'Technology Inputs'!W7/1000*V$18</f>
        <v>0</v>
      </c>
      <c r="W50" s="108">
        <f>('Project Data Input'!$D$15-'Option B'!$Q$16)*'Technology Inputs'!X7/1000*W$18</f>
        <v>0</v>
      </c>
      <c r="X50" s="108">
        <f>('Project Data Input'!$D$15-'Option B'!$Q$16)*'Technology Inputs'!Y7/1000*X$18</f>
        <v>0</v>
      </c>
      <c r="Y50" s="108">
        <f t="shared" si="3"/>
        <v>0</v>
      </c>
    </row>
    <row r="51" spans="3:25" x14ac:dyDescent="0.25">
      <c r="C51" s="58" t="str">
        <f>""&amp;'Project Data Input'!$C$16&amp;" emissions"</f>
        <v>Fuel oil emissions</v>
      </c>
      <c r="D51" s="108">
        <f>('Project Data Input'!$D$16-'Option B'!$S$16)*'Technology Inputs'!E9/1000</f>
        <v>0</v>
      </c>
      <c r="E51" s="108">
        <f>('Project Data Input'!$D$16-'Option B'!$S$16)*'Technology Inputs'!F9/1000*E$18</f>
        <v>0</v>
      </c>
      <c r="F51" s="108">
        <f>('Project Data Input'!$D$16-'Option B'!$S$16)*'Technology Inputs'!G9/1000*F$18</f>
        <v>0</v>
      </c>
      <c r="G51" s="108">
        <f>('Project Data Input'!$D$16-'Option B'!$S$16)*'Technology Inputs'!H9/1000*G$18</f>
        <v>0</v>
      </c>
      <c r="H51" s="108">
        <f>('Project Data Input'!$D$16-'Option B'!$S$16)*'Technology Inputs'!I9/1000*H$18</f>
        <v>0</v>
      </c>
      <c r="I51" s="108">
        <f>('Project Data Input'!$D$16-'Option B'!$S$16)*'Technology Inputs'!J9/1000*I$18</f>
        <v>0</v>
      </c>
      <c r="J51" s="108">
        <f>('Project Data Input'!$D$16-'Option B'!$S$16)*'Technology Inputs'!K9/1000*J$18</f>
        <v>0</v>
      </c>
      <c r="K51" s="108">
        <f>('Project Data Input'!$D$16-'Option B'!$S$16)*'Technology Inputs'!L9/1000*K$18</f>
        <v>0</v>
      </c>
      <c r="L51" s="108">
        <f>('Project Data Input'!$D$16-'Option B'!$S$16)*'Technology Inputs'!M9/1000*L$18</f>
        <v>0</v>
      </c>
      <c r="M51" s="108">
        <f>('Project Data Input'!$D$16-'Option B'!$S$16)*'Technology Inputs'!N9/1000*M$18</f>
        <v>0</v>
      </c>
      <c r="N51" s="108">
        <f>('Project Data Input'!$D$16-'Option B'!$S$16)*'Technology Inputs'!O9/1000*N$18</f>
        <v>0</v>
      </c>
      <c r="O51" s="108">
        <f>('Project Data Input'!$D$16-'Option B'!$S$16)*'Technology Inputs'!P9/1000*O$18</f>
        <v>0</v>
      </c>
      <c r="P51" s="108">
        <f>('Project Data Input'!$D$16-'Option B'!$S$16)*'Technology Inputs'!Q9/1000*P$18</f>
        <v>0</v>
      </c>
      <c r="Q51" s="108">
        <f>('Project Data Input'!$D$16-'Option B'!$S$16)*'Technology Inputs'!R9/1000*Q$18</f>
        <v>0</v>
      </c>
      <c r="R51" s="108">
        <f>('Project Data Input'!$D$16-'Option B'!$S$16)*'Technology Inputs'!S9/1000*R$18</f>
        <v>0</v>
      </c>
      <c r="S51" s="108">
        <f>('Project Data Input'!$D$16-'Option B'!$S$16)*'Technology Inputs'!T9/1000*S$18</f>
        <v>0</v>
      </c>
      <c r="T51" s="108">
        <f>('Project Data Input'!$D$16-'Option B'!$S$16)*'Technology Inputs'!U9/1000*T$18</f>
        <v>0</v>
      </c>
      <c r="U51" s="108">
        <f>('Project Data Input'!$D$16-'Option B'!$S$16)*'Technology Inputs'!V9/1000*U$18</f>
        <v>0</v>
      </c>
      <c r="V51" s="108">
        <f>('Project Data Input'!$D$16-'Option B'!$S$16)*'Technology Inputs'!W9/1000*V$18</f>
        <v>0</v>
      </c>
      <c r="W51" s="108">
        <f>('Project Data Input'!$D$16-'Option B'!$S$16)*'Technology Inputs'!X9/1000*W$18</f>
        <v>0</v>
      </c>
      <c r="X51" s="108">
        <f>('Project Data Input'!$D$16-'Option B'!$S$16)*'Technology Inputs'!Y9/1000*X$18</f>
        <v>0</v>
      </c>
      <c r="Y51" s="108">
        <f t="shared" si="3"/>
        <v>0</v>
      </c>
    </row>
    <row r="52" spans="3:25" x14ac:dyDescent="0.25">
      <c r="C52" s="58" t="str">
        <f>""&amp;'Project Data Input'!$C$17&amp;" Emissions"</f>
        <v>Burning oil Emissions</v>
      </c>
      <c r="D52" s="108">
        <f>('Project Data Input'!$D$17-'Option B'!$U$16)*'Technology Inputs'!E13/1000</f>
        <v>0</v>
      </c>
      <c r="E52" s="108">
        <f>('Project Data Input'!$D$17-'Option B'!$U$16)*'Technology Inputs'!F13/1000*E$18</f>
        <v>0</v>
      </c>
      <c r="F52" s="108">
        <f>('Project Data Input'!$D$17-'Option B'!$U$16)*'Technology Inputs'!G13/1000*F$18</f>
        <v>0</v>
      </c>
      <c r="G52" s="108">
        <f>('Project Data Input'!$D$17-'Option B'!$U$16)*'Technology Inputs'!H13/1000*G$18</f>
        <v>0</v>
      </c>
      <c r="H52" s="108">
        <f>('Project Data Input'!$D$17-'Option B'!$U$16)*'Technology Inputs'!I13/1000*H$18</f>
        <v>0</v>
      </c>
      <c r="I52" s="108">
        <f>('Project Data Input'!$D$17-'Option B'!$U$16)*'Technology Inputs'!J13/1000*I$18</f>
        <v>0</v>
      </c>
      <c r="J52" s="108">
        <f>('Project Data Input'!$D$17-'Option B'!$U$16)*'Technology Inputs'!K13/1000*J$18</f>
        <v>0</v>
      </c>
      <c r="K52" s="108">
        <f>('Project Data Input'!$D$17-'Option B'!$U$16)*'Technology Inputs'!L13/1000*K$18</f>
        <v>0</v>
      </c>
      <c r="L52" s="108">
        <f>('Project Data Input'!$D$17-'Option B'!$U$16)*'Technology Inputs'!M13/1000*L$18</f>
        <v>0</v>
      </c>
      <c r="M52" s="108">
        <f>('Project Data Input'!$D$17-'Option B'!$U$16)*'Technology Inputs'!N13/1000*M$18</f>
        <v>0</v>
      </c>
      <c r="N52" s="108">
        <f>('Project Data Input'!$D$17-'Option B'!$U$16)*'Technology Inputs'!O13/1000*N$18</f>
        <v>0</v>
      </c>
      <c r="O52" s="108">
        <f>('Project Data Input'!$D$17-'Option B'!$U$16)*'Technology Inputs'!P13/1000*O$18</f>
        <v>0</v>
      </c>
      <c r="P52" s="108">
        <f>('Project Data Input'!$D$17-'Option B'!$U$16)*'Technology Inputs'!Q13/1000*P$18</f>
        <v>0</v>
      </c>
      <c r="Q52" s="108">
        <f>('Project Data Input'!$D$17-'Option B'!$U$16)*'Technology Inputs'!R13/1000*Q$18</f>
        <v>0</v>
      </c>
      <c r="R52" s="108">
        <f>('Project Data Input'!$D$17-'Option B'!$U$16)*'Technology Inputs'!S13/1000*R$18</f>
        <v>0</v>
      </c>
      <c r="S52" s="108">
        <f>('Project Data Input'!$D$17-'Option B'!$U$16)*'Technology Inputs'!T13/1000*S$18</f>
        <v>0</v>
      </c>
      <c r="T52" s="108">
        <f>('Project Data Input'!$D$17-'Option B'!$U$16)*'Technology Inputs'!U13/1000*T$18</f>
        <v>0</v>
      </c>
      <c r="U52" s="108">
        <f>('Project Data Input'!$D$17-'Option B'!$U$16)*'Technology Inputs'!V13/1000*U$18</f>
        <v>0</v>
      </c>
      <c r="V52" s="108">
        <f>('Project Data Input'!$D$17-'Option B'!$U$16)*'Technology Inputs'!W13/1000*V$18</f>
        <v>0</v>
      </c>
      <c r="W52" s="108">
        <f>('Project Data Input'!$D$17-'Option B'!$U$16)*'Technology Inputs'!X13/1000*W$18</f>
        <v>0</v>
      </c>
      <c r="X52" s="108">
        <f>('Project Data Input'!$D$17-'Option B'!$U$16)*'Technology Inputs'!Y13/1000*X$18</f>
        <v>0</v>
      </c>
      <c r="Y52" s="108">
        <f t="shared" si="3"/>
        <v>0</v>
      </c>
    </row>
    <row r="53" spans="3:25" x14ac:dyDescent="0.25">
      <c r="C53" s="58" t="s">
        <v>28</v>
      </c>
      <c r="D53" s="108">
        <f>SUM(D49:D52)</f>
        <v>0</v>
      </c>
      <c r="E53" s="108">
        <f t="shared" ref="E53:X53" si="4">SUM(E49:E52)</f>
        <v>0</v>
      </c>
      <c r="F53" s="108">
        <f t="shared" si="4"/>
        <v>0</v>
      </c>
      <c r="G53" s="108">
        <f t="shared" si="4"/>
        <v>0</v>
      </c>
      <c r="H53" s="108">
        <f t="shared" si="4"/>
        <v>0</v>
      </c>
      <c r="I53" s="108">
        <f t="shared" si="4"/>
        <v>0</v>
      </c>
      <c r="J53" s="108">
        <f t="shared" si="4"/>
        <v>0</v>
      </c>
      <c r="K53" s="108">
        <f t="shared" si="4"/>
        <v>0</v>
      </c>
      <c r="L53" s="108">
        <f t="shared" si="4"/>
        <v>0</v>
      </c>
      <c r="M53" s="108">
        <f t="shared" si="4"/>
        <v>0</v>
      </c>
      <c r="N53" s="108">
        <f t="shared" si="4"/>
        <v>0</v>
      </c>
      <c r="O53" s="108">
        <f t="shared" si="4"/>
        <v>0</v>
      </c>
      <c r="P53" s="108">
        <f t="shared" si="4"/>
        <v>0</v>
      </c>
      <c r="Q53" s="108">
        <f t="shared" si="4"/>
        <v>0</v>
      </c>
      <c r="R53" s="108">
        <f t="shared" si="4"/>
        <v>0</v>
      </c>
      <c r="S53" s="108">
        <f t="shared" si="4"/>
        <v>0</v>
      </c>
      <c r="T53" s="108">
        <f t="shared" si="4"/>
        <v>0</v>
      </c>
      <c r="U53" s="108">
        <f t="shared" si="4"/>
        <v>0</v>
      </c>
      <c r="V53" s="108">
        <f t="shared" si="4"/>
        <v>0</v>
      </c>
      <c r="W53" s="108">
        <f t="shared" si="4"/>
        <v>0</v>
      </c>
      <c r="X53" s="108">
        <f t="shared" si="4"/>
        <v>0</v>
      </c>
      <c r="Y53" s="108">
        <f t="shared" si="3"/>
        <v>0</v>
      </c>
    </row>
    <row r="54" spans="3:25" ht="15.75" thickBot="1" x14ac:dyDescent="0.3">
      <c r="C54" s="52"/>
      <c r="D54" s="54"/>
      <c r="E54" s="54"/>
      <c r="F54" s="54"/>
      <c r="G54" s="54"/>
      <c r="H54" s="54"/>
      <c r="I54" s="54"/>
      <c r="J54" s="54"/>
      <c r="K54" s="54"/>
      <c r="L54" s="54"/>
      <c r="M54" s="54"/>
      <c r="N54" s="54"/>
      <c r="O54" s="54"/>
      <c r="P54" s="54"/>
      <c r="Q54" s="54"/>
      <c r="R54" s="54"/>
      <c r="S54" s="54"/>
      <c r="T54" s="54"/>
      <c r="U54" s="54"/>
      <c r="V54" s="54"/>
      <c r="W54" s="54"/>
      <c r="X54" s="54"/>
      <c r="Y54" s="54"/>
    </row>
    <row r="55" spans="3:25" x14ac:dyDescent="0.25">
      <c r="C55" s="66" t="s">
        <v>102</v>
      </c>
      <c r="D55" s="67" t="e">
        <f>IRR(D56:W56,0.3)</f>
        <v>#NUM!</v>
      </c>
      <c r="E55" s="56"/>
      <c r="F55" s="56"/>
      <c r="G55" s="56"/>
      <c r="H55" s="56"/>
      <c r="I55" s="56"/>
      <c r="J55" s="56"/>
      <c r="K55" s="56"/>
      <c r="L55" s="56"/>
      <c r="M55" s="56"/>
      <c r="N55" s="56"/>
      <c r="O55" s="56"/>
      <c r="P55" s="56"/>
      <c r="Q55" s="56"/>
      <c r="R55" s="56"/>
      <c r="S55" s="56"/>
      <c r="T55" s="56"/>
      <c r="U55" s="56"/>
      <c r="V55" s="56"/>
      <c r="W55" s="56"/>
      <c r="X55" s="57"/>
      <c r="Y55" s="57"/>
    </row>
    <row r="56" spans="3:25" x14ac:dyDescent="0.25">
      <c r="C56" s="58" t="s">
        <v>136</v>
      </c>
      <c r="D56" s="68">
        <f>-D42</f>
        <v>0</v>
      </c>
      <c r="E56" s="60">
        <f>SUM(E$23:E$29)-SUM(E$37:E$45)</f>
        <v>0</v>
      </c>
      <c r="F56" s="60">
        <f t="shared" ref="F56:X56" si="5">SUM(F$23:F$29)-SUM(F$37:F$45)</f>
        <v>0</v>
      </c>
      <c r="G56" s="60">
        <f t="shared" si="5"/>
        <v>0</v>
      </c>
      <c r="H56" s="60">
        <f t="shared" si="5"/>
        <v>0</v>
      </c>
      <c r="I56" s="60">
        <f t="shared" si="5"/>
        <v>0</v>
      </c>
      <c r="J56" s="60">
        <f t="shared" si="5"/>
        <v>0</v>
      </c>
      <c r="K56" s="60">
        <f t="shared" si="5"/>
        <v>0</v>
      </c>
      <c r="L56" s="60">
        <f t="shared" si="5"/>
        <v>0</v>
      </c>
      <c r="M56" s="60">
        <f t="shared" si="5"/>
        <v>0</v>
      </c>
      <c r="N56" s="60">
        <f t="shared" si="5"/>
        <v>0</v>
      </c>
      <c r="O56" s="60">
        <f t="shared" si="5"/>
        <v>0</v>
      </c>
      <c r="P56" s="60">
        <f t="shared" si="5"/>
        <v>0</v>
      </c>
      <c r="Q56" s="60">
        <f t="shared" si="5"/>
        <v>0</v>
      </c>
      <c r="R56" s="60">
        <f t="shared" si="5"/>
        <v>0</v>
      </c>
      <c r="S56" s="60">
        <f t="shared" si="5"/>
        <v>0</v>
      </c>
      <c r="T56" s="60">
        <f t="shared" si="5"/>
        <v>0</v>
      </c>
      <c r="U56" s="60">
        <f t="shared" si="5"/>
        <v>0</v>
      </c>
      <c r="V56" s="60">
        <f t="shared" si="5"/>
        <v>0</v>
      </c>
      <c r="W56" s="60">
        <f t="shared" si="5"/>
        <v>0</v>
      </c>
      <c r="X56" s="60">
        <f t="shared" si="5"/>
        <v>0</v>
      </c>
      <c r="Y56" s="60"/>
    </row>
    <row r="57" spans="3:25" ht="15.75" thickBot="1" x14ac:dyDescent="0.3">
      <c r="C57" s="61" t="s">
        <v>137</v>
      </c>
      <c r="D57" s="69">
        <f>D56</f>
        <v>0</v>
      </c>
      <c r="E57" s="69">
        <f>D57+E56*E$18</f>
        <v>0</v>
      </c>
      <c r="F57" s="69">
        <f t="shared" ref="F57:X57" si="6">E57+F56*F$18</f>
        <v>0</v>
      </c>
      <c r="G57" s="69">
        <f t="shared" si="6"/>
        <v>0</v>
      </c>
      <c r="H57" s="69">
        <f t="shared" si="6"/>
        <v>0</v>
      </c>
      <c r="I57" s="69">
        <f t="shared" si="6"/>
        <v>0</v>
      </c>
      <c r="J57" s="69">
        <f t="shared" si="6"/>
        <v>0</v>
      </c>
      <c r="K57" s="69">
        <f t="shared" si="6"/>
        <v>0</v>
      </c>
      <c r="L57" s="69">
        <f t="shared" si="6"/>
        <v>0</v>
      </c>
      <c r="M57" s="69">
        <f t="shared" si="6"/>
        <v>0</v>
      </c>
      <c r="N57" s="69">
        <f t="shared" si="6"/>
        <v>0</v>
      </c>
      <c r="O57" s="69">
        <f t="shared" si="6"/>
        <v>0</v>
      </c>
      <c r="P57" s="69">
        <f t="shared" si="6"/>
        <v>0</v>
      </c>
      <c r="Q57" s="69">
        <f t="shared" si="6"/>
        <v>0</v>
      </c>
      <c r="R57" s="69">
        <f t="shared" si="6"/>
        <v>0</v>
      </c>
      <c r="S57" s="69">
        <f t="shared" si="6"/>
        <v>0</v>
      </c>
      <c r="T57" s="69">
        <f t="shared" si="6"/>
        <v>0</v>
      </c>
      <c r="U57" s="69">
        <f t="shared" si="6"/>
        <v>0</v>
      </c>
      <c r="V57" s="69">
        <f t="shared" si="6"/>
        <v>0</v>
      </c>
      <c r="W57" s="69">
        <f t="shared" si="6"/>
        <v>0</v>
      </c>
      <c r="X57" s="69">
        <f t="shared" si="6"/>
        <v>0</v>
      </c>
      <c r="Y57" s="69"/>
    </row>
    <row r="58" spans="3:25" ht="15.75" thickBot="1" x14ac:dyDescent="0.3">
      <c r="C58" s="52"/>
      <c r="D58" s="70" t="s">
        <v>101</v>
      </c>
      <c r="E58" s="71">
        <f>NPV(3.5%,D56:W56)</f>
        <v>0</v>
      </c>
      <c r="F58" s="54"/>
      <c r="G58" s="54"/>
      <c r="H58" s="54"/>
      <c r="I58" s="54"/>
      <c r="J58" s="54"/>
      <c r="K58" s="54"/>
      <c r="L58" s="54"/>
      <c r="M58" s="54"/>
      <c r="N58" s="54"/>
      <c r="O58" s="54"/>
      <c r="P58" s="54"/>
      <c r="Q58" s="54"/>
      <c r="R58" s="54"/>
      <c r="S58" s="54"/>
      <c r="T58" s="54"/>
      <c r="U58" s="54"/>
      <c r="V58" s="54"/>
      <c r="W58" s="54"/>
      <c r="X58" s="54"/>
      <c r="Y58" s="54"/>
    </row>
    <row r="59" spans="3:25" ht="15.75" thickBot="1" x14ac:dyDescent="0.3">
      <c r="D59" s="72"/>
    </row>
    <row r="60" spans="3:25" x14ac:dyDescent="0.25">
      <c r="C60" s="66" t="s">
        <v>138</v>
      </c>
      <c r="D60" s="73">
        <v>0</v>
      </c>
      <c r="E60" s="74">
        <f>SUM(E$23:E$29)-SUM(E$37:E$46)</f>
        <v>0</v>
      </c>
      <c r="F60" s="74">
        <f t="shared" ref="F60:X60" si="7">SUM(F$23:F$29)-SUM(F$37:F$46)</f>
        <v>0</v>
      </c>
      <c r="G60" s="74">
        <f t="shared" si="7"/>
        <v>0</v>
      </c>
      <c r="H60" s="74">
        <f t="shared" si="7"/>
        <v>0</v>
      </c>
      <c r="I60" s="74">
        <f t="shared" si="7"/>
        <v>0</v>
      </c>
      <c r="J60" s="74">
        <f t="shared" si="7"/>
        <v>0</v>
      </c>
      <c r="K60" s="74">
        <f t="shared" si="7"/>
        <v>0</v>
      </c>
      <c r="L60" s="74">
        <f t="shared" si="7"/>
        <v>0</v>
      </c>
      <c r="M60" s="74">
        <f t="shared" si="7"/>
        <v>0</v>
      </c>
      <c r="N60" s="74">
        <f t="shared" si="7"/>
        <v>0</v>
      </c>
      <c r="O60" s="74">
        <f t="shared" si="7"/>
        <v>0</v>
      </c>
      <c r="P60" s="74">
        <f t="shared" si="7"/>
        <v>0</v>
      </c>
      <c r="Q60" s="74">
        <f t="shared" si="7"/>
        <v>0</v>
      </c>
      <c r="R60" s="74">
        <f t="shared" si="7"/>
        <v>0</v>
      </c>
      <c r="S60" s="74">
        <f t="shared" si="7"/>
        <v>0</v>
      </c>
      <c r="T60" s="74">
        <f t="shared" si="7"/>
        <v>0</v>
      </c>
      <c r="U60" s="74">
        <f t="shared" si="7"/>
        <v>0</v>
      </c>
      <c r="V60" s="74">
        <f t="shared" si="7"/>
        <v>0</v>
      </c>
      <c r="W60" s="74">
        <f t="shared" si="7"/>
        <v>0</v>
      </c>
      <c r="X60" s="74">
        <f t="shared" si="7"/>
        <v>0</v>
      </c>
      <c r="Y60" s="75"/>
    </row>
    <row r="61" spans="3:25" ht="15.75" thickBot="1" x14ac:dyDescent="0.3">
      <c r="C61" s="61" t="s">
        <v>139</v>
      </c>
      <c r="D61" s="76">
        <f>D60</f>
        <v>0</v>
      </c>
      <c r="E61" s="77">
        <f>D61+E60</f>
        <v>0</v>
      </c>
      <c r="F61" s="78">
        <f t="shared" ref="F61:X61" si="8">E61+F60</f>
        <v>0</v>
      </c>
      <c r="G61" s="78">
        <f t="shared" si="8"/>
        <v>0</v>
      </c>
      <c r="H61" s="78">
        <f t="shared" si="8"/>
        <v>0</v>
      </c>
      <c r="I61" s="78">
        <f t="shared" si="8"/>
        <v>0</v>
      </c>
      <c r="J61" s="78">
        <f t="shared" si="8"/>
        <v>0</v>
      </c>
      <c r="K61" s="78">
        <f t="shared" si="8"/>
        <v>0</v>
      </c>
      <c r="L61" s="78">
        <f t="shared" si="8"/>
        <v>0</v>
      </c>
      <c r="M61" s="78">
        <f t="shared" si="8"/>
        <v>0</v>
      </c>
      <c r="N61" s="78">
        <f t="shared" si="8"/>
        <v>0</v>
      </c>
      <c r="O61" s="78">
        <f t="shared" si="8"/>
        <v>0</v>
      </c>
      <c r="P61" s="78">
        <f t="shared" si="8"/>
        <v>0</v>
      </c>
      <c r="Q61" s="78">
        <f t="shared" si="8"/>
        <v>0</v>
      </c>
      <c r="R61" s="78">
        <f t="shared" si="8"/>
        <v>0</v>
      </c>
      <c r="S61" s="78">
        <f t="shared" si="8"/>
        <v>0</v>
      </c>
      <c r="T61" s="78">
        <f t="shared" si="8"/>
        <v>0</v>
      </c>
      <c r="U61" s="78">
        <f t="shared" si="8"/>
        <v>0</v>
      </c>
      <c r="V61" s="78">
        <f t="shared" si="8"/>
        <v>0</v>
      </c>
      <c r="W61" s="78">
        <f t="shared" si="8"/>
        <v>0</v>
      </c>
      <c r="X61" s="79">
        <f t="shared" si="8"/>
        <v>0</v>
      </c>
      <c r="Y61" s="79"/>
    </row>
    <row r="62" spans="3:25" ht="15.75" thickBot="1" x14ac:dyDescent="0.3">
      <c r="D62" s="70" t="s">
        <v>101</v>
      </c>
      <c r="E62" s="71">
        <f>NPV(3.5%,D60:W60)</f>
        <v>0</v>
      </c>
    </row>
    <row r="63" spans="3:25" x14ac:dyDescent="0.25">
      <c r="D63" s="51"/>
      <c r="E63" s="51"/>
    </row>
    <row r="64" spans="3:2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sheetData>
  <sheetProtection algorithmName="SHA-512" hashValue="o8Hj1EGfTDHg/x1CXOAGYSuaRefrdo8elr5Y3xSL14rV+s9UunRIeoGw4cyHYtOiHd1x6SJQQTfb2OVjuiCYmA==" saltValue="/eKckDBTJl4ydknED87bbw==" spinCount="100000" sheet="1" formatCells="0" formatColumns="0" formatRows="0" insertColumns="0" insertRows="0" insertHyperlinks="0" deleteColumns="0" deleteRows="0" sort="0" autoFilter="0" pivotTables="0"/>
  <mergeCells count="1">
    <mergeCell ref="B4:H4"/>
  </mergeCells>
  <printOptions horizontalCentered="1"/>
  <pageMargins left="0.31496062992125984" right="0.31496062992125984" top="0.35433070866141736" bottom="0.74803149606299213" header="0.31496062992125984" footer="0.31496062992125984"/>
  <pageSetup paperSize="9" scale="34" orientation="landscape" r:id="rId1"/>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C864-D562-4270-9F8E-4191A983C1E7}">
  <sheetPr>
    <tabColor rgb="FFFFC000"/>
    <pageSetUpPr fitToPage="1"/>
  </sheetPr>
  <dimension ref="B2:Y69"/>
  <sheetViews>
    <sheetView zoomScale="80" zoomScaleNormal="80" zoomScalePageLayoutView="85" workbookViewId="0">
      <selection activeCell="M12" sqref="M12"/>
    </sheetView>
  </sheetViews>
  <sheetFormatPr defaultColWidth="8.7109375" defaultRowHeight="15" x14ac:dyDescent="0.25"/>
  <cols>
    <col min="1" max="2" width="8.7109375" style="23"/>
    <col min="3" max="3" width="43" style="23" customWidth="1"/>
    <col min="4" max="4" width="17.140625" style="23" customWidth="1"/>
    <col min="5" max="5" width="21.7109375" style="23" customWidth="1"/>
    <col min="6" max="6" width="18.5703125" style="23" customWidth="1"/>
    <col min="7" max="7" width="14.42578125" style="23" customWidth="1"/>
    <col min="8" max="8" width="28.85546875" style="23" customWidth="1"/>
    <col min="9" max="9" width="15.140625" style="23" customWidth="1"/>
    <col min="10" max="10" width="15" style="23" customWidth="1"/>
    <col min="11" max="11" width="14.42578125" style="23" customWidth="1"/>
    <col min="12" max="12" width="20.140625" style="23" customWidth="1"/>
    <col min="13" max="15" width="14.42578125" style="23" customWidth="1"/>
    <col min="16" max="16" width="17.7109375" style="23" customWidth="1"/>
    <col min="17" max="17" width="16.5703125" style="23" customWidth="1"/>
    <col min="18" max="25" width="14.42578125" style="23" customWidth="1"/>
    <col min="26" max="16384" width="8.7109375" style="23"/>
  </cols>
  <sheetData>
    <row r="2" spans="2:21" ht="22.5" customHeight="1" x14ac:dyDescent="0.25">
      <c r="B2" s="139" t="s">
        <v>3</v>
      </c>
      <c r="C2" s="139"/>
      <c r="D2" s="139"/>
      <c r="E2" s="139"/>
      <c r="F2" s="139"/>
      <c r="G2" s="139"/>
      <c r="H2" s="139"/>
      <c r="I2" s="121"/>
      <c r="J2" s="121"/>
      <c r="K2" s="122"/>
      <c r="L2" s="122"/>
      <c r="O2" s="121"/>
      <c r="P2" s="123"/>
      <c r="Q2" s="123"/>
      <c r="S2" s="121"/>
      <c r="T2" s="121"/>
      <c r="U2" s="121"/>
    </row>
    <row r="3" spans="2:21" ht="30" customHeight="1" x14ac:dyDescent="0.25">
      <c r="B3" s="139" t="s">
        <v>4</v>
      </c>
      <c r="C3" s="140"/>
      <c r="D3" s="140"/>
      <c r="E3" s="140"/>
      <c r="F3" s="140"/>
      <c r="G3" s="140"/>
      <c r="H3" s="140"/>
      <c r="I3" s="121"/>
      <c r="J3" s="121"/>
      <c r="K3" s="122"/>
      <c r="L3" s="122"/>
      <c r="O3" s="121"/>
      <c r="P3" s="122"/>
      <c r="Q3" s="122"/>
      <c r="S3" s="122"/>
      <c r="T3" s="122"/>
      <c r="U3" s="122"/>
    </row>
    <row r="4" spans="2:21" x14ac:dyDescent="0.25">
      <c r="B4" s="683"/>
      <c r="C4" s="683"/>
      <c r="D4" s="683"/>
      <c r="E4" s="683"/>
      <c r="F4" s="683"/>
      <c r="G4" s="683"/>
      <c r="H4" s="683"/>
    </row>
    <row r="5" spans="2:21" ht="15" customHeight="1" x14ac:dyDescent="0.25">
      <c r="B5" s="141" t="s">
        <v>141</v>
      </c>
      <c r="C5" s="141"/>
      <c r="D5" s="141"/>
      <c r="E5" s="141"/>
      <c r="F5" s="141"/>
      <c r="G5" s="181" t="s">
        <v>1</v>
      </c>
      <c r="H5" s="182" t="str">
        <f>'Project Data Input'!H5</f>
        <v xml:space="preserve"> </v>
      </c>
      <c r="I5" s="124"/>
      <c r="J5" s="124"/>
      <c r="K5" s="124"/>
      <c r="L5" s="124"/>
      <c r="M5" s="124"/>
      <c r="N5" s="124"/>
      <c r="O5" s="124"/>
      <c r="P5" s="124"/>
      <c r="Q5" s="124"/>
    </row>
    <row r="6" spans="2:21" ht="15.75" customHeight="1" x14ac:dyDescent="0.25">
      <c r="B6" s="141"/>
      <c r="C6" s="141"/>
      <c r="D6" s="141"/>
      <c r="E6" s="141"/>
      <c r="F6" s="141"/>
      <c r="G6" s="181" t="s">
        <v>0</v>
      </c>
      <c r="H6" s="181" t="str">
        <f>'Project Data Input'!H6</f>
        <v xml:space="preserve"> </v>
      </c>
      <c r="I6" s="124"/>
      <c r="J6" s="124"/>
      <c r="K6" s="124"/>
      <c r="L6" s="124"/>
      <c r="M6" s="124"/>
      <c r="N6" s="124"/>
      <c r="O6" s="124"/>
      <c r="P6" s="124"/>
      <c r="Q6" s="124"/>
    </row>
    <row r="7" spans="2:21" x14ac:dyDescent="0.25">
      <c r="C7" s="28"/>
      <c r="D7" s="28"/>
      <c r="E7" s="36"/>
      <c r="F7" s="36"/>
      <c r="G7" s="36"/>
      <c r="H7" s="36"/>
      <c r="I7" s="36"/>
      <c r="J7" s="36"/>
      <c r="K7" s="36"/>
      <c r="L7" s="36"/>
      <c r="M7" s="36"/>
      <c r="N7" s="36"/>
      <c r="O7" s="36"/>
      <c r="P7" s="36"/>
      <c r="Q7" s="36"/>
    </row>
    <row r="8" spans="2:21" x14ac:dyDescent="0.25">
      <c r="C8" s="37"/>
      <c r="L8" s="38" t="s">
        <v>108</v>
      </c>
      <c r="M8" s="39" t="s">
        <v>109</v>
      </c>
    </row>
    <row r="9" spans="2:21" x14ac:dyDescent="0.25">
      <c r="C9" s="37"/>
      <c r="L9" s="40" t="s">
        <v>110</v>
      </c>
      <c r="M9" s="41">
        <f>D42</f>
        <v>0</v>
      </c>
      <c r="P9" s="42" t="s">
        <v>102</v>
      </c>
      <c r="Q9" s="43" t="e">
        <f>D55</f>
        <v>#NUM!</v>
      </c>
    </row>
    <row r="10" spans="2:21" x14ac:dyDescent="0.25">
      <c r="C10" s="37"/>
      <c r="L10" s="40" t="s">
        <v>111</v>
      </c>
      <c r="M10" s="44">
        <v>1</v>
      </c>
      <c r="P10" s="42" t="s">
        <v>101</v>
      </c>
      <c r="Q10" s="45">
        <f>E58</f>
        <v>0</v>
      </c>
    </row>
    <row r="11" spans="2:21" x14ac:dyDescent="0.25">
      <c r="C11" s="37"/>
      <c r="L11" s="40" t="s">
        <v>111</v>
      </c>
      <c r="M11" s="46">
        <f>M9*M10</f>
        <v>0</v>
      </c>
      <c r="P11" s="47" t="s">
        <v>55</v>
      </c>
      <c r="Q11" s="48" t="e">
        <f>-D56/((SUM($E$23:$E$28)-SUM($E$37:$E$41)))</f>
        <v>#DIV/0!</v>
      </c>
    </row>
    <row r="12" spans="2:21" x14ac:dyDescent="0.25">
      <c r="C12" s="37"/>
      <c r="L12" s="40" t="s">
        <v>112</v>
      </c>
      <c r="M12" s="49">
        <f>'DASHBOARD '!H21</f>
        <v>0</v>
      </c>
    </row>
    <row r="13" spans="2:21" x14ac:dyDescent="0.25">
      <c r="C13" s="37"/>
      <c r="L13" s="40" t="s">
        <v>113</v>
      </c>
      <c r="M13" s="50">
        <f>'DASHBOARD '!H22</f>
        <v>0</v>
      </c>
    </row>
    <row r="14" spans="2:21" x14ac:dyDescent="0.25">
      <c r="C14" s="37"/>
      <c r="L14" s="40" t="s">
        <v>114</v>
      </c>
      <c r="M14" s="46" t="e">
        <f>PMT(M12/12,M13*12,-M11)</f>
        <v>#NUM!</v>
      </c>
    </row>
    <row r="15" spans="2:21" x14ac:dyDescent="0.25">
      <c r="C15" s="37"/>
      <c r="L15" s="40" t="s">
        <v>115</v>
      </c>
      <c r="M15" s="46" t="e">
        <f>M14*12</f>
        <v>#NUM!</v>
      </c>
    </row>
    <row r="16" spans="2:21" x14ac:dyDescent="0.25">
      <c r="C16" s="37"/>
      <c r="L16" s="40" t="s">
        <v>116</v>
      </c>
      <c r="M16" s="46" t="e">
        <f>M15*M13</f>
        <v>#NUM!</v>
      </c>
    </row>
    <row r="17" spans="3:25" x14ac:dyDescent="0.25">
      <c r="C17" s="37"/>
      <c r="D17" s="23">
        <v>0</v>
      </c>
      <c r="E17" s="23">
        <v>1</v>
      </c>
      <c r="F17" s="23">
        <v>2</v>
      </c>
      <c r="G17" s="23">
        <v>3</v>
      </c>
      <c r="H17" s="23">
        <v>4</v>
      </c>
      <c r="I17" s="23">
        <v>5</v>
      </c>
      <c r="J17" s="23">
        <v>6</v>
      </c>
      <c r="K17" s="23">
        <v>7</v>
      </c>
      <c r="L17" s="23">
        <v>8</v>
      </c>
      <c r="M17" s="23">
        <v>9</v>
      </c>
      <c r="N17" s="23">
        <v>10</v>
      </c>
      <c r="O17" s="23">
        <v>11</v>
      </c>
      <c r="P17" s="23">
        <v>12</v>
      </c>
      <c r="Q17" s="23">
        <v>13</v>
      </c>
      <c r="R17" s="23">
        <v>14</v>
      </c>
      <c r="S17" s="23">
        <v>15</v>
      </c>
      <c r="T17" s="23">
        <v>16</v>
      </c>
      <c r="U17" s="23">
        <v>17</v>
      </c>
      <c r="V17" s="23">
        <v>18</v>
      </c>
      <c r="W17" s="23">
        <v>19</v>
      </c>
      <c r="X17" s="23">
        <v>20</v>
      </c>
      <c r="Y17" s="109" t="s">
        <v>63</v>
      </c>
    </row>
    <row r="18" spans="3:25" ht="15.75" thickBot="1" x14ac:dyDescent="0.3">
      <c r="C18" s="37"/>
      <c r="D18" s="23">
        <f>IF(D19&lt;'Project Data Input'!$D$9, 1, 0)</f>
        <v>0</v>
      </c>
      <c r="E18" s="23">
        <f>IF(E19&lt;'Project Data Input'!$D$9, 1, 0)</f>
        <v>0</v>
      </c>
      <c r="F18" s="23">
        <f>IF(F19&lt;'Project Data Input'!$D$9, 1, 0)</f>
        <v>0</v>
      </c>
      <c r="G18" s="23">
        <f>IF(G19&lt;'Project Data Input'!$D$9, 1, 0)</f>
        <v>0</v>
      </c>
      <c r="H18" s="23">
        <f>IF(H19&lt;'Project Data Input'!$D$9, 1, 0)</f>
        <v>0</v>
      </c>
      <c r="I18" s="23">
        <f>IF(I19&lt;'Project Data Input'!$D$9, 1, 0)</f>
        <v>0</v>
      </c>
      <c r="J18" s="23">
        <f>IF(J19&lt;'Project Data Input'!$D$9, 1, 0)</f>
        <v>0</v>
      </c>
      <c r="K18" s="23">
        <f>IF(K19&lt;'Project Data Input'!$D$9, 1, 0)</f>
        <v>0</v>
      </c>
      <c r="L18" s="23">
        <f>IF(L19&lt;'Project Data Input'!$D$9, 1, 0)</f>
        <v>0</v>
      </c>
      <c r="M18" s="23">
        <f>IF(M19&lt;'Project Data Input'!$D$9, 1, 0)</f>
        <v>0</v>
      </c>
      <c r="N18" s="23">
        <f>IF(N19&lt;'Project Data Input'!$D$9, 1, 0)</f>
        <v>0</v>
      </c>
      <c r="O18" s="23">
        <f>IF(O19&lt;'Project Data Input'!$D$9, 1, 0)</f>
        <v>0</v>
      </c>
      <c r="P18" s="23">
        <f>IF(P19&lt;'Project Data Input'!$D$9, 1, 0)</f>
        <v>0</v>
      </c>
      <c r="Q18" s="23">
        <f>IF(Q19&lt;'Project Data Input'!$D$9, 1, 0)</f>
        <v>0</v>
      </c>
      <c r="R18" s="23">
        <f>IF(R19&lt;'Project Data Input'!$D$9, 1, 0)</f>
        <v>0</v>
      </c>
      <c r="S18" s="23">
        <f>IF(S19&lt;'Project Data Input'!$D$9, 1, 0)</f>
        <v>0</v>
      </c>
      <c r="T18" s="23">
        <f>IF(T19&lt;'Project Data Input'!$D$9, 1, 0)</f>
        <v>0</v>
      </c>
      <c r="U18" s="23">
        <v>0</v>
      </c>
      <c r="V18" s="23">
        <v>0</v>
      </c>
      <c r="W18" s="23">
        <v>0</v>
      </c>
      <c r="X18" s="23">
        <v>0</v>
      </c>
      <c r="Y18" s="23">
        <v>0</v>
      </c>
    </row>
    <row r="19" spans="3:25" ht="15.75" thickBot="1" x14ac:dyDescent="0.3">
      <c r="C19" s="52"/>
      <c r="D19" s="53">
        <f>'Technology Inputs'!E1</f>
        <v>0</v>
      </c>
      <c r="E19" s="53">
        <f>'Technology Inputs'!F1</f>
        <v>1</v>
      </c>
      <c r="F19" s="53">
        <f>'Technology Inputs'!G1</f>
        <v>2</v>
      </c>
      <c r="G19" s="53">
        <f>'Technology Inputs'!H1</f>
        <v>3</v>
      </c>
      <c r="H19" s="53">
        <f>'Technology Inputs'!I1</f>
        <v>4</v>
      </c>
      <c r="I19" s="53">
        <f>'Technology Inputs'!J1</f>
        <v>5</v>
      </c>
      <c r="J19" s="53">
        <f>'Technology Inputs'!K1</f>
        <v>6</v>
      </c>
      <c r="K19" s="53">
        <f>'Technology Inputs'!L1</f>
        <v>7</v>
      </c>
      <c r="L19" s="53">
        <f>'Technology Inputs'!M1</f>
        <v>8</v>
      </c>
      <c r="M19" s="53">
        <f>'Technology Inputs'!N1</f>
        <v>9</v>
      </c>
      <c r="N19" s="53">
        <f>'Technology Inputs'!O1</f>
        <v>10</v>
      </c>
      <c r="O19" s="53">
        <f>'Technology Inputs'!P1</f>
        <v>11</v>
      </c>
      <c r="P19" s="53">
        <f>'Technology Inputs'!Q1</f>
        <v>12</v>
      </c>
      <c r="Q19" s="53">
        <f>'Technology Inputs'!R1</f>
        <v>13</v>
      </c>
      <c r="R19" s="53">
        <f>'Technology Inputs'!S1</f>
        <v>14</v>
      </c>
      <c r="S19" s="53">
        <f>'Technology Inputs'!T1</f>
        <v>15</v>
      </c>
      <c r="T19" s="53">
        <f>'Technology Inputs'!U1</f>
        <v>16</v>
      </c>
      <c r="U19" s="53">
        <f>'Technology Inputs'!V1</f>
        <v>17</v>
      </c>
      <c r="V19" s="53">
        <f>'Technology Inputs'!W1</f>
        <v>18</v>
      </c>
      <c r="W19" s="53">
        <f>'Technology Inputs'!X1</f>
        <v>19</v>
      </c>
      <c r="X19" s="53">
        <f>'Technology Inputs'!Y1</f>
        <v>20</v>
      </c>
      <c r="Y19" s="53"/>
    </row>
    <row r="20" spans="3:25" ht="15.75" thickBot="1" x14ac:dyDescent="0.3">
      <c r="C20" s="52" t="s">
        <v>118</v>
      </c>
      <c r="D20" s="53">
        <f>'Technology Inputs'!E2</f>
        <v>2022</v>
      </c>
      <c r="E20" s="53">
        <f>'Technology Inputs'!F2</f>
        <v>2023</v>
      </c>
      <c r="F20" s="53">
        <f>'Technology Inputs'!G2</f>
        <v>2024</v>
      </c>
      <c r="G20" s="53">
        <f>'Technology Inputs'!H2</f>
        <v>2025</v>
      </c>
      <c r="H20" s="53">
        <f>'Technology Inputs'!I2</f>
        <v>2026</v>
      </c>
      <c r="I20" s="53">
        <f>'Technology Inputs'!J2</f>
        <v>2027</v>
      </c>
      <c r="J20" s="53">
        <f>'Technology Inputs'!K2</f>
        <v>2028</v>
      </c>
      <c r="K20" s="53">
        <f>'Technology Inputs'!L2</f>
        <v>2029</v>
      </c>
      <c r="L20" s="53">
        <f>'Technology Inputs'!M2</f>
        <v>2030</v>
      </c>
      <c r="M20" s="53">
        <f>'Technology Inputs'!N2</f>
        <v>2031</v>
      </c>
      <c r="N20" s="53">
        <f>'Technology Inputs'!O2</f>
        <v>2032</v>
      </c>
      <c r="O20" s="53">
        <f>'Technology Inputs'!P2</f>
        <v>2033</v>
      </c>
      <c r="P20" s="53">
        <f>'Technology Inputs'!Q2</f>
        <v>2034</v>
      </c>
      <c r="Q20" s="53">
        <f>'Technology Inputs'!R2</f>
        <v>2035</v>
      </c>
      <c r="R20" s="53">
        <f>'Technology Inputs'!S2</f>
        <v>2036</v>
      </c>
      <c r="S20" s="53">
        <f>'Technology Inputs'!T2</f>
        <v>2037</v>
      </c>
      <c r="T20" s="53">
        <f>'Technology Inputs'!U2</f>
        <v>2038</v>
      </c>
      <c r="U20" s="53">
        <f>'Technology Inputs'!V2</f>
        <v>2039</v>
      </c>
      <c r="V20" s="53">
        <f>'Technology Inputs'!W2</f>
        <v>2040</v>
      </c>
      <c r="W20" s="53">
        <f>'Technology Inputs'!X2</f>
        <v>2041</v>
      </c>
      <c r="X20" s="53">
        <f>'Technology Inputs'!Y2</f>
        <v>2042</v>
      </c>
      <c r="Y20" s="53"/>
    </row>
    <row r="21" spans="3:25" ht="15.75" thickBot="1" x14ac:dyDescent="0.3">
      <c r="C21" s="52"/>
      <c r="D21" s="54"/>
      <c r="E21" s="54"/>
      <c r="F21" s="54"/>
      <c r="G21" s="54"/>
      <c r="H21" s="54"/>
      <c r="I21" s="54"/>
      <c r="J21" s="54"/>
      <c r="K21" s="54"/>
      <c r="L21" s="54"/>
      <c r="M21" s="54"/>
      <c r="N21" s="54"/>
      <c r="O21" s="54"/>
      <c r="P21" s="54"/>
      <c r="Q21" s="54"/>
      <c r="R21" s="54"/>
      <c r="S21" s="54"/>
      <c r="T21" s="54"/>
      <c r="U21" s="54"/>
      <c r="V21" s="54"/>
      <c r="W21" s="54"/>
      <c r="X21" s="54"/>
      <c r="Y21" s="54"/>
    </row>
    <row r="22" spans="3:25" x14ac:dyDescent="0.25">
      <c r="C22" s="55" t="s">
        <v>119</v>
      </c>
      <c r="D22" s="56"/>
      <c r="E22" s="56"/>
      <c r="F22" s="56"/>
      <c r="G22" s="56"/>
      <c r="H22" s="56"/>
      <c r="I22" s="56"/>
      <c r="J22" s="56"/>
      <c r="K22" s="56"/>
      <c r="L22" s="56"/>
      <c r="M22" s="56"/>
      <c r="N22" s="56"/>
      <c r="O22" s="56"/>
      <c r="P22" s="56"/>
      <c r="Q22" s="56"/>
      <c r="R22" s="56"/>
      <c r="S22" s="56"/>
      <c r="T22" s="56"/>
      <c r="U22" s="56"/>
      <c r="V22" s="56"/>
      <c r="W22" s="56"/>
      <c r="X22" s="57"/>
      <c r="Y22" s="110" t="s">
        <v>63</v>
      </c>
    </row>
    <row r="23" spans="3:25" x14ac:dyDescent="0.25">
      <c r="C23" s="58" t="s">
        <v>120</v>
      </c>
      <c r="D23" s="59">
        <f>'Project Data Input'!$D14*'Project Data Input'!F14</f>
        <v>0</v>
      </c>
      <c r="E23" s="59">
        <f>D23*'Technology Inputs'!F$18*E$18</f>
        <v>0</v>
      </c>
      <c r="F23" s="59">
        <f>E23*'Technology Inputs'!G18*F18</f>
        <v>0</v>
      </c>
      <c r="G23" s="59">
        <f>F23*'Technology Inputs'!H18*G18</f>
        <v>0</v>
      </c>
      <c r="H23" s="59">
        <f>G23*'Technology Inputs'!I18*H18</f>
        <v>0</v>
      </c>
      <c r="I23" s="59">
        <f>H23*'Technology Inputs'!J18*I18</f>
        <v>0</v>
      </c>
      <c r="J23" s="59">
        <f>I23*'Technology Inputs'!K18*J18</f>
        <v>0</v>
      </c>
      <c r="K23" s="59">
        <f>J23*'Technology Inputs'!L18*K18</f>
        <v>0</v>
      </c>
      <c r="L23" s="59">
        <f>K23*'Technology Inputs'!M18*L18</f>
        <v>0</v>
      </c>
      <c r="M23" s="59">
        <f>L23*'Technology Inputs'!N18*M18</f>
        <v>0</v>
      </c>
      <c r="N23" s="59">
        <f>M23*'Technology Inputs'!O18*N18</f>
        <v>0</v>
      </c>
      <c r="O23" s="59">
        <f>N23*'Technology Inputs'!P18*O18</f>
        <v>0</v>
      </c>
      <c r="P23" s="59">
        <f>O23*'Technology Inputs'!Q18*P18</f>
        <v>0</v>
      </c>
      <c r="Q23" s="59">
        <f>P23*'Technology Inputs'!R18*Q18</f>
        <v>0</v>
      </c>
      <c r="R23" s="59">
        <f>Q23*'Technology Inputs'!S18*R18</f>
        <v>0</v>
      </c>
      <c r="S23" s="59">
        <f>R23*'Technology Inputs'!T18*S18</f>
        <v>0</v>
      </c>
      <c r="T23" s="59">
        <f>S23*'Technology Inputs'!U18*T18</f>
        <v>0</v>
      </c>
      <c r="U23" s="59">
        <f>T23*'Technology Inputs'!V18*U18</f>
        <v>0</v>
      </c>
      <c r="V23" s="59">
        <f>U23*'Technology Inputs'!W18*V18</f>
        <v>0</v>
      </c>
      <c r="W23" s="59">
        <f>V23*'Technology Inputs'!X18*W18</f>
        <v>0</v>
      </c>
      <c r="X23" s="59">
        <f>W23*'Technology Inputs'!Y18*X18</f>
        <v>0</v>
      </c>
      <c r="Y23" s="59">
        <f>SUM(D23:X23)</f>
        <v>0</v>
      </c>
    </row>
    <row r="24" spans="3:25" x14ac:dyDescent="0.25">
      <c r="C24" s="58" t="s">
        <v>53</v>
      </c>
      <c r="D24" s="60">
        <f>'Project Data Input'!E20</f>
        <v>0</v>
      </c>
      <c r="E24" s="60">
        <f>D24</f>
        <v>0</v>
      </c>
      <c r="F24" s="60">
        <f t="shared" ref="F24:X24" si="0">E24</f>
        <v>0</v>
      </c>
      <c r="G24" s="60">
        <f t="shared" si="0"/>
        <v>0</v>
      </c>
      <c r="H24" s="60">
        <f t="shared" si="0"/>
        <v>0</v>
      </c>
      <c r="I24" s="60">
        <f t="shared" si="0"/>
        <v>0</v>
      </c>
      <c r="J24" s="60">
        <f t="shared" si="0"/>
        <v>0</v>
      </c>
      <c r="K24" s="60">
        <f t="shared" si="0"/>
        <v>0</v>
      </c>
      <c r="L24" s="60">
        <f t="shared" si="0"/>
        <v>0</v>
      </c>
      <c r="M24" s="60">
        <f t="shared" si="0"/>
        <v>0</v>
      </c>
      <c r="N24" s="60">
        <f t="shared" si="0"/>
        <v>0</v>
      </c>
      <c r="O24" s="60">
        <f t="shared" si="0"/>
        <v>0</v>
      </c>
      <c r="P24" s="60">
        <f t="shared" si="0"/>
        <v>0</v>
      </c>
      <c r="Q24" s="60">
        <f t="shared" si="0"/>
        <v>0</v>
      </c>
      <c r="R24" s="60">
        <f t="shared" si="0"/>
        <v>0</v>
      </c>
      <c r="S24" s="60">
        <f t="shared" si="0"/>
        <v>0</v>
      </c>
      <c r="T24" s="60">
        <f t="shared" si="0"/>
        <v>0</v>
      </c>
      <c r="U24" s="60">
        <f t="shared" si="0"/>
        <v>0</v>
      </c>
      <c r="V24" s="60">
        <f t="shared" si="0"/>
        <v>0</v>
      </c>
      <c r="W24" s="60">
        <f t="shared" si="0"/>
        <v>0</v>
      </c>
      <c r="X24" s="60">
        <f t="shared" si="0"/>
        <v>0</v>
      </c>
      <c r="Y24" s="60">
        <f t="shared" ref="Y24:Y46" si="1">SUM(D24:X24)</f>
        <v>0</v>
      </c>
    </row>
    <row r="25" spans="3:25" x14ac:dyDescent="0.25">
      <c r="C25" s="58" t="s">
        <v>121</v>
      </c>
      <c r="D25" s="59">
        <f>'Project Data Input'!D15*'Project Data Input'!F15</f>
        <v>0</v>
      </c>
      <c r="E25" s="59">
        <f>D25*'Technology Inputs'!F$19*E$18</f>
        <v>0</v>
      </c>
      <c r="F25" s="59">
        <f>E25*'Technology Inputs'!G19*F18</f>
        <v>0</v>
      </c>
      <c r="G25" s="59">
        <f>F25*'Technology Inputs'!H19*G18</f>
        <v>0</v>
      </c>
      <c r="H25" s="59">
        <f>G25*'Technology Inputs'!I19*H18</f>
        <v>0</v>
      </c>
      <c r="I25" s="59">
        <f>H25*'Technology Inputs'!J19*I18</f>
        <v>0</v>
      </c>
      <c r="J25" s="59">
        <f>I25*'Technology Inputs'!K19*J18</f>
        <v>0</v>
      </c>
      <c r="K25" s="59">
        <f>J25*'Technology Inputs'!L19*K18</f>
        <v>0</v>
      </c>
      <c r="L25" s="59">
        <f>K25*'Technology Inputs'!M19*L18</f>
        <v>0</v>
      </c>
      <c r="M25" s="59">
        <f>L25*'Technology Inputs'!N19*M18</f>
        <v>0</v>
      </c>
      <c r="N25" s="59">
        <f>M25*'Technology Inputs'!O19*N18</f>
        <v>0</v>
      </c>
      <c r="O25" s="59">
        <f>N25*'Technology Inputs'!P19*O18</f>
        <v>0</v>
      </c>
      <c r="P25" s="59">
        <f>O25*'Technology Inputs'!Q19*P18</f>
        <v>0</v>
      </c>
      <c r="Q25" s="59">
        <f>P25*'Technology Inputs'!R19*Q18</f>
        <v>0</v>
      </c>
      <c r="R25" s="59">
        <f>Q25*'Technology Inputs'!S19*R18</f>
        <v>0</v>
      </c>
      <c r="S25" s="59">
        <f>R25*'Technology Inputs'!T19*S18</f>
        <v>0</v>
      </c>
      <c r="T25" s="59">
        <f>S25*'Technology Inputs'!U19*T18</f>
        <v>0</v>
      </c>
      <c r="U25" s="59">
        <f>T25*'Technology Inputs'!V19*U18</f>
        <v>0</v>
      </c>
      <c r="V25" s="59">
        <f>U25*'Technology Inputs'!W19*V18</f>
        <v>0</v>
      </c>
      <c r="W25" s="59">
        <f>V25*'Technology Inputs'!X19*W18</f>
        <v>0</v>
      </c>
      <c r="X25" s="59">
        <f>W25*'Technology Inputs'!Y19*X18</f>
        <v>0</v>
      </c>
      <c r="Y25" s="59">
        <f t="shared" si="1"/>
        <v>0</v>
      </c>
    </row>
    <row r="26" spans="3:25" x14ac:dyDescent="0.25">
      <c r="C26" s="58" t="str">
        <f>""&amp;'Project Data Input'!$C$16&amp;" Costs"</f>
        <v>Fuel oil Costs</v>
      </c>
      <c r="D26" s="59">
        <f>'Project Data Input'!D16*'Project Data Input'!F16</f>
        <v>0</v>
      </c>
      <c r="E26" s="59">
        <f>D26*'Technology Inputs'!F$20*E$18</f>
        <v>0</v>
      </c>
      <c r="F26" s="59">
        <f>E26*'Technology Inputs'!G20*F18</f>
        <v>0</v>
      </c>
      <c r="G26" s="59">
        <f>F26*'Technology Inputs'!H20*G18</f>
        <v>0</v>
      </c>
      <c r="H26" s="59">
        <f>G26*'Technology Inputs'!I20*H18</f>
        <v>0</v>
      </c>
      <c r="I26" s="59">
        <f>H26*'Technology Inputs'!J20*I18</f>
        <v>0</v>
      </c>
      <c r="J26" s="59">
        <f>I26*'Technology Inputs'!K20*J18</f>
        <v>0</v>
      </c>
      <c r="K26" s="59">
        <f>J26*'Technology Inputs'!L20*K18</f>
        <v>0</v>
      </c>
      <c r="L26" s="59">
        <f>K26*'Technology Inputs'!M20*L18</f>
        <v>0</v>
      </c>
      <c r="M26" s="59">
        <f>L26*'Technology Inputs'!N20*M18</f>
        <v>0</v>
      </c>
      <c r="N26" s="59">
        <f>M26*'Technology Inputs'!O20*N18</f>
        <v>0</v>
      </c>
      <c r="O26" s="59">
        <f>N26*'Technology Inputs'!P20*O18</f>
        <v>0</v>
      </c>
      <c r="P26" s="59">
        <f>O26*'Technology Inputs'!Q20*P18</f>
        <v>0</v>
      </c>
      <c r="Q26" s="59">
        <f>P26*'Technology Inputs'!R20*Q18</f>
        <v>0</v>
      </c>
      <c r="R26" s="59">
        <f>Q26*'Technology Inputs'!S20*R18</f>
        <v>0</v>
      </c>
      <c r="S26" s="59">
        <f>R26*'Technology Inputs'!T20*S18</f>
        <v>0</v>
      </c>
      <c r="T26" s="59">
        <f>S26*'Technology Inputs'!U20*T18</f>
        <v>0</v>
      </c>
      <c r="U26" s="59">
        <f>T26*'Technology Inputs'!V20*U18</f>
        <v>0</v>
      </c>
      <c r="V26" s="59">
        <f>U26*'Technology Inputs'!W20*V18</f>
        <v>0</v>
      </c>
      <c r="W26" s="59">
        <f>V26*'Technology Inputs'!X20*W18</f>
        <v>0</v>
      </c>
      <c r="X26" s="59">
        <f>W26*'Technology Inputs'!Y20*X18</f>
        <v>0</v>
      </c>
      <c r="Y26" s="59">
        <f t="shared" si="1"/>
        <v>0</v>
      </c>
    </row>
    <row r="27" spans="3:25" x14ac:dyDescent="0.25">
      <c r="C27" s="58" t="str">
        <f>""&amp;'Project Data Input'!$C$17&amp;" Costs"</f>
        <v>Burning oil Costs</v>
      </c>
      <c r="D27" s="59">
        <f>'Project Data Input'!D17*'Project Data Input'!F17</f>
        <v>0</v>
      </c>
      <c r="E27" s="59">
        <f>D27*'Technology Inputs'!F$25*E$18</f>
        <v>0</v>
      </c>
      <c r="F27" s="59">
        <f>E27*'Technology Inputs'!G25*F18</f>
        <v>0</v>
      </c>
      <c r="G27" s="59">
        <f>F27*'Technology Inputs'!H25*G18</f>
        <v>0</v>
      </c>
      <c r="H27" s="59">
        <f>G27*'Technology Inputs'!I25*H18</f>
        <v>0</v>
      </c>
      <c r="I27" s="59">
        <f>H27*'Technology Inputs'!J25*I18</f>
        <v>0</v>
      </c>
      <c r="J27" s="59">
        <f>I27*'Technology Inputs'!K25*J18</f>
        <v>0</v>
      </c>
      <c r="K27" s="59">
        <f>J27*'Technology Inputs'!L25*K18</f>
        <v>0</v>
      </c>
      <c r="L27" s="59">
        <f>K27*'Technology Inputs'!M25*L18</f>
        <v>0</v>
      </c>
      <c r="M27" s="59">
        <f>L27*'Technology Inputs'!N25*M18</f>
        <v>0</v>
      </c>
      <c r="N27" s="59">
        <f>M27*'Technology Inputs'!O25*N18</f>
        <v>0</v>
      </c>
      <c r="O27" s="59">
        <f>N27*'Technology Inputs'!P25*O18</f>
        <v>0</v>
      </c>
      <c r="P27" s="59">
        <f>O27*'Technology Inputs'!Q25*P18</f>
        <v>0</v>
      </c>
      <c r="Q27" s="59">
        <f>P27*'Technology Inputs'!R25*Q18</f>
        <v>0</v>
      </c>
      <c r="R27" s="59">
        <f>Q27*'Technology Inputs'!S25*R18</f>
        <v>0</v>
      </c>
      <c r="S27" s="59">
        <f>R27*'Technology Inputs'!T25*S18</f>
        <v>0</v>
      </c>
      <c r="T27" s="59">
        <f>S27*'Technology Inputs'!U25*T18</f>
        <v>0</v>
      </c>
      <c r="U27" s="59">
        <f>T27*'Technology Inputs'!V25*U18</f>
        <v>0</v>
      </c>
      <c r="V27" s="59">
        <f>U27*'Technology Inputs'!W25*V18</f>
        <v>0</v>
      </c>
      <c r="W27" s="59">
        <f>V27*'Technology Inputs'!X25*W18</f>
        <v>0</v>
      </c>
      <c r="X27" s="59">
        <f>W27*'Technology Inputs'!Y25*X18</f>
        <v>0</v>
      </c>
      <c r="Y27" s="59">
        <f t="shared" si="1"/>
        <v>0</v>
      </c>
    </row>
    <row r="28" spans="3:25" x14ac:dyDescent="0.25">
      <c r="C28" s="58" t="s">
        <v>54</v>
      </c>
      <c r="D28" s="59">
        <f>'Project Data Input'!E21</f>
        <v>0</v>
      </c>
      <c r="E28" s="59">
        <f>'Project Data Input'!F21*E$18</f>
        <v>0</v>
      </c>
      <c r="F28" s="59">
        <f>'Project Data Input'!G21*F18</f>
        <v>0</v>
      </c>
      <c r="G28" s="59">
        <f>'Project Data Input'!H21*G18</f>
        <v>0</v>
      </c>
      <c r="H28" s="59">
        <f>'Project Data Input'!I21*H18</f>
        <v>0</v>
      </c>
      <c r="I28" s="59">
        <f>'Project Data Input'!J21*I18</f>
        <v>0</v>
      </c>
      <c r="J28" s="59">
        <f>'Project Data Input'!K21*J18</f>
        <v>0</v>
      </c>
      <c r="K28" s="59">
        <f>'Project Data Input'!L21*K18</f>
        <v>0</v>
      </c>
      <c r="L28" s="59">
        <f>'Project Data Input'!M21*L18</f>
        <v>0</v>
      </c>
      <c r="M28" s="59">
        <f>'Project Data Input'!N21*M18</f>
        <v>0</v>
      </c>
      <c r="N28" s="59">
        <f>'Project Data Input'!O21*N18</f>
        <v>0</v>
      </c>
      <c r="O28" s="59">
        <f>'Project Data Input'!P21*O18</f>
        <v>0</v>
      </c>
      <c r="P28" s="59">
        <f>'Project Data Input'!Q21*P18</f>
        <v>0</v>
      </c>
      <c r="Q28" s="59">
        <f>'Project Data Input'!R21*Q18</f>
        <v>0</v>
      </c>
      <c r="R28" s="59">
        <f>'Project Data Input'!S21*R18</f>
        <v>0</v>
      </c>
      <c r="S28" s="59">
        <f>'Project Data Input'!T21*S18</f>
        <v>0</v>
      </c>
      <c r="T28" s="59">
        <f>'Project Data Input'!U21*T18</f>
        <v>0</v>
      </c>
      <c r="U28" s="59">
        <f>'Project Data Input'!V21*U18</f>
        <v>0</v>
      </c>
      <c r="V28" s="59">
        <f>'Project Data Input'!W21*V18</f>
        <v>0</v>
      </c>
      <c r="W28" s="59">
        <f>'Project Data Input'!X21*W18</f>
        <v>0</v>
      </c>
      <c r="X28" s="59">
        <f>'Project Data Input'!Y21*X18</f>
        <v>0</v>
      </c>
      <c r="Y28" s="59">
        <f t="shared" si="1"/>
        <v>0</v>
      </c>
    </row>
    <row r="29" spans="3:25" ht="15.75" thickBot="1" x14ac:dyDescent="0.3">
      <c r="C29" s="58" t="s">
        <v>122</v>
      </c>
      <c r="D29" s="125">
        <f>((SUM('Option C Outcome'!D32:D34))*'Technology Inputs'!E31)+(D31*'Technology Inputs'!E30)</f>
        <v>0</v>
      </c>
      <c r="E29" s="125">
        <f>((SUM('Option C Outcome'!E32:E34))*'Technology Inputs'!F31)+(E31*'Technology Inputs'!F30)</f>
        <v>0</v>
      </c>
      <c r="F29" s="125">
        <f>((SUM('Option C Outcome'!F32:F34))*'Technology Inputs'!G31)+(F31*'Technology Inputs'!G30)</f>
        <v>0</v>
      </c>
      <c r="G29" s="125">
        <f>((SUM('Option C Outcome'!G32:G34))*'Technology Inputs'!H31)+(G31*'Technology Inputs'!H30)</f>
        <v>0</v>
      </c>
      <c r="H29" s="125">
        <f>((SUM('Option C Outcome'!H32:H34))*'Technology Inputs'!I31)+(H31*'Technology Inputs'!I30)</f>
        <v>0</v>
      </c>
      <c r="I29" s="125">
        <f>((SUM('Option C Outcome'!I32:I34))*'Technology Inputs'!J31)+(I31*'Technology Inputs'!J30)</f>
        <v>0</v>
      </c>
      <c r="J29" s="125">
        <f>((SUM('Option C Outcome'!J32:J34))*'Technology Inputs'!K31)+(J31*'Technology Inputs'!K30)</f>
        <v>0</v>
      </c>
      <c r="K29" s="125">
        <f>((SUM('Option C Outcome'!K32:K34))*'Technology Inputs'!L31)+(K31*'Technology Inputs'!L30)</f>
        <v>0</v>
      </c>
      <c r="L29" s="125">
        <f>((SUM('Option C Outcome'!L32:L34))*'Technology Inputs'!M31)+(L31*'Technology Inputs'!M30)</f>
        <v>0</v>
      </c>
      <c r="M29" s="125">
        <f>((SUM('Option C Outcome'!M32:M34))*'Technology Inputs'!N31)+(M31*'Technology Inputs'!N30)</f>
        <v>0</v>
      </c>
      <c r="N29" s="125">
        <f>((SUM('Option C Outcome'!N32:N34))*'Technology Inputs'!O31)+(N31*'Technology Inputs'!O30)</f>
        <v>0</v>
      </c>
      <c r="O29" s="125">
        <f>((SUM('Option C Outcome'!O32:O34))*'Technology Inputs'!P31)+(O31*'Technology Inputs'!P30)</f>
        <v>0</v>
      </c>
      <c r="P29" s="125">
        <f>((SUM('Option C Outcome'!P32:P34))*'Technology Inputs'!Q31)+(P31*'Technology Inputs'!Q30)</f>
        <v>0</v>
      </c>
      <c r="Q29" s="125">
        <f>((SUM('Option C Outcome'!Q32:Q34))*'Technology Inputs'!R31)+(Q31*'Technology Inputs'!R30)</f>
        <v>0</v>
      </c>
      <c r="R29" s="125">
        <f>((SUM('Option C Outcome'!R32:R34))*'Technology Inputs'!S31)+(R31*'Technology Inputs'!S30)</f>
        <v>0</v>
      </c>
      <c r="S29" s="125">
        <f>((SUM('Option C Outcome'!S32:S34))*'Technology Inputs'!T31)+(S31*'Technology Inputs'!T30)</f>
        <v>0</v>
      </c>
      <c r="T29" s="125">
        <f>((SUM('Option C Outcome'!T32:T34))*'Technology Inputs'!U31)+(T31*'Technology Inputs'!U30)</f>
        <v>0</v>
      </c>
      <c r="U29" s="125">
        <f>((SUM('Option C Outcome'!U32:U34))*'Technology Inputs'!V31)+(U31*'Technology Inputs'!V30)</f>
        <v>0</v>
      </c>
      <c r="V29" s="125">
        <f>((SUM('Option C Outcome'!V32:V34))*'Technology Inputs'!W31)+(V31*'Technology Inputs'!W30)</f>
        <v>0</v>
      </c>
      <c r="W29" s="125">
        <f>((SUM('Option C Outcome'!W32:W34))*'Technology Inputs'!X31)+(W31*'Technology Inputs'!X30)</f>
        <v>0</v>
      </c>
      <c r="X29" s="125">
        <f>((SUM('Option C Outcome'!X32:X34))*'Technology Inputs'!Y31)+(X31*'Technology Inputs'!Y30)</f>
        <v>0</v>
      </c>
      <c r="Y29" s="59">
        <f t="shared" si="1"/>
        <v>0</v>
      </c>
    </row>
    <row r="30" spans="3:25" x14ac:dyDescent="0.25">
      <c r="C30" s="55" t="s">
        <v>123</v>
      </c>
      <c r="D30" s="56"/>
      <c r="E30" s="56"/>
      <c r="F30" s="56"/>
      <c r="G30" s="56"/>
      <c r="H30" s="56"/>
      <c r="I30" s="56"/>
      <c r="J30" s="56"/>
      <c r="K30" s="56"/>
      <c r="L30" s="56"/>
      <c r="M30" s="56"/>
      <c r="N30" s="56"/>
      <c r="O30" s="56"/>
      <c r="P30" s="56"/>
      <c r="Q30" s="56"/>
      <c r="R30" s="56"/>
      <c r="S30" s="56"/>
      <c r="T30" s="56"/>
      <c r="U30" s="56"/>
      <c r="V30" s="56"/>
      <c r="W30" s="56"/>
      <c r="X30" s="57"/>
      <c r="Y30" s="57">
        <f t="shared" si="1"/>
        <v>0</v>
      </c>
    </row>
    <row r="31" spans="3:25" x14ac:dyDescent="0.25">
      <c r="C31" s="58" t="s">
        <v>124</v>
      </c>
      <c r="D31" s="108">
        <f>'Project Data Input'!$D$14*'Technology Inputs'!E6/1000*Elec_sales_kWh</f>
        <v>0</v>
      </c>
      <c r="E31" s="108">
        <f>'Project Data Input'!$D$14*'Technology Inputs'!F$6/1000*E$18</f>
        <v>0</v>
      </c>
      <c r="F31" s="108">
        <f>'Project Data Input'!$D$14*'Technology Inputs'!G6/1000*F18</f>
        <v>0</v>
      </c>
      <c r="G31" s="108">
        <f>'Project Data Input'!$D$14*'Technology Inputs'!H6/1000*G18</f>
        <v>0</v>
      </c>
      <c r="H31" s="108">
        <f>'Project Data Input'!$D$14*'Technology Inputs'!I6/1000*H18</f>
        <v>0</v>
      </c>
      <c r="I31" s="108">
        <f>'Project Data Input'!$D$14*'Technology Inputs'!J6/1000*I18</f>
        <v>0</v>
      </c>
      <c r="J31" s="108">
        <f>'Project Data Input'!$D$14*'Technology Inputs'!K6/1000*J18</f>
        <v>0</v>
      </c>
      <c r="K31" s="108">
        <f>'Project Data Input'!$D$14*'Technology Inputs'!L6/1000*K18</f>
        <v>0</v>
      </c>
      <c r="L31" s="108">
        <f>'Project Data Input'!$D$14*'Technology Inputs'!M6/1000*L18</f>
        <v>0</v>
      </c>
      <c r="M31" s="108">
        <f>'Project Data Input'!$D$14*'Technology Inputs'!N6/1000*M18</f>
        <v>0</v>
      </c>
      <c r="N31" s="108">
        <f>'Project Data Input'!$D$14*'Technology Inputs'!O6/1000*N18</f>
        <v>0</v>
      </c>
      <c r="O31" s="108">
        <f>'Project Data Input'!$D$14*'Technology Inputs'!P6/1000*O18</f>
        <v>0</v>
      </c>
      <c r="P31" s="108">
        <f>'Project Data Input'!$D$14*'Technology Inputs'!Q6/1000*P18</f>
        <v>0</v>
      </c>
      <c r="Q31" s="108">
        <f>'Project Data Input'!$D$14*'Technology Inputs'!R6/1000*Q18</f>
        <v>0</v>
      </c>
      <c r="R31" s="108">
        <f>'Project Data Input'!$D$14*'Technology Inputs'!S6/1000*R18</f>
        <v>0</v>
      </c>
      <c r="S31" s="108">
        <f>'Project Data Input'!$D$14*'Technology Inputs'!T6/1000*S18</f>
        <v>0</v>
      </c>
      <c r="T31" s="108">
        <f>'Project Data Input'!$D$14*'Technology Inputs'!U6/1000*T18</f>
        <v>0</v>
      </c>
      <c r="U31" s="108">
        <f>'Project Data Input'!$D$14*'Technology Inputs'!V6/1000*U18</f>
        <v>0</v>
      </c>
      <c r="V31" s="108">
        <f>'Project Data Input'!$D$14*'Technology Inputs'!W6/1000*V18</f>
        <v>0</v>
      </c>
      <c r="W31" s="108">
        <f>'Project Data Input'!$D$14*'Technology Inputs'!X6/1000*W18</f>
        <v>0</v>
      </c>
      <c r="X31" s="108">
        <f>'Project Data Input'!$D$14*'Technology Inputs'!Y6/1000*X18</f>
        <v>0</v>
      </c>
      <c r="Y31" s="108">
        <f t="shared" si="1"/>
        <v>0</v>
      </c>
    </row>
    <row r="32" spans="3:25" x14ac:dyDescent="0.25">
      <c r="C32" s="58" t="s">
        <v>125</v>
      </c>
      <c r="D32" s="108">
        <f>'Project Data Input'!$D$15*'Technology Inputs'!E7/1000*Elec_sales_kWh</f>
        <v>0</v>
      </c>
      <c r="E32" s="108">
        <f>'Project Data Input'!$D$15*'Technology Inputs'!F$7/1000*E$18</f>
        <v>0</v>
      </c>
      <c r="F32" s="108">
        <f>'Project Data Input'!$D$15*'Technology Inputs'!G7/1000*F18</f>
        <v>0</v>
      </c>
      <c r="G32" s="108">
        <f>'Project Data Input'!$D$15*'Technology Inputs'!H7/1000*G18</f>
        <v>0</v>
      </c>
      <c r="H32" s="108">
        <f>'Project Data Input'!$D$15*'Technology Inputs'!I7/1000*H18</f>
        <v>0</v>
      </c>
      <c r="I32" s="108">
        <f>'Project Data Input'!$D$15*'Technology Inputs'!J7/1000*I18</f>
        <v>0</v>
      </c>
      <c r="J32" s="108">
        <f>'Project Data Input'!$D$15*'Technology Inputs'!K7/1000*J18</f>
        <v>0</v>
      </c>
      <c r="K32" s="108">
        <f>'Project Data Input'!$D$15*'Technology Inputs'!L7/1000*K18</f>
        <v>0</v>
      </c>
      <c r="L32" s="108">
        <f>'Project Data Input'!$D$15*'Technology Inputs'!M7/1000*L18</f>
        <v>0</v>
      </c>
      <c r="M32" s="108">
        <f>'Project Data Input'!$D$15*'Technology Inputs'!N7/1000*M18</f>
        <v>0</v>
      </c>
      <c r="N32" s="108">
        <f>'Project Data Input'!$D$15*'Technology Inputs'!O7/1000*N18</f>
        <v>0</v>
      </c>
      <c r="O32" s="108">
        <f>'Project Data Input'!$D$15*'Technology Inputs'!P7/1000*O18</f>
        <v>0</v>
      </c>
      <c r="P32" s="108">
        <f>'Project Data Input'!$D$15*'Technology Inputs'!Q7/1000*P18</f>
        <v>0</v>
      </c>
      <c r="Q32" s="108">
        <f>'Project Data Input'!$D$15*'Technology Inputs'!R7/1000*Q18</f>
        <v>0</v>
      </c>
      <c r="R32" s="108">
        <f>'Project Data Input'!$D$15*'Technology Inputs'!S7/1000*R18</f>
        <v>0</v>
      </c>
      <c r="S32" s="108">
        <f>'Project Data Input'!$D$15*'Technology Inputs'!T7/1000*S18</f>
        <v>0</v>
      </c>
      <c r="T32" s="108">
        <f>'Project Data Input'!$D$15*'Technology Inputs'!U7/1000*T18</f>
        <v>0</v>
      </c>
      <c r="U32" s="108">
        <f>'Project Data Input'!$D$15*'Technology Inputs'!V7/1000*U18</f>
        <v>0</v>
      </c>
      <c r="V32" s="108">
        <f>'Project Data Input'!$D$15*'Technology Inputs'!W7/1000*V18</f>
        <v>0</v>
      </c>
      <c r="W32" s="108">
        <f>'Project Data Input'!$D$15*'Technology Inputs'!X7/1000*W18</f>
        <v>0</v>
      </c>
      <c r="X32" s="108">
        <f>'Project Data Input'!$D$15*'Technology Inputs'!Y7/1000*X18</f>
        <v>0</v>
      </c>
      <c r="Y32" s="108">
        <f t="shared" si="1"/>
        <v>0</v>
      </c>
    </row>
    <row r="33" spans="3:25" x14ac:dyDescent="0.25">
      <c r="C33" s="58" t="str">
        <f>""&amp;'Project Data Input'!$C$16&amp;" emissions"</f>
        <v>Fuel oil emissions</v>
      </c>
      <c r="D33" s="108">
        <f>'Project Data Input'!$D$16*'Technology Inputs'!E9/1000*Elec_sales_kWh</f>
        <v>0</v>
      </c>
      <c r="E33" s="108">
        <f>'Project Data Input'!$D$16*'Technology Inputs'!F$9/1000*E$18</f>
        <v>0</v>
      </c>
      <c r="F33" s="108">
        <f>'Project Data Input'!$D$16*'Technology Inputs'!G9/1000*F18</f>
        <v>0</v>
      </c>
      <c r="G33" s="108">
        <f>'Project Data Input'!$D$16*'Technology Inputs'!H9/1000*G18</f>
        <v>0</v>
      </c>
      <c r="H33" s="108">
        <f>'Project Data Input'!$D$16*'Technology Inputs'!I9/1000*H18</f>
        <v>0</v>
      </c>
      <c r="I33" s="108">
        <f>'Project Data Input'!$D$16*'Technology Inputs'!J9/1000*I18</f>
        <v>0</v>
      </c>
      <c r="J33" s="108">
        <f>'Project Data Input'!$D$16*'Technology Inputs'!K9/1000*J18</f>
        <v>0</v>
      </c>
      <c r="K33" s="108">
        <f>'Project Data Input'!$D$16*'Technology Inputs'!L9/1000*K18</f>
        <v>0</v>
      </c>
      <c r="L33" s="108">
        <f>'Project Data Input'!$D$16*'Technology Inputs'!M9/1000*L18</f>
        <v>0</v>
      </c>
      <c r="M33" s="108">
        <f>'Project Data Input'!$D$16*'Technology Inputs'!N9/1000*M18</f>
        <v>0</v>
      </c>
      <c r="N33" s="108">
        <f>'Project Data Input'!$D$16*'Technology Inputs'!O9/1000*N18</f>
        <v>0</v>
      </c>
      <c r="O33" s="108">
        <f>'Project Data Input'!$D$16*'Technology Inputs'!P9/1000*O18</f>
        <v>0</v>
      </c>
      <c r="P33" s="108">
        <f>'Project Data Input'!$D$16*'Technology Inputs'!Q9/1000*P18</f>
        <v>0</v>
      </c>
      <c r="Q33" s="108">
        <f>'Project Data Input'!$D$16*'Technology Inputs'!R9/1000*Q18</f>
        <v>0</v>
      </c>
      <c r="R33" s="108">
        <f>'Project Data Input'!$D$16*'Technology Inputs'!S9/1000*R18</f>
        <v>0</v>
      </c>
      <c r="S33" s="108">
        <f>'Project Data Input'!$D$16*'Technology Inputs'!T9/1000*S18</f>
        <v>0</v>
      </c>
      <c r="T33" s="108">
        <f>'Project Data Input'!$D$16*'Technology Inputs'!U9/1000*T18</f>
        <v>0</v>
      </c>
      <c r="U33" s="108">
        <f>'Project Data Input'!$D$16*'Technology Inputs'!V9/1000*U18</f>
        <v>0</v>
      </c>
      <c r="V33" s="108">
        <f>'Project Data Input'!$D$16*'Technology Inputs'!W9/1000*V18</f>
        <v>0</v>
      </c>
      <c r="W33" s="108">
        <f>'Project Data Input'!$D$16*'Technology Inputs'!X9/1000*W18</f>
        <v>0</v>
      </c>
      <c r="X33" s="108">
        <f>'Project Data Input'!$D$16*'Technology Inputs'!Y9/1000*X18</f>
        <v>0</v>
      </c>
      <c r="Y33" s="108">
        <f t="shared" si="1"/>
        <v>0</v>
      </c>
    </row>
    <row r="34" spans="3:25" x14ac:dyDescent="0.25">
      <c r="C34" s="58" t="str">
        <f>""&amp;'Project Data Input'!$C$17&amp;" Emissions"</f>
        <v>Burning oil Emissions</v>
      </c>
      <c r="D34" s="108">
        <f>'Project Data Input'!$D$17*'Technology Inputs'!E13/1000*Elec_sales_kWh</f>
        <v>0</v>
      </c>
      <c r="E34" s="108">
        <f>'Project Data Input'!$D$17*'Technology Inputs'!F$13/1000*E$18</f>
        <v>0</v>
      </c>
      <c r="F34" s="108">
        <f>'Project Data Input'!$D$17*'Technology Inputs'!G13/1000*F18</f>
        <v>0</v>
      </c>
      <c r="G34" s="108">
        <f>'Project Data Input'!$D$17*'Technology Inputs'!H13/1000*G18</f>
        <v>0</v>
      </c>
      <c r="H34" s="108">
        <f>'Project Data Input'!$D$17*'Technology Inputs'!I13/1000*H18</f>
        <v>0</v>
      </c>
      <c r="I34" s="108">
        <f>'Project Data Input'!$D$17*'Technology Inputs'!J13/1000*I18</f>
        <v>0</v>
      </c>
      <c r="J34" s="108">
        <f>'Project Data Input'!$D$17*'Technology Inputs'!K13/1000*J18</f>
        <v>0</v>
      </c>
      <c r="K34" s="108">
        <f>'Project Data Input'!$D$17*'Technology Inputs'!L13/1000*K18</f>
        <v>0</v>
      </c>
      <c r="L34" s="108">
        <f>'Project Data Input'!$D$17*'Technology Inputs'!M13/1000*L18</f>
        <v>0</v>
      </c>
      <c r="M34" s="108">
        <f>'Project Data Input'!$D$17*'Technology Inputs'!N13/1000*M18</f>
        <v>0</v>
      </c>
      <c r="N34" s="108">
        <f>'Project Data Input'!$D$17*'Technology Inputs'!O13/1000*N18</f>
        <v>0</v>
      </c>
      <c r="O34" s="108">
        <f>'Project Data Input'!$D$17*'Technology Inputs'!P13/1000*O18</f>
        <v>0</v>
      </c>
      <c r="P34" s="108">
        <f>'Project Data Input'!$D$17*'Technology Inputs'!Q13/1000*P18</f>
        <v>0</v>
      </c>
      <c r="Q34" s="108">
        <f>'Project Data Input'!$D$17*'Technology Inputs'!R13/1000*Q18</f>
        <v>0</v>
      </c>
      <c r="R34" s="108">
        <f>'Project Data Input'!$D$17*'Technology Inputs'!S13/1000*R18</f>
        <v>0</v>
      </c>
      <c r="S34" s="108">
        <f>'Project Data Input'!$D$17*'Technology Inputs'!T13/1000*S18</f>
        <v>0</v>
      </c>
      <c r="T34" s="108">
        <f>'Project Data Input'!$D$17*'Technology Inputs'!U13/1000*T18</f>
        <v>0</v>
      </c>
      <c r="U34" s="108">
        <f>'Project Data Input'!$D$17*'Technology Inputs'!V13/1000*U18</f>
        <v>0</v>
      </c>
      <c r="V34" s="108">
        <f>'Project Data Input'!$D$17*'Technology Inputs'!W13/1000*V18</f>
        <v>0</v>
      </c>
      <c r="W34" s="108">
        <f>'Project Data Input'!$D$17*'Technology Inputs'!X13/1000*W18</f>
        <v>0</v>
      </c>
      <c r="X34" s="108">
        <f>'Project Data Input'!$D$17*'Technology Inputs'!Y13/1000*X18</f>
        <v>0</v>
      </c>
      <c r="Y34" s="108">
        <f t="shared" si="1"/>
        <v>0</v>
      </c>
    </row>
    <row r="35" spans="3:25" ht="15.75" thickBot="1" x14ac:dyDescent="0.3">
      <c r="C35" s="52"/>
      <c r="D35" s="137"/>
      <c r="E35" s="54"/>
      <c r="F35" s="54"/>
      <c r="G35" s="54"/>
      <c r="H35" s="54"/>
      <c r="I35" s="54"/>
      <c r="J35" s="54"/>
      <c r="K35" s="54"/>
      <c r="L35" s="54"/>
      <c r="M35" s="54"/>
      <c r="N35" s="54"/>
      <c r="O35" s="54"/>
      <c r="P35" s="54"/>
      <c r="Q35" s="54"/>
      <c r="R35" s="54"/>
      <c r="S35" s="54"/>
      <c r="T35" s="54"/>
      <c r="U35" s="54"/>
      <c r="V35" s="54"/>
      <c r="W35" s="54"/>
      <c r="X35" s="54"/>
      <c r="Y35" s="54">
        <f t="shared" si="1"/>
        <v>0</v>
      </c>
    </row>
    <row r="36" spans="3:25" x14ac:dyDescent="0.25">
      <c r="C36" s="55" t="s">
        <v>126</v>
      </c>
      <c r="D36" s="56"/>
      <c r="E36" s="56"/>
      <c r="F36" s="56"/>
      <c r="G36" s="56"/>
      <c r="H36" s="56"/>
      <c r="I36" s="56"/>
      <c r="J36" s="56"/>
      <c r="K36" s="56"/>
      <c r="L36" s="56"/>
      <c r="M36" s="56"/>
      <c r="N36" s="56"/>
      <c r="O36" s="56"/>
      <c r="P36" s="56"/>
      <c r="Q36" s="56"/>
      <c r="R36" s="56"/>
      <c r="S36" s="56"/>
      <c r="T36" s="56"/>
      <c r="U36" s="56"/>
      <c r="V36" s="56"/>
      <c r="W36" s="56"/>
      <c r="X36" s="57"/>
      <c r="Y36" s="57">
        <f t="shared" si="1"/>
        <v>0</v>
      </c>
    </row>
    <row r="37" spans="3:25" x14ac:dyDescent="0.25">
      <c r="C37" s="58" t="s">
        <v>127</v>
      </c>
      <c r="D37" s="59">
        <f>('Project Data Input'!D14-'Option C'!O16)*'Project Data Input'!F14</f>
        <v>0</v>
      </c>
      <c r="E37" s="59">
        <f>D37*'Technology Inputs'!F$18*E$18</f>
        <v>0</v>
      </c>
      <c r="F37" s="59">
        <f>E37*'Technology Inputs'!G$18*F$18</f>
        <v>0</v>
      </c>
      <c r="G37" s="59">
        <f>F37*'Technology Inputs'!H$18*G$18</f>
        <v>0</v>
      </c>
      <c r="H37" s="59">
        <f>G37*'Technology Inputs'!I$18*H$18</f>
        <v>0</v>
      </c>
      <c r="I37" s="59">
        <f>H37*'Technology Inputs'!J$18*I$18</f>
        <v>0</v>
      </c>
      <c r="J37" s="59">
        <f>I37*'Technology Inputs'!K$18*J$18</f>
        <v>0</v>
      </c>
      <c r="K37" s="59">
        <f>J37*'Technology Inputs'!L$18*K$18</f>
        <v>0</v>
      </c>
      <c r="L37" s="59">
        <f>K37*'Technology Inputs'!M$18*L$18</f>
        <v>0</v>
      </c>
      <c r="M37" s="59">
        <f>L37*'Technology Inputs'!N$18*M$18</f>
        <v>0</v>
      </c>
      <c r="N37" s="59">
        <f>M37*'Technology Inputs'!O$18*N$18</f>
        <v>0</v>
      </c>
      <c r="O37" s="59">
        <f>N37*'Technology Inputs'!P$18*O$18</f>
        <v>0</v>
      </c>
      <c r="P37" s="59">
        <f>O37*'Technology Inputs'!Q$18*P$18</f>
        <v>0</v>
      </c>
      <c r="Q37" s="59">
        <f>P37*'Technology Inputs'!R$18*Q$18</f>
        <v>0</v>
      </c>
      <c r="R37" s="59">
        <f>Q37*'Technology Inputs'!S$18*R$18</f>
        <v>0</v>
      </c>
      <c r="S37" s="59">
        <f>R37*'Technology Inputs'!T$18*S$18</f>
        <v>0</v>
      </c>
      <c r="T37" s="59">
        <f>S37*'Technology Inputs'!U$18*T$18</f>
        <v>0</v>
      </c>
      <c r="U37" s="59">
        <f>T37*'Technology Inputs'!V$18*U$18</f>
        <v>0</v>
      </c>
      <c r="V37" s="59">
        <f>U37*'Technology Inputs'!W$18*V$18</f>
        <v>0</v>
      </c>
      <c r="W37" s="59">
        <f>V37*'Technology Inputs'!X$18*W$18</f>
        <v>0</v>
      </c>
      <c r="X37" s="59">
        <f>W37*'Technology Inputs'!Y$18*X$18</f>
        <v>0</v>
      </c>
      <c r="Y37" s="59">
        <f t="shared" si="1"/>
        <v>0</v>
      </c>
    </row>
    <row r="38" spans="3:25" x14ac:dyDescent="0.25">
      <c r="C38" s="58" t="s">
        <v>128</v>
      </c>
      <c r="D38" s="59">
        <f>('Project Data Input'!D15-'Option C'!Q16)*'Project Data Input'!F15</f>
        <v>0</v>
      </c>
      <c r="E38" s="59">
        <f>D38*'Technology Inputs'!F$19*E$18</f>
        <v>0</v>
      </c>
      <c r="F38" s="59">
        <f>E38*'Technology Inputs'!G$19*F$18</f>
        <v>0</v>
      </c>
      <c r="G38" s="59">
        <f>F38*'Technology Inputs'!H$19*G$18</f>
        <v>0</v>
      </c>
      <c r="H38" s="59">
        <f>G38*'Technology Inputs'!I$19*H$18</f>
        <v>0</v>
      </c>
      <c r="I38" s="59">
        <f>H38*'Technology Inputs'!J$19*I$18</f>
        <v>0</v>
      </c>
      <c r="J38" s="59">
        <f>I38*'Technology Inputs'!K$19*J$18</f>
        <v>0</v>
      </c>
      <c r="K38" s="59">
        <f>J38*'Technology Inputs'!L$19*K$18</f>
        <v>0</v>
      </c>
      <c r="L38" s="59">
        <f>K38*'Technology Inputs'!M$19*L$18</f>
        <v>0</v>
      </c>
      <c r="M38" s="59">
        <f>L38*'Technology Inputs'!N$19*M$18</f>
        <v>0</v>
      </c>
      <c r="N38" s="59">
        <f>M38*'Technology Inputs'!O$19*N$18</f>
        <v>0</v>
      </c>
      <c r="O38" s="59">
        <f>N38*'Technology Inputs'!P$19*O$18</f>
        <v>0</v>
      </c>
      <c r="P38" s="59">
        <f>O38*'Technology Inputs'!Q$19*P$18</f>
        <v>0</v>
      </c>
      <c r="Q38" s="59">
        <f>P38*'Technology Inputs'!R$19*Q$18</f>
        <v>0</v>
      </c>
      <c r="R38" s="59">
        <f>Q38*'Technology Inputs'!S$19*R$18</f>
        <v>0</v>
      </c>
      <c r="S38" s="59">
        <f>R38*'Technology Inputs'!T$19*S$18</f>
        <v>0</v>
      </c>
      <c r="T38" s="59">
        <f>S38*'Technology Inputs'!U$19*T$18</f>
        <v>0</v>
      </c>
      <c r="U38" s="59">
        <f>T38*'Technology Inputs'!V$19*U$18</f>
        <v>0</v>
      </c>
      <c r="V38" s="59">
        <f>U38*'Technology Inputs'!W$19*V$18</f>
        <v>0</v>
      </c>
      <c r="W38" s="59">
        <f>V38*'Technology Inputs'!X$19*W$18</f>
        <v>0</v>
      </c>
      <c r="X38" s="59">
        <f>W38*'Technology Inputs'!Y$19*X$18</f>
        <v>0</v>
      </c>
      <c r="Y38" s="59">
        <f t="shared" si="1"/>
        <v>0</v>
      </c>
    </row>
    <row r="39" spans="3:25" x14ac:dyDescent="0.25">
      <c r="C39" s="58" t="str">
        <f>""&amp;'Project Data Input'!$C$16&amp;" "</f>
        <v xml:space="preserve">Fuel oil </v>
      </c>
      <c r="D39" s="59">
        <f>('Project Data Input'!D16-'Option C'!S16)*'Project Data Input'!F16</f>
        <v>0</v>
      </c>
      <c r="E39" s="59">
        <f>D39*'Technology Inputs'!F$20*E$18</f>
        <v>0</v>
      </c>
      <c r="F39" s="59">
        <f>E39*'Technology Inputs'!G$20*F$18</f>
        <v>0</v>
      </c>
      <c r="G39" s="59">
        <f>F39*'Technology Inputs'!H$20*G$18</f>
        <v>0</v>
      </c>
      <c r="H39" s="59">
        <f>G39*'Technology Inputs'!I$20*H$18</f>
        <v>0</v>
      </c>
      <c r="I39" s="59">
        <f>H39*'Technology Inputs'!J$20*I$18</f>
        <v>0</v>
      </c>
      <c r="J39" s="59">
        <f>I39*'Technology Inputs'!K$20*J$18</f>
        <v>0</v>
      </c>
      <c r="K39" s="59">
        <f>J39*'Technology Inputs'!L$20*K$18</f>
        <v>0</v>
      </c>
      <c r="L39" s="59">
        <f>K39*'Technology Inputs'!M$20*L$18</f>
        <v>0</v>
      </c>
      <c r="M39" s="59">
        <f>L39*'Technology Inputs'!N$20*M$18</f>
        <v>0</v>
      </c>
      <c r="N39" s="59">
        <f>M39*'Technology Inputs'!O$20*N$18</f>
        <v>0</v>
      </c>
      <c r="O39" s="59">
        <f>N39*'Technology Inputs'!P$20*O$18</f>
        <v>0</v>
      </c>
      <c r="P39" s="59">
        <f>O39*'Technology Inputs'!Q$20*P$18</f>
        <v>0</v>
      </c>
      <c r="Q39" s="59">
        <f>P39*'Technology Inputs'!R$20*Q$18</f>
        <v>0</v>
      </c>
      <c r="R39" s="59">
        <f>Q39*'Technology Inputs'!S$20*R$18</f>
        <v>0</v>
      </c>
      <c r="S39" s="59">
        <f>R39*'Technology Inputs'!T$20*S$18</f>
        <v>0</v>
      </c>
      <c r="T39" s="59">
        <f>S39*'Technology Inputs'!U$20*T$18</f>
        <v>0</v>
      </c>
      <c r="U39" s="59">
        <f>T39*'Technology Inputs'!V$20*U$18</f>
        <v>0</v>
      </c>
      <c r="V39" s="59">
        <f>U39*'Technology Inputs'!W$20*V$18</f>
        <v>0</v>
      </c>
      <c r="W39" s="59">
        <f>V39*'Technology Inputs'!X$20*W$18</f>
        <v>0</v>
      </c>
      <c r="X39" s="59">
        <f>W39*'Technology Inputs'!Y$20*X$18</f>
        <v>0</v>
      </c>
      <c r="Y39" s="59">
        <f t="shared" si="1"/>
        <v>0</v>
      </c>
    </row>
    <row r="40" spans="3:25" x14ac:dyDescent="0.25">
      <c r="C40" s="58" t="str">
        <f>""&amp;'Project Data Input'!$C$17&amp;" "</f>
        <v xml:space="preserve">Burning oil </v>
      </c>
      <c r="D40" s="59">
        <f>('Project Data Input'!D17-'Option C'!U16)*'Project Data Input'!F17</f>
        <v>0</v>
      </c>
      <c r="E40" s="59">
        <f>D40*'Technology Inputs'!F$25*E$18</f>
        <v>0</v>
      </c>
      <c r="F40" s="59">
        <f>E40*'Technology Inputs'!G$25*F$18</f>
        <v>0</v>
      </c>
      <c r="G40" s="59">
        <f>F40*'Technology Inputs'!H$25*G$18</f>
        <v>0</v>
      </c>
      <c r="H40" s="59">
        <f>G40*'Technology Inputs'!I$25*H$18</f>
        <v>0</v>
      </c>
      <c r="I40" s="59">
        <f>H40*'Technology Inputs'!J$25*I$18</f>
        <v>0</v>
      </c>
      <c r="J40" s="59">
        <f>I40*'Technology Inputs'!K$25*J$18</f>
        <v>0</v>
      </c>
      <c r="K40" s="59">
        <f>J40*'Technology Inputs'!L$25*K$18</f>
        <v>0</v>
      </c>
      <c r="L40" s="59">
        <f>K40*'Technology Inputs'!M$25*L$18</f>
        <v>0</v>
      </c>
      <c r="M40" s="59">
        <f>L40*'Technology Inputs'!N$25*M$18</f>
        <v>0</v>
      </c>
      <c r="N40" s="59">
        <f>M40*'Technology Inputs'!O$25*N$18</f>
        <v>0</v>
      </c>
      <c r="O40" s="59">
        <f>N40*'Technology Inputs'!P$25*O$18</f>
        <v>0</v>
      </c>
      <c r="P40" s="59">
        <f>O40*'Technology Inputs'!Q$25*P$18</f>
        <v>0</v>
      </c>
      <c r="Q40" s="59">
        <f>P40*'Technology Inputs'!R$25*Q$18</f>
        <v>0</v>
      </c>
      <c r="R40" s="59">
        <f>Q40*'Technology Inputs'!S$25*R$18</f>
        <v>0</v>
      </c>
      <c r="S40" s="59">
        <f>R40*'Technology Inputs'!T$25*S$18</f>
        <v>0</v>
      </c>
      <c r="T40" s="59">
        <f>S40*'Technology Inputs'!U$25*T$18</f>
        <v>0</v>
      </c>
      <c r="U40" s="59">
        <f>T40*'Technology Inputs'!V$25*U$18</f>
        <v>0</v>
      </c>
      <c r="V40" s="59">
        <f>U40*'Technology Inputs'!W$25*V$18</f>
        <v>0</v>
      </c>
      <c r="W40" s="59">
        <f>V40*'Technology Inputs'!X$25*W$18</f>
        <v>0</v>
      </c>
      <c r="X40" s="59">
        <f>W40*'Technology Inputs'!Y$25*X$18</f>
        <v>0</v>
      </c>
      <c r="Y40" s="59">
        <f t="shared" si="1"/>
        <v>0</v>
      </c>
    </row>
    <row r="41" spans="3:25" x14ac:dyDescent="0.25">
      <c r="C41" s="58" t="s">
        <v>129</v>
      </c>
      <c r="D41" s="62"/>
      <c r="E41" s="62"/>
      <c r="F41" s="62"/>
      <c r="G41" s="62"/>
      <c r="H41" s="62"/>
      <c r="I41" s="62"/>
      <c r="J41" s="62"/>
      <c r="K41" s="62"/>
      <c r="L41" s="62"/>
      <c r="M41" s="62"/>
      <c r="N41" s="62"/>
      <c r="O41" s="62"/>
      <c r="P41" s="62"/>
      <c r="Q41" s="62"/>
      <c r="R41" s="62"/>
      <c r="S41" s="62"/>
      <c r="T41" s="62"/>
      <c r="U41" s="62"/>
      <c r="V41" s="62"/>
      <c r="W41" s="62"/>
      <c r="X41" s="63"/>
      <c r="Y41" s="63">
        <f t="shared" si="1"/>
        <v>0</v>
      </c>
    </row>
    <row r="42" spans="3:25" x14ac:dyDescent="0.25">
      <c r="C42" s="81" t="s">
        <v>130</v>
      </c>
      <c r="D42" s="82">
        <f>SUM('Option C'!M16)</f>
        <v>0</v>
      </c>
      <c r="E42" s="82"/>
      <c r="F42" s="82"/>
      <c r="G42" s="82"/>
      <c r="H42" s="82"/>
      <c r="I42" s="82"/>
      <c r="J42" s="82"/>
      <c r="K42" s="82"/>
      <c r="L42" s="82"/>
      <c r="M42" s="82"/>
      <c r="N42" s="82"/>
      <c r="O42" s="82"/>
      <c r="P42" s="82"/>
      <c r="Q42" s="82"/>
      <c r="R42" s="82"/>
      <c r="S42" s="82"/>
      <c r="T42" s="82"/>
      <c r="U42" s="82"/>
      <c r="V42" s="82"/>
      <c r="W42" s="82"/>
      <c r="X42" s="83"/>
      <c r="Y42" s="83">
        <f t="shared" si="1"/>
        <v>0</v>
      </c>
    </row>
    <row r="43" spans="3:25" x14ac:dyDescent="0.25">
      <c r="C43" s="81" t="s">
        <v>122</v>
      </c>
      <c r="D43" s="82">
        <f>((SUM('Option C Outcome'!D50:D52))*'Technology Inputs'!E31)+((D49)*'Technology Inputs'!E30)</f>
        <v>0</v>
      </c>
      <c r="E43" s="82">
        <f>((SUM('Option C Outcome'!E50:E52))*'Technology Inputs'!F31)+((E49)*'Technology Inputs'!F30)</f>
        <v>0</v>
      </c>
      <c r="F43" s="82">
        <f>((SUM('Option C Outcome'!F50:F52))*'Technology Inputs'!G31)+((F49)*'Technology Inputs'!G30)</f>
        <v>0</v>
      </c>
      <c r="G43" s="82">
        <f>((SUM('Option C Outcome'!G50:G52))*'Technology Inputs'!H31)+((G49)*'Technology Inputs'!H30)</f>
        <v>0</v>
      </c>
      <c r="H43" s="82">
        <f>((SUM('Option C Outcome'!H50:H52))*'Technology Inputs'!I31)+((H49)*'Technology Inputs'!I30)</f>
        <v>0</v>
      </c>
      <c r="I43" s="82">
        <f>((SUM('Option C Outcome'!I50:I52))*'Technology Inputs'!J31)+((I49)*'Technology Inputs'!J30)</f>
        <v>0</v>
      </c>
      <c r="J43" s="82">
        <f>((SUM('Option C Outcome'!J50:J52))*'Technology Inputs'!K31)+((J49)*'Technology Inputs'!K30)</f>
        <v>0</v>
      </c>
      <c r="K43" s="82">
        <f>((SUM('Option C Outcome'!K50:K52))*'Technology Inputs'!L31)+((K49)*'Technology Inputs'!L30)</f>
        <v>0</v>
      </c>
      <c r="L43" s="82">
        <f>((SUM('Option C Outcome'!L50:L52))*'Technology Inputs'!M31)+((L49)*'Technology Inputs'!M30)</f>
        <v>0</v>
      </c>
      <c r="M43" s="82">
        <f>((SUM('Option C Outcome'!M50:M52))*'Technology Inputs'!N31)+((M49)*'Technology Inputs'!N30)</f>
        <v>0</v>
      </c>
      <c r="N43" s="82">
        <f>((SUM('Option C Outcome'!N50:N52))*'Technology Inputs'!O31)+((N49)*'Technology Inputs'!O30)</f>
        <v>0</v>
      </c>
      <c r="O43" s="82">
        <f>((SUM('Option C Outcome'!O50:O52))*'Technology Inputs'!P31)+((O49)*'Technology Inputs'!P30)</f>
        <v>0</v>
      </c>
      <c r="P43" s="82">
        <f>((SUM('Option C Outcome'!P50:P52))*'Technology Inputs'!Q31)+((P49)*'Technology Inputs'!Q30)</f>
        <v>0</v>
      </c>
      <c r="Q43" s="82">
        <f>((SUM('Option C Outcome'!Q50:Q52))*'Technology Inputs'!R31)+((Q49)*'Technology Inputs'!R30)</f>
        <v>0</v>
      </c>
      <c r="R43" s="82">
        <f>((SUM('Option C Outcome'!R50:R52))*'Technology Inputs'!S31)+((R49)*'Technology Inputs'!S30)</f>
        <v>0</v>
      </c>
      <c r="S43" s="82">
        <f>((SUM('Option C Outcome'!S50:S52))*'Technology Inputs'!T31)+((S49)*'Technology Inputs'!T30)</f>
        <v>0</v>
      </c>
      <c r="T43" s="82">
        <f>((SUM('Option C Outcome'!T50:T52))*'Technology Inputs'!U31)+((T49)*'Technology Inputs'!U30)</f>
        <v>0</v>
      </c>
      <c r="U43" s="82">
        <f>((SUM('Option C Outcome'!U50:U52))*'Technology Inputs'!V31)+((U49)*'Technology Inputs'!V30)</f>
        <v>0</v>
      </c>
      <c r="V43" s="82">
        <f>((SUM('Option C Outcome'!V50:V52))*'Technology Inputs'!W31)+((V49)*'Technology Inputs'!W30)</f>
        <v>0</v>
      </c>
      <c r="W43" s="82">
        <f>((SUM('Option C Outcome'!W50:W52))*'Technology Inputs'!X31)+((W49)*'Technology Inputs'!X30)</f>
        <v>0</v>
      </c>
      <c r="X43" s="82">
        <f>((SUM('Option C Outcome'!X50:X52))*'Technology Inputs'!Y31)+((X49)*'Technology Inputs'!Y30)</f>
        <v>0</v>
      </c>
      <c r="Y43" s="83">
        <f t="shared" si="1"/>
        <v>0</v>
      </c>
    </row>
    <row r="44" spans="3:25" x14ac:dyDescent="0.25">
      <c r="C44" s="81" t="s">
        <v>131</v>
      </c>
      <c r="D44" s="82"/>
      <c r="E44" s="82"/>
      <c r="F44" s="82"/>
      <c r="G44" s="82"/>
      <c r="H44" s="82"/>
      <c r="I44" s="82"/>
      <c r="J44" s="82"/>
      <c r="K44" s="82"/>
      <c r="L44" s="82"/>
      <c r="M44" s="82"/>
      <c r="N44" s="82"/>
      <c r="O44" s="82"/>
      <c r="P44" s="82"/>
      <c r="Q44" s="82"/>
      <c r="R44" s="82"/>
      <c r="S44" s="82"/>
      <c r="T44" s="82"/>
      <c r="U44" s="82"/>
      <c r="V44" s="82"/>
      <c r="W44" s="82"/>
      <c r="X44" s="83"/>
      <c r="Y44" s="83">
        <f t="shared" si="1"/>
        <v>0</v>
      </c>
    </row>
    <row r="45" spans="3:25" x14ac:dyDescent="0.25">
      <c r="C45" s="81" t="s">
        <v>132</v>
      </c>
      <c r="D45" s="82">
        <f>'Option C - Lifecycle'!AB36*D$18</f>
        <v>0</v>
      </c>
      <c r="E45" s="82">
        <f>'Option C - Lifecycle'!AC36*E$18</f>
        <v>0</v>
      </c>
      <c r="F45" s="82">
        <f>'Option C - Lifecycle'!AD36*F$18</f>
        <v>0</v>
      </c>
      <c r="G45" s="82">
        <f>'Option C - Lifecycle'!AE36*G$18</f>
        <v>0</v>
      </c>
      <c r="H45" s="82">
        <f>'Option C - Lifecycle'!AF36*H$18</f>
        <v>0</v>
      </c>
      <c r="I45" s="82">
        <f>'Option C - Lifecycle'!AG36*I$18</f>
        <v>0</v>
      </c>
      <c r="J45" s="82">
        <f>'Option C - Lifecycle'!AH36*J$18</f>
        <v>0</v>
      </c>
      <c r="K45" s="82">
        <f>'Option C - Lifecycle'!AI36*K$18</f>
        <v>0</v>
      </c>
      <c r="L45" s="82">
        <f>'Option C - Lifecycle'!AJ36*L$18</f>
        <v>0</v>
      </c>
      <c r="M45" s="82">
        <f>'Option C - Lifecycle'!AK36*M$18</f>
        <v>0</v>
      </c>
      <c r="N45" s="82">
        <f>'Option C - Lifecycle'!AL36*N$18</f>
        <v>0</v>
      </c>
      <c r="O45" s="82">
        <f>'Option C - Lifecycle'!AM36*O$18</f>
        <v>0</v>
      </c>
      <c r="P45" s="82">
        <f>'Option C - Lifecycle'!AN36*P$18</f>
        <v>0</v>
      </c>
      <c r="Q45" s="82">
        <f>'Option C - Lifecycle'!AO36*Q$18</f>
        <v>0</v>
      </c>
      <c r="R45" s="82">
        <f>'Option C - Lifecycle'!AP36*R$18</f>
        <v>0</v>
      </c>
      <c r="S45" s="82">
        <f>'Option C - Lifecycle'!AQ36*S$18</f>
        <v>0</v>
      </c>
      <c r="T45" s="82">
        <f>'Option C - Lifecycle'!AR36*T$18</f>
        <v>0</v>
      </c>
      <c r="U45" s="82">
        <f>'Option C - Lifecycle'!AS36*U$18</f>
        <v>0</v>
      </c>
      <c r="V45" s="82">
        <f>'Option C - Lifecycle'!AT36*V$18</f>
        <v>0</v>
      </c>
      <c r="W45" s="82">
        <f>'Option C - Lifecycle'!AU36*W$18</f>
        <v>0</v>
      </c>
      <c r="X45" s="82">
        <f>'Option C - Lifecycle'!AV36*X$18</f>
        <v>0</v>
      </c>
      <c r="Y45" s="82">
        <f t="shared" si="1"/>
        <v>0</v>
      </c>
    </row>
    <row r="46" spans="3:25" ht="15.75" thickBot="1" x14ac:dyDescent="0.3">
      <c r="C46" s="61" t="s">
        <v>133</v>
      </c>
      <c r="D46" s="64"/>
      <c r="E46" s="64">
        <f t="shared" ref="E46:X46" si="2">IF(E17&lt;=$M$13, $M$15, 0)</f>
        <v>0</v>
      </c>
      <c r="F46" s="64">
        <f t="shared" si="2"/>
        <v>0</v>
      </c>
      <c r="G46" s="64">
        <f t="shared" si="2"/>
        <v>0</v>
      </c>
      <c r="H46" s="64">
        <f t="shared" si="2"/>
        <v>0</v>
      </c>
      <c r="I46" s="64">
        <f t="shared" si="2"/>
        <v>0</v>
      </c>
      <c r="J46" s="64">
        <f t="shared" si="2"/>
        <v>0</v>
      </c>
      <c r="K46" s="64">
        <f t="shared" si="2"/>
        <v>0</v>
      </c>
      <c r="L46" s="64">
        <f t="shared" si="2"/>
        <v>0</v>
      </c>
      <c r="M46" s="64">
        <f t="shared" si="2"/>
        <v>0</v>
      </c>
      <c r="N46" s="64">
        <f t="shared" si="2"/>
        <v>0</v>
      </c>
      <c r="O46" s="64">
        <f t="shared" si="2"/>
        <v>0</v>
      </c>
      <c r="P46" s="64">
        <f t="shared" si="2"/>
        <v>0</v>
      </c>
      <c r="Q46" s="64">
        <f t="shared" si="2"/>
        <v>0</v>
      </c>
      <c r="R46" s="64">
        <f t="shared" si="2"/>
        <v>0</v>
      </c>
      <c r="S46" s="64">
        <f t="shared" si="2"/>
        <v>0</v>
      </c>
      <c r="T46" s="64">
        <f t="shared" si="2"/>
        <v>0</v>
      </c>
      <c r="U46" s="64">
        <f t="shared" si="2"/>
        <v>0</v>
      </c>
      <c r="V46" s="64">
        <f t="shared" si="2"/>
        <v>0</v>
      </c>
      <c r="W46" s="64">
        <f t="shared" si="2"/>
        <v>0</v>
      </c>
      <c r="X46" s="64">
        <f t="shared" si="2"/>
        <v>0</v>
      </c>
      <c r="Y46" s="64">
        <f t="shared" si="1"/>
        <v>0</v>
      </c>
    </row>
    <row r="47" spans="3:25" ht="15.75" thickBot="1" x14ac:dyDescent="0.3">
      <c r="C47" s="52"/>
      <c r="D47" s="54"/>
      <c r="E47" s="54"/>
      <c r="F47" s="54"/>
      <c r="G47" s="54"/>
      <c r="H47" s="54"/>
      <c r="I47" s="65"/>
      <c r="J47" s="65"/>
      <c r="K47" s="54"/>
      <c r="L47" s="54"/>
      <c r="M47" s="54"/>
      <c r="N47" s="54"/>
      <c r="O47" s="54"/>
      <c r="P47" s="54"/>
      <c r="Q47" s="54"/>
      <c r="R47" s="54"/>
      <c r="S47" s="54"/>
      <c r="T47" s="54"/>
      <c r="U47" s="54"/>
      <c r="V47" s="54"/>
      <c r="W47" s="54"/>
      <c r="X47" s="54"/>
      <c r="Y47" s="54"/>
    </row>
    <row r="48" spans="3:25" x14ac:dyDescent="0.25">
      <c r="C48" s="55" t="s">
        <v>134</v>
      </c>
      <c r="D48" s="56"/>
      <c r="E48" s="56"/>
      <c r="F48" s="56"/>
      <c r="G48" s="56"/>
      <c r="H48" s="56"/>
      <c r="I48" s="56"/>
      <c r="J48" s="56"/>
      <c r="K48" s="56"/>
      <c r="L48" s="56"/>
      <c r="M48" s="56"/>
      <c r="N48" s="56"/>
      <c r="O48" s="56"/>
      <c r="P48" s="56"/>
      <c r="Q48" s="56"/>
      <c r="R48" s="56"/>
      <c r="S48" s="56"/>
      <c r="T48" s="56"/>
      <c r="U48" s="56"/>
      <c r="V48" s="56"/>
      <c r="W48" s="56"/>
      <c r="X48" s="57"/>
      <c r="Y48" s="57">
        <f t="shared" ref="Y48:Y53" si="3">SUM(D48:X48)</f>
        <v>0</v>
      </c>
    </row>
    <row r="49" spans="3:25" x14ac:dyDescent="0.25">
      <c r="C49" s="58" t="s">
        <v>124</v>
      </c>
      <c r="D49" s="108">
        <f>('Project Data Input'!$D$14-'Option C'!$O$16)*'Technology Inputs'!E6/1000</f>
        <v>0</v>
      </c>
      <c r="E49" s="108">
        <f>('Project Data Input'!$D$14-'Option C'!$O$16)*'Technology Inputs'!F6/1000*E$18</f>
        <v>0</v>
      </c>
      <c r="F49" s="108">
        <f>('Project Data Input'!$D$14-'Option C'!$O$16)*'Technology Inputs'!G6/1000*F$18</f>
        <v>0</v>
      </c>
      <c r="G49" s="108">
        <f>('Project Data Input'!$D$14-'Option C'!$O$16)*'Technology Inputs'!H6/1000*G$18</f>
        <v>0</v>
      </c>
      <c r="H49" s="108">
        <f>('Project Data Input'!$D$14-'Option C'!$O$16)*'Technology Inputs'!I6/1000*H$18</f>
        <v>0</v>
      </c>
      <c r="I49" s="108">
        <f>('Project Data Input'!$D$14-'Option C'!$O$16)*'Technology Inputs'!J6/1000*I$18</f>
        <v>0</v>
      </c>
      <c r="J49" s="108">
        <f>('Project Data Input'!$D$14-'Option C'!$O$16)*'Technology Inputs'!K6/1000*J$18</f>
        <v>0</v>
      </c>
      <c r="K49" s="108">
        <f>('Project Data Input'!$D$14-'Option C'!$O$16)*'Technology Inputs'!L6/1000*K$18</f>
        <v>0</v>
      </c>
      <c r="L49" s="108">
        <f>('Project Data Input'!$D$14-'Option C'!$O$16)*'Technology Inputs'!M6/1000*L$18</f>
        <v>0</v>
      </c>
      <c r="M49" s="108">
        <f>('Project Data Input'!$D$14-'Option C'!$O$16)*'Technology Inputs'!N6/1000*M$18</f>
        <v>0</v>
      </c>
      <c r="N49" s="108">
        <f>('Project Data Input'!$D$14-'Option C'!$O$16)*'Technology Inputs'!O6/1000*N$18</f>
        <v>0</v>
      </c>
      <c r="O49" s="108">
        <f>('Project Data Input'!$D$14-'Option C'!$O$16)*'Technology Inputs'!P6/1000*O$18</f>
        <v>0</v>
      </c>
      <c r="P49" s="108">
        <f>('Project Data Input'!$D$14-'Option C'!$O$16)*'Technology Inputs'!Q6/1000*P$18</f>
        <v>0</v>
      </c>
      <c r="Q49" s="108">
        <f>('Project Data Input'!$D$14-'Option C'!$O$16)*'Technology Inputs'!R6/1000*Q$18</f>
        <v>0</v>
      </c>
      <c r="R49" s="108">
        <f>('Project Data Input'!$D$14-'Option C'!$O$16)*'Technology Inputs'!S6/1000*R$18</f>
        <v>0</v>
      </c>
      <c r="S49" s="108">
        <f>('Project Data Input'!$D$14-'Option C'!$O$16)*'Technology Inputs'!T6/1000*S$18</f>
        <v>0</v>
      </c>
      <c r="T49" s="108">
        <f>('Project Data Input'!$D$14-'Option C'!$O$16)*'Technology Inputs'!U6/1000*T$18</f>
        <v>0</v>
      </c>
      <c r="U49" s="108">
        <f>('Project Data Input'!$D$14-'Option C'!$O$16)*'Technology Inputs'!V6/1000*U$18</f>
        <v>0</v>
      </c>
      <c r="V49" s="108">
        <f>('Project Data Input'!$D$14-'Option C'!$O$16)*'Technology Inputs'!W6/1000*V$18</f>
        <v>0</v>
      </c>
      <c r="W49" s="108">
        <f>('Project Data Input'!$D$14-'Option C'!$O$16)*'Technology Inputs'!X6/1000*W$18</f>
        <v>0</v>
      </c>
      <c r="X49" s="108">
        <f>('Project Data Input'!$D$14-'Option C'!$O$16)*'Technology Inputs'!Y6/1000*X$18</f>
        <v>0</v>
      </c>
      <c r="Y49" s="108">
        <f t="shared" si="3"/>
        <v>0</v>
      </c>
    </row>
    <row r="50" spans="3:25" x14ac:dyDescent="0.25">
      <c r="C50" s="58" t="s">
        <v>125</v>
      </c>
      <c r="D50" s="108">
        <f>('Project Data Input'!$D$15-'Option C'!$Q$16)*'Technology Inputs'!E7/1000</f>
        <v>0</v>
      </c>
      <c r="E50" s="108">
        <f>('Project Data Input'!$D$15-'Option C'!$Q$16)*'Technology Inputs'!F7/1000*E$18</f>
        <v>0</v>
      </c>
      <c r="F50" s="108">
        <f>('Project Data Input'!$D$15-'Option C'!$Q$16)*'Technology Inputs'!G7/1000*F$18</f>
        <v>0</v>
      </c>
      <c r="G50" s="108">
        <f>('Project Data Input'!$D$15-'Option C'!$Q$16)*'Technology Inputs'!H7/1000*G$18</f>
        <v>0</v>
      </c>
      <c r="H50" s="108">
        <f>('Project Data Input'!$D$15-'Option C'!$Q$16)*'Technology Inputs'!I7/1000*H$18</f>
        <v>0</v>
      </c>
      <c r="I50" s="108">
        <f>('Project Data Input'!$D$15-'Option C'!$Q$16)*'Technology Inputs'!J7/1000*I$18</f>
        <v>0</v>
      </c>
      <c r="J50" s="108">
        <f>('Project Data Input'!$D$15-'Option C'!$Q$16)*'Technology Inputs'!K7/1000*J$18</f>
        <v>0</v>
      </c>
      <c r="K50" s="108">
        <f>('Project Data Input'!$D$15-'Option C'!$Q$16)*'Technology Inputs'!L7/1000*K$18</f>
        <v>0</v>
      </c>
      <c r="L50" s="108">
        <f>('Project Data Input'!$D$15-'Option C'!$Q$16)*'Technology Inputs'!M7/1000*L$18</f>
        <v>0</v>
      </c>
      <c r="M50" s="108">
        <f>('Project Data Input'!$D$15-'Option C'!$Q$16)*'Technology Inputs'!N7/1000*M$18</f>
        <v>0</v>
      </c>
      <c r="N50" s="108">
        <f>('Project Data Input'!$D$15-'Option C'!$Q$16)*'Technology Inputs'!O7/1000*N$18</f>
        <v>0</v>
      </c>
      <c r="O50" s="108">
        <f>('Project Data Input'!$D$15-'Option C'!$Q$16)*'Technology Inputs'!P7/1000*O$18</f>
        <v>0</v>
      </c>
      <c r="P50" s="108">
        <f>('Project Data Input'!$D$15-'Option C'!$Q$16)*'Technology Inputs'!Q7/1000*P$18</f>
        <v>0</v>
      </c>
      <c r="Q50" s="108">
        <f>('Project Data Input'!$D$15-'Option C'!$Q$16)*'Technology Inputs'!R7/1000*Q$18</f>
        <v>0</v>
      </c>
      <c r="R50" s="108">
        <f>('Project Data Input'!$D$15-'Option C'!$Q$16)*'Technology Inputs'!S7/1000*R$18</f>
        <v>0</v>
      </c>
      <c r="S50" s="108">
        <f>('Project Data Input'!$D$15-'Option C'!$Q$16)*'Technology Inputs'!T7/1000*S$18</f>
        <v>0</v>
      </c>
      <c r="T50" s="108">
        <f>('Project Data Input'!$D$15-'Option C'!$Q$16)*'Technology Inputs'!U7/1000*T$18</f>
        <v>0</v>
      </c>
      <c r="U50" s="108">
        <f>('Project Data Input'!$D$15-'Option C'!$Q$16)*'Technology Inputs'!V7/1000*U$18</f>
        <v>0</v>
      </c>
      <c r="V50" s="108">
        <f>('Project Data Input'!$D$15-'Option C'!$Q$16)*'Technology Inputs'!W7/1000*V$18</f>
        <v>0</v>
      </c>
      <c r="W50" s="108">
        <f>('Project Data Input'!$D$15-'Option C'!$Q$16)*'Technology Inputs'!X7/1000*W$18</f>
        <v>0</v>
      </c>
      <c r="X50" s="108">
        <f>('Project Data Input'!$D$15-'Option C'!$Q$16)*'Technology Inputs'!Y7/1000*X$18</f>
        <v>0</v>
      </c>
      <c r="Y50" s="108">
        <f t="shared" si="3"/>
        <v>0</v>
      </c>
    </row>
    <row r="51" spans="3:25" x14ac:dyDescent="0.25">
      <c r="C51" s="58" t="str">
        <f>""&amp;'Project Data Input'!$C$16&amp;" emissions"</f>
        <v>Fuel oil emissions</v>
      </c>
      <c r="D51" s="108">
        <f>('Project Data Input'!$D$16-'Option C'!$S$16)*'Technology Inputs'!E9/1000</f>
        <v>0</v>
      </c>
      <c r="E51" s="108">
        <f>('Project Data Input'!$D$16-'Option C'!$S$16)*'Technology Inputs'!F9/1000*E$18</f>
        <v>0</v>
      </c>
      <c r="F51" s="108">
        <f>('Project Data Input'!$D$16-'Option C'!$S$16)*'Technology Inputs'!G9/1000*F$18</f>
        <v>0</v>
      </c>
      <c r="G51" s="108">
        <f>('Project Data Input'!$D$16-'Option C'!$S$16)*'Technology Inputs'!H9/1000*G$18</f>
        <v>0</v>
      </c>
      <c r="H51" s="108">
        <f>('Project Data Input'!$D$16-'Option C'!$S$16)*'Technology Inputs'!I9/1000*H$18</f>
        <v>0</v>
      </c>
      <c r="I51" s="108">
        <f>('Project Data Input'!$D$16-'Option C'!$S$16)*'Technology Inputs'!J9/1000*I$18</f>
        <v>0</v>
      </c>
      <c r="J51" s="108">
        <f>('Project Data Input'!$D$16-'Option C'!$S$16)*'Technology Inputs'!K9/1000*J$18</f>
        <v>0</v>
      </c>
      <c r="K51" s="108">
        <f>('Project Data Input'!$D$16-'Option C'!$S$16)*'Technology Inputs'!L9/1000*K$18</f>
        <v>0</v>
      </c>
      <c r="L51" s="108">
        <f>('Project Data Input'!$D$16-'Option C'!$S$16)*'Technology Inputs'!M9/1000*L$18</f>
        <v>0</v>
      </c>
      <c r="M51" s="108">
        <f>('Project Data Input'!$D$16-'Option C'!$S$16)*'Technology Inputs'!N9/1000*M$18</f>
        <v>0</v>
      </c>
      <c r="N51" s="108">
        <f>('Project Data Input'!$D$16-'Option C'!$S$16)*'Technology Inputs'!O9/1000*N$18</f>
        <v>0</v>
      </c>
      <c r="O51" s="108">
        <f>('Project Data Input'!$D$16-'Option C'!$S$16)*'Technology Inputs'!P9/1000*O$18</f>
        <v>0</v>
      </c>
      <c r="P51" s="108">
        <f>('Project Data Input'!$D$16-'Option C'!$S$16)*'Technology Inputs'!Q9/1000*P$18</f>
        <v>0</v>
      </c>
      <c r="Q51" s="108">
        <f>('Project Data Input'!$D$16-'Option C'!$S$16)*'Technology Inputs'!R9/1000*Q$18</f>
        <v>0</v>
      </c>
      <c r="R51" s="108">
        <f>('Project Data Input'!$D$16-'Option C'!$S$16)*'Technology Inputs'!S9/1000*R$18</f>
        <v>0</v>
      </c>
      <c r="S51" s="108">
        <f>('Project Data Input'!$D$16-'Option C'!$S$16)*'Technology Inputs'!T9/1000*S$18</f>
        <v>0</v>
      </c>
      <c r="T51" s="108">
        <f>('Project Data Input'!$D$16-'Option C'!$S$16)*'Technology Inputs'!U9/1000*T$18</f>
        <v>0</v>
      </c>
      <c r="U51" s="108">
        <f>('Project Data Input'!$D$16-'Option C'!$S$16)*'Technology Inputs'!V9/1000*U$18</f>
        <v>0</v>
      </c>
      <c r="V51" s="108">
        <f>('Project Data Input'!$D$16-'Option C'!$S$16)*'Technology Inputs'!W9/1000*V$18</f>
        <v>0</v>
      </c>
      <c r="W51" s="108">
        <f>('Project Data Input'!$D$16-'Option C'!$S$16)*'Technology Inputs'!X9/1000*W$18</f>
        <v>0</v>
      </c>
      <c r="X51" s="108">
        <f>('Project Data Input'!$D$16-'Option C'!$S$16)*'Technology Inputs'!Y9/1000*X$18</f>
        <v>0</v>
      </c>
      <c r="Y51" s="108">
        <f t="shared" si="3"/>
        <v>0</v>
      </c>
    </row>
    <row r="52" spans="3:25" x14ac:dyDescent="0.25">
      <c r="C52" s="58" t="str">
        <f>""&amp;'Project Data Input'!$C$17&amp;" Emissions"</f>
        <v>Burning oil Emissions</v>
      </c>
      <c r="D52" s="108">
        <f>('Project Data Input'!$D$17-'Option C'!$U$16)*'Technology Inputs'!E13/1000</f>
        <v>0</v>
      </c>
      <c r="E52" s="108">
        <f>('Project Data Input'!$D$17-'Option C'!$U$16)*'Technology Inputs'!F13/1000*E$18</f>
        <v>0</v>
      </c>
      <c r="F52" s="108">
        <f>('Project Data Input'!$D$17-'Option C'!$U$16)*'Technology Inputs'!G13/1000*F$18</f>
        <v>0</v>
      </c>
      <c r="G52" s="108">
        <f>('Project Data Input'!$D$17-'Option C'!$U$16)*'Technology Inputs'!H13/1000*G$18</f>
        <v>0</v>
      </c>
      <c r="H52" s="108">
        <f>('Project Data Input'!$D$17-'Option C'!$U$16)*'Technology Inputs'!I13/1000*H$18</f>
        <v>0</v>
      </c>
      <c r="I52" s="108">
        <f>('Project Data Input'!$D$17-'Option C'!$U$16)*'Technology Inputs'!J13/1000*I$18</f>
        <v>0</v>
      </c>
      <c r="J52" s="108">
        <f>('Project Data Input'!$D$17-'Option C'!$U$16)*'Technology Inputs'!K13/1000*J$18</f>
        <v>0</v>
      </c>
      <c r="K52" s="108">
        <f>('Project Data Input'!$D$17-'Option C'!$U$16)*'Technology Inputs'!L13/1000*K$18</f>
        <v>0</v>
      </c>
      <c r="L52" s="108">
        <f>('Project Data Input'!$D$17-'Option C'!$U$16)*'Technology Inputs'!M13/1000*L$18</f>
        <v>0</v>
      </c>
      <c r="M52" s="108">
        <f>('Project Data Input'!$D$17-'Option C'!$U$16)*'Technology Inputs'!N13/1000*M$18</f>
        <v>0</v>
      </c>
      <c r="N52" s="108">
        <f>('Project Data Input'!$D$17-'Option C'!$U$16)*'Technology Inputs'!O13/1000*N$18</f>
        <v>0</v>
      </c>
      <c r="O52" s="108">
        <f>('Project Data Input'!$D$17-'Option C'!$U$16)*'Technology Inputs'!P13/1000*O$18</f>
        <v>0</v>
      </c>
      <c r="P52" s="108">
        <f>('Project Data Input'!$D$17-'Option C'!$U$16)*'Technology Inputs'!Q13/1000*P$18</f>
        <v>0</v>
      </c>
      <c r="Q52" s="108">
        <f>('Project Data Input'!$D$17-'Option C'!$U$16)*'Technology Inputs'!R13/1000*Q$18</f>
        <v>0</v>
      </c>
      <c r="R52" s="108">
        <f>('Project Data Input'!$D$17-'Option C'!$U$16)*'Technology Inputs'!S13/1000*R$18</f>
        <v>0</v>
      </c>
      <c r="S52" s="108">
        <f>('Project Data Input'!$D$17-'Option C'!$U$16)*'Technology Inputs'!T13/1000*S$18</f>
        <v>0</v>
      </c>
      <c r="T52" s="108">
        <f>('Project Data Input'!$D$17-'Option C'!$U$16)*'Technology Inputs'!U13/1000*T$18</f>
        <v>0</v>
      </c>
      <c r="U52" s="108">
        <f>('Project Data Input'!$D$17-'Option C'!$U$16)*'Technology Inputs'!V13/1000*U$18</f>
        <v>0</v>
      </c>
      <c r="V52" s="108">
        <f>('Project Data Input'!$D$17-'Option C'!$U$16)*'Technology Inputs'!W13/1000*V$18</f>
        <v>0</v>
      </c>
      <c r="W52" s="108">
        <f>('Project Data Input'!$D$17-'Option C'!$U$16)*'Technology Inputs'!X13/1000*W$18</f>
        <v>0</v>
      </c>
      <c r="X52" s="108">
        <f>('Project Data Input'!$D$17-'Option C'!$U$16)*'Technology Inputs'!Y13/1000*X$18</f>
        <v>0</v>
      </c>
      <c r="Y52" s="108">
        <f t="shared" si="3"/>
        <v>0</v>
      </c>
    </row>
    <row r="53" spans="3:25" x14ac:dyDescent="0.25">
      <c r="C53" s="58" t="s">
        <v>28</v>
      </c>
      <c r="D53" s="108">
        <f>SUM(D49:D52)</f>
        <v>0</v>
      </c>
      <c r="E53" s="108">
        <f t="shared" ref="E53:X53" si="4">SUM(E49:E52)</f>
        <v>0</v>
      </c>
      <c r="F53" s="108">
        <f t="shared" si="4"/>
        <v>0</v>
      </c>
      <c r="G53" s="108">
        <f t="shared" si="4"/>
        <v>0</v>
      </c>
      <c r="H53" s="108">
        <f t="shared" si="4"/>
        <v>0</v>
      </c>
      <c r="I53" s="108">
        <f t="shared" si="4"/>
        <v>0</v>
      </c>
      <c r="J53" s="108">
        <f t="shared" si="4"/>
        <v>0</v>
      </c>
      <c r="K53" s="108">
        <f t="shared" si="4"/>
        <v>0</v>
      </c>
      <c r="L53" s="108">
        <f t="shared" si="4"/>
        <v>0</v>
      </c>
      <c r="M53" s="108">
        <f t="shared" si="4"/>
        <v>0</v>
      </c>
      <c r="N53" s="108">
        <f t="shared" si="4"/>
        <v>0</v>
      </c>
      <c r="O53" s="108">
        <f t="shared" si="4"/>
        <v>0</v>
      </c>
      <c r="P53" s="108">
        <f t="shared" si="4"/>
        <v>0</v>
      </c>
      <c r="Q53" s="108">
        <f t="shared" si="4"/>
        <v>0</v>
      </c>
      <c r="R53" s="108">
        <f t="shared" si="4"/>
        <v>0</v>
      </c>
      <c r="S53" s="108">
        <f t="shared" si="4"/>
        <v>0</v>
      </c>
      <c r="T53" s="108">
        <f t="shared" si="4"/>
        <v>0</v>
      </c>
      <c r="U53" s="108">
        <f t="shared" si="4"/>
        <v>0</v>
      </c>
      <c r="V53" s="108">
        <f t="shared" si="4"/>
        <v>0</v>
      </c>
      <c r="W53" s="108">
        <f t="shared" si="4"/>
        <v>0</v>
      </c>
      <c r="X53" s="108">
        <f t="shared" si="4"/>
        <v>0</v>
      </c>
      <c r="Y53" s="108">
        <f t="shared" si="3"/>
        <v>0</v>
      </c>
    </row>
    <row r="54" spans="3:25" ht="15.75" thickBot="1" x14ac:dyDescent="0.3">
      <c r="C54" s="52"/>
      <c r="D54" s="54"/>
      <c r="E54" s="54"/>
      <c r="F54" s="54"/>
      <c r="G54" s="54"/>
      <c r="H54" s="54"/>
      <c r="I54" s="54"/>
      <c r="J54" s="54"/>
      <c r="K54" s="54"/>
      <c r="L54" s="54"/>
      <c r="M54" s="54"/>
      <c r="N54" s="54"/>
      <c r="O54" s="54"/>
      <c r="P54" s="54"/>
      <c r="Q54" s="54"/>
      <c r="R54" s="54"/>
      <c r="S54" s="54"/>
      <c r="T54" s="54"/>
      <c r="U54" s="54"/>
      <c r="V54" s="54"/>
      <c r="W54" s="54"/>
      <c r="X54" s="54"/>
      <c r="Y54" s="54"/>
    </row>
    <row r="55" spans="3:25" x14ac:dyDescent="0.25">
      <c r="C55" s="66" t="s">
        <v>102</v>
      </c>
      <c r="D55" s="67" t="e">
        <f>IRR(D56:W56,0.3)</f>
        <v>#NUM!</v>
      </c>
      <c r="E55" s="56"/>
      <c r="F55" s="56"/>
      <c r="G55" s="56"/>
      <c r="H55" s="56"/>
      <c r="I55" s="56"/>
      <c r="J55" s="56"/>
      <c r="K55" s="56"/>
      <c r="L55" s="56"/>
      <c r="M55" s="56"/>
      <c r="N55" s="56"/>
      <c r="O55" s="56"/>
      <c r="P55" s="56"/>
      <c r="Q55" s="56"/>
      <c r="R55" s="56"/>
      <c r="S55" s="56"/>
      <c r="T55" s="56"/>
      <c r="U55" s="56"/>
      <c r="V55" s="56"/>
      <c r="W55" s="56"/>
      <c r="X55" s="57"/>
      <c r="Y55" s="57"/>
    </row>
    <row r="56" spans="3:25" x14ac:dyDescent="0.25">
      <c r="C56" s="58" t="s">
        <v>136</v>
      </c>
      <c r="D56" s="68">
        <f>-D42</f>
        <v>0</v>
      </c>
      <c r="E56" s="60">
        <f>SUM(E$23:E$29)-SUM(E$37:E$45)</f>
        <v>0</v>
      </c>
      <c r="F56" s="60">
        <f t="shared" ref="F56:X56" si="5">SUM(F$23:F$29)-SUM(F$37:F$45)</f>
        <v>0</v>
      </c>
      <c r="G56" s="60">
        <f t="shared" si="5"/>
        <v>0</v>
      </c>
      <c r="H56" s="60">
        <f t="shared" si="5"/>
        <v>0</v>
      </c>
      <c r="I56" s="60">
        <f t="shared" si="5"/>
        <v>0</v>
      </c>
      <c r="J56" s="60">
        <f t="shared" si="5"/>
        <v>0</v>
      </c>
      <c r="K56" s="60">
        <f t="shared" si="5"/>
        <v>0</v>
      </c>
      <c r="L56" s="60">
        <f t="shared" si="5"/>
        <v>0</v>
      </c>
      <c r="M56" s="60">
        <f t="shared" si="5"/>
        <v>0</v>
      </c>
      <c r="N56" s="60">
        <f t="shared" si="5"/>
        <v>0</v>
      </c>
      <c r="O56" s="60">
        <f t="shared" si="5"/>
        <v>0</v>
      </c>
      <c r="P56" s="60">
        <f t="shared" si="5"/>
        <v>0</v>
      </c>
      <c r="Q56" s="60">
        <f t="shared" si="5"/>
        <v>0</v>
      </c>
      <c r="R56" s="60">
        <f t="shared" si="5"/>
        <v>0</v>
      </c>
      <c r="S56" s="60">
        <f t="shared" si="5"/>
        <v>0</v>
      </c>
      <c r="T56" s="60">
        <f t="shared" si="5"/>
        <v>0</v>
      </c>
      <c r="U56" s="60">
        <f t="shared" si="5"/>
        <v>0</v>
      </c>
      <c r="V56" s="60">
        <f t="shared" si="5"/>
        <v>0</v>
      </c>
      <c r="W56" s="60">
        <f t="shared" si="5"/>
        <v>0</v>
      </c>
      <c r="X56" s="60">
        <f t="shared" si="5"/>
        <v>0</v>
      </c>
      <c r="Y56" s="60"/>
    </row>
    <row r="57" spans="3:25" ht="15.75" thickBot="1" x14ac:dyDescent="0.3">
      <c r="C57" s="61" t="s">
        <v>137</v>
      </c>
      <c r="D57" s="69">
        <f>D56</f>
        <v>0</v>
      </c>
      <c r="E57" s="69">
        <f>D57+E56*E$18</f>
        <v>0</v>
      </c>
      <c r="F57" s="69">
        <f t="shared" ref="F57:X57" si="6">E57+F56*F$18</f>
        <v>0</v>
      </c>
      <c r="G57" s="69">
        <f t="shared" si="6"/>
        <v>0</v>
      </c>
      <c r="H57" s="69">
        <f t="shared" si="6"/>
        <v>0</v>
      </c>
      <c r="I57" s="69">
        <f t="shared" si="6"/>
        <v>0</v>
      </c>
      <c r="J57" s="69">
        <f t="shared" si="6"/>
        <v>0</v>
      </c>
      <c r="K57" s="69">
        <f t="shared" si="6"/>
        <v>0</v>
      </c>
      <c r="L57" s="69">
        <f t="shared" si="6"/>
        <v>0</v>
      </c>
      <c r="M57" s="69">
        <f t="shared" si="6"/>
        <v>0</v>
      </c>
      <c r="N57" s="69">
        <f t="shared" si="6"/>
        <v>0</v>
      </c>
      <c r="O57" s="69">
        <f t="shared" si="6"/>
        <v>0</v>
      </c>
      <c r="P57" s="69">
        <f t="shared" si="6"/>
        <v>0</v>
      </c>
      <c r="Q57" s="69">
        <f t="shared" si="6"/>
        <v>0</v>
      </c>
      <c r="R57" s="69">
        <f t="shared" si="6"/>
        <v>0</v>
      </c>
      <c r="S57" s="69">
        <f t="shared" si="6"/>
        <v>0</v>
      </c>
      <c r="T57" s="69">
        <f t="shared" si="6"/>
        <v>0</v>
      </c>
      <c r="U57" s="69">
        <f t="shared" si="6"/>
        <v>0</v>
      </c>
      <c r="V57" s="69">
        <f t="shared" si="6"/>
        <v>0</v>
      </c>
      <c r="W57" s="69">
        <f t="shared" si="6"/>
        <v>0</v>
      </c>
      <c r="X57" s="69">
        <f t="shared" si="6"/>
        <v>0</v>
      </c>
      <c r="Y57" s="69"/>
    </row>
    <row r="58" spans="3:25" ht="15.75" thickBot="1" x14ac:dyDescent="0.3">
      <c r="C58" s="52"/>
      <c r="D58" s="70" t="s">
        <v>101</v>
      </c>
      <c r="E58" s="71">
        <f>NPV(3.5%,D56:W56)</f>
        <v>0</v>
      </c>
      <c r="F58" s="54"/>
      <c r="G58" s="54"/>
      <c r="H58" s="54"/>
      <c r="I58" s="54"/>
      <c r="J58" s="54"/>
      <c r="K58" s="54"/>
      <c r="L58" s="54"/>
      <c r="M58" s="54"/>
      <c r="N58" s="54"/>
      <c r="O58" s="54"/>
      <c r="P58" s="54"/>
      <c r="Q58" s="54"/>
      <c r="R58" s="54"/>
      <c r="S58" s="54"/>
      <c r="T58" s="54"/>
      <c r="U58" s="54"/>
      <c r="V58" s="54"/>
      <c r="W58" s="54"/>
      <c r="X58" s="54"/>
      <c r="Y58" s="54"/>
    </row>
    <row r="59" spans="3:25" ht="15.75" thickBot="1" x14ac:dyDescent="0.3">
      <c r="D59" s="72"/>
    </row>
    <row r="60" spans="3:25" x14ac:dyDescent="0.25">
      <c r="C60" s="66" t="s">
        <v>138</v>
      </c>
      <c r="D60" s="73">
        <v>0</v>
      </c>
      <c r="E60" s="74">
        <f>SUM(E$23:E$29)-SUM(E$37:E$46)</f>
        <v>0</v>
      </c>
      <c r="F60" s="74">
        <f t="shared" ref="F60:X60" si="7">SUM(F$23:F$29)-SUM(F$37:F$46)</f>
        <v>0</v>
      </c>
      <c r="G60" s="74">
        <f t="shared" si="7"/>
        <v>0</v>
      </c>
      <c r="H60" s="74">
        <f t="shared" si="7"/>
        <v>0</v>
      </c>
      <c r="I60" s="74">
        <f t="shared" si="7"/>
        <v>0</v>
      </c>
      <c r="J60" s="74">
        <f t="shared" si="7"/>
        <v>0</v>
      </c>
      <c r="K60" s="74">
        <f t="shared" si="7"/>
        <v>0</v>
      </c>
      <c r="L60" s="74">
        <f t="shared" si="7"/>
        <v>0</v>
      </c>
      <c r="M60" s="74">
        <f t="shared" si="7"/>
        <v>0</v>
      </c>
      <c r="N60" s="74">
        <f t="shared" si="7"/>
        <v>0</v>
      </c>
      <c r="O60" s="74">
        <f t="shared" si="7"/>
        <v>0</v>
      </c>
      <c r="P60" s="74">
        <f t="shared" si="7"/>
        <v>0</v>
      </c>
      <c r="Q60" s="74">
        <f t="shared" si="7"/>
        <v>0</v>
      </c>
      <c r="R60" s="74">
        <f t="shared" si="7"/>
        <v>0</v>
      </c>
      <c r="S60" s="74">
        <f t="shared" si="7"/>
        <v>0</v>
      </c>
      <c r="T60" s="74">
        <f t="shared" si="7"/>
        <v>0</v>
      </c>
      <c r="U60" s="74">
        <f t="shared" si="7"/>
        <v>0</v>
      </c>
      <c r="V60" s="74">
        <f t="shared" si="7"/>
        <v>0</v>
      </c>
      <c r="W60" s="74">
        <f t="shared" si="7"/>
        <v>0</v>
      </c>
      <c r="X60" s="74">
        <f t="shared" si="7"/>
        <v>0</v>
      </c>
      <c r="Y60" s="75"/>
    </row>
    <row r="61" spans="3:25" ht="15.75" thickBot="1" x14ac:dyDescent="0.3">
      <c r="C61" s="61" t="s">
        <v>139</v>
      </c>
      <c r="D61" s="76">
        <f>D60</f>
        <v>0</v>
      </c>
      <c r="E61" s="77">
        <f>D61+E60</f>
        <v>0</v>
      </c>
      <c r="F61" s="78">
        <f t="shared" ref="F61:X61" si="8">E61+F60</f>
        <v>0</v>
      </c>
      <c r="G61" s="78">
        <f t="shared" si="8"/>
        <v>0</v>
      </c>
      <c r="H61" s="78">
        <f t="shared" si="8"/>
        <v>0</v>
      </c>
      <c r="I61" s="78">
        <f t="shared" si="8"/>
        <v>0</v>
      </c>
      <c r="J61" s="78">
        <f t="shared" si="8"/>
        <v>0</v>
      </c>
      <c r="K61" s="78">
        <f t="shared" si="8"/>
        <v>0</v>
      </c>
      <c r="L61" s="78">
        <f t="shared" si="8"/>
        <v>0</v>
      </c>
      <c r="M61" s="78">
        <f t="shared" si="8"/>
        <v>0</v>
      </c>
      <c r="N61" s="78">
        <f t="shared" si="8"/>
        <v>0</v>
      </c>
      <c r="O61" s="78">
        <f t="shared" si="8"/>
        <v>0</v>
      </c>
      <c r="P61" s="78">
        <f t="shared" si="8"/>
        <v>0</v>
      </c>
      <c r="Q61" s="78">
        <f t="shared" si="8"/>
        <v>0</v>
      </c>
      <c r="R61" s="78">
        <f t="shared" si="8"/>
        <v>0</v>
      </c>
      <c r="S61" s="78">
        <f t="shared" si="8"/>
        <v>0</v>
      </c>
      <c r="T61" s="78">
        <f t="shared" si="8"/>
        <v>0</v>
      </c>
      <c r="U61" s="78">
        <f t="shared" si="8"/>
        <v>0</v>
      </c>
      <c r="V61" s="78">
        <f t="shared" si="8"/>
        <v>0</v>
      </c>
      <c r="W61" s="78">
        <f t="shared" si="8"/>
        <v>0</v>
      </c>
      <c r="X61" s="79">
        <f t="shared" si="8"/>
        <v>0</v>
      </c>
      <c r="Y61" s="79"/>
    </row>
    <row r="62" spans="3:25" ht="15.75" thickBot="1" x14ac:dyDescent="0.3">
      <c r="D62" s="70" t="s">
        <v>101</v>
      </c>
      <c r="E62" s="71">
        <f>NPV(3.5%,D60:W60)</f>
        <v>0</v>
      </c>
    </row>
    <row r="63" spans="3:25" x14ac:dyDescent="0.25">
      <c r="D63" s="51"/>
      <c r="E63" s="51"/>
    </row>
    <row r="64" spans="3:2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sheetData>
  <sheetProtection algorithmName="SHA-512" hashValue="wxmoMy1BZtvktCpm9fjaKcq6zq79jhVRCZPBti57sZZLzkCxMSsy1HuFOCEygAGLFQ+b/r8bi7HIliajQubRtA==" saltValue="rt5Y5E9VCt9HBjL3+bOOfg==" spinCount="100000" sheet="1" formatCells="0" formatColumns="0" formatRows="0" insertColumns="0" insertRows="0" insertHyperlinks="0" deleteColumns="0" deleteRows="0" sort="0" autoFilter="0" pivotTables="0"/>
  <mergeCells count="1">
    <mergeCell ref="B4:H4"/>
  </mergeCells>
  <printOptions horizontalCentered="1"/>
  <pageMargins left="0.31496062992125984" right="0.31496062992125984" top="0.35433070866141736" bottom="0.74803149606299213" header="0.31496062992125984" footer="0.31496062992125984"/>
  <pageSetup paperSize="9" scale="35" orientation="landscape" r:id="rId1"/>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1435-5553-4EC2-AA18-E724FAA75AA4}">
  <sheetPr codeName="Sheet11">
    <tabColor rgb="FFFF0000"/>
  </sheetPr>
  <dimension ref="B3:E113"/>
  <sheetViews>
    <sheetView workbookViewId="0">
      <selection activeCell="I36" sqref="I36"/>
    </sheetView>
  </sheetViews>
  <sheetFormatPr defaultRowHeight="12.75" x14ac:dyDescent="0.2"/>
  <cols>
    <col min="1" max="1" width="8.7109375" style="415"/>
    <col min="2" max="2" width="13.85546875" style="415" customWidth="1"/>
    <col min="3" max="3" width="32.5703125" style="415" bestFit="1" customWidth="1"/>
    <col min="4" max="4" width="40.5703125" style="415" bestFit="1" customWidth="1"/>
    <col min="5" max="5" width="15.28515625" style="415" customWidth="1"/>
    <col min="6" max="257" width="8.7109375" style="415"/>
    <col min="258" max="258" width="13.85546875" style="415" customWidth="1"/>
    <col min="259" max="259" width="32.5703125" style="415" bestFit="1" customWidth="1"/>
    <col min="260" max="260" width="40.5703125" style="415" bestFit="1" customWidth="1"/>
    <col min="261" max="261" width="15.28515625" style="415" customWidth="1"/>
    <col min="262" max="513" width="8.7109375" style="415"/>
    <col min="514" max="514" width="13.85546875" style="415" customWidth="1"/>
    <col min="515" max="515" width="32.5703125" style="415" bestFit="1" customWidth="1"/>
    <col min="516" max="516" width="40.5703125" style="415" bestFit="1" customWidth="1"/>
    <col min="517" max="517" width="15.28515625" style="415" customWidth="1"/>
    <col min="518" max="769" width="8.7109375" style="415"/>
    <col min="770" max="770" width="13.85546875" style="415" customWidth="1"/>
    <col min="771" max="771" width="32.5703125" style="415" bestFit="1" customWidth="1"/>
    <col min="772" max="772" width="40.5703125" style="415" bestFit="1" customWidth="1"/>
    <col min="773" max="773" width="15.28515625" style="415" customWidth="1"/>
    <col min="774" max="1025" width="8.7109375" style="415"/>
    <col min="1026" max="1026" width="13.85546875" style="415" customWidth="1"/>
    <col min="1027" max="1027" width="32.5703125" style="415" bestFit="1" customWidth="1"/>
    <col min="1028" max="1028" width="40.5703125" style="415" bestFit="1" customWidth="1"/>
    <col min="1029" max="1029" width="15.28515625" style="415" customWidth="1"/>
    <col min="1030" max="1281" width="8.7109375" style="415"/>
    <col min="1282" max="1282" width="13.85546875" style="415" customWidth="1"/>
    <col min="1283" max="1283" width="32.5703125" style="415" bestFit="1" customWidth="1"/>
    <col min="1284" max="1284" width="40.5703125" style="415" bestFit="1" customWidth="1"/>
    <col min="1285" max="1285" width="15.28515625" style="415" customWidth="1"/>
    <col min="1286" max="1537" width="8.7109375" style="415"/>
    <col min="1538" max="1538" width="13.85546875" style="415" customWidth="1"/>
    <col min="1539" max="1539" width="32.5703125" style="415" bestFit="1" customWidth="1"/>
    <col min="1540" max="1540" width="40.5703125" style="415" bestFit="1" customWidth="1"/>
    <col min="1541" max="1541" width="15.28515625" style="415" customWidth="1"/>
    <col min="1542" max="1793" width="8.7109375" style="415"/>
    <col min="1794" max="1794" width="13.85546875" style="415" customWidth="1"/>
    <col min="1795" max="1795" width="32.5703125" style="415" bestFit="1" customWidth="1"/>
    <col min="1796" max="1796" width="40.5703125" style="415" bestFit="1" customWidth="1"/>
    <col min="1797" max="1797" width="15.28515625" style="415" customWidth="1"/>
    <col min="1798" max="2049" width="8.7109375" style="415"/>
    <col min="2050" max="2050" width="13.85546875" style="415" customWidth="1"/>
    <col min="2051" max="2051" width="32.5703125" style="415" bestFit="1" customWidth="1"/>
    <col min="2052" max="2052" width="40.5703125" style="415" bestFit="1" customWidth="1"/>
    <col min="2053" max="2053" width="15.28515625" style="415" customWidth="1"/>
    <col min="2054" max="2305" width="8.7109375" style="415"/>
    <col min="2306" max="2306" width="13.85546875" style="415" customWidth="1"/>
    <col min="2307" max="2307" width="32.5703125" style="415" bestFit="1" customWidth="1"/>
    <col min="2308" max="2308" width="40.5703125" style="415" bestFit="1" customWidth="1"/>
    <col min="2309" max="2309" width="15.28515625" style="415" customWidth="1"/>
    <col min="2310" max="2561" width="8.7109375" style="415"/>
    <col min="2562" max="2562" width="13.85546875" style="415" customWidth="1"/>
    <col min="2563" max="2563" width="32.5703125" style="415" bestFit="1" customWidth="1"/>
    <col min="2564" max="2564" width="40.5703125" style="415" bestFit="1" customWidth="1"/>
    <col min="2565" max="2565" width="15.28515625" style="415" customWidth="1"/>
    <col min="2566" max="2817" width="8.7109375" style="415"/>
    <col min="2818" max="2818" width="13.85546875" style="415" customWidth="1"/>
    <col min="2819" max="2819" width="32.5703125" style="415" bestFit="1" customWidth="1"/>
    <col min="2820" max="2820" width="40.5703125" style="415" bestFit="1" customWidth="1"/>
    <col min="2821" max="2821" width="15.28515625" style="415" customWidth="1"/>
    <col min="2822" max="3073" width="8.7109375" style="415"/>
    <col min="3074" max="3074" width="13.85546875" style="415" customWidth="1"/>
    <col min="3075" max="3075" width="32.5703125" style="415" bestFit="1" customWidth="1"/>
    <col min="3076" max="3076" width="40.5703125" style="415" bestFit="1" customWidth="1"/>
    <col min="3077" max="3077" width="15.28515625" style="415" customWidth="1"/>
    <col min="3078" max="3329" width="8.7109375" style="415"/>
    <col min="3330" max="3330" width="13.85546875" style="415" customWidth="1"/>
    <col min="3331" max="3331" width="32.5703125" style="415" bestFit="1" customWidth="1"/>
    <col min="3332" max="3332" width="40.5703125" style="415" bestFit="1" customWidth="1"/>
    <col min="3333" max="3333" width="15.28515625" style="415" customWidth="1"/>
    <col min="3334" max="3585" width="8.7109375" style="415"/>
    <col min="3586" max="3586" width="13.85546875" style="415" customWidth="1"/>
    <col min="3587" max="3587" width="32.5703125" style="415" bestFit="1" customWidth="1"/>
    <col min="3588" max="3588" width="40.5703125" style="415" bestFit="1" customWidth="1"/>
    <col min="3589" max="3589" width="15.28515625" style="415" customWidth="1"/>
    <col min="3590" max="3841" width="8.7109375" style="415"/>
    <col min="3842" max="3842" width="13.85546875" style="415" customWidth="1"/>
    <col min="3843" max="3843" width="32.5703125" style="415" bestFit="1" customWidth="1"/>
    <col min="3844" max="3844" width="40.5703125" style="415" bestFit="1" customWidth="1"/>
    <col min="3845" max="3845" width="15.28515625" style="415" customWidth="1"/>
    <col min="3846" max="4097" width="8.7109375" style="415"/>
    <col min="4098" max="4098" width="13.85546875" style="415" customWidth="1"/>
    <col min="4099" max="4099" width="32.5703125" style="415" bestFit="1" customWidth="1"/>
    <col min="4100" max="4100" width="40.5703125" style="415" bestFit="1" customWidth="1"/>
    <col min="4101" max="4101" width="15.28515625" style="415" customWidth="1"/>
    <col min="4102" max="4353" width="8.7109375" style="415"/>
    <col min="4354" max="4354" width="13.85546875" style="415" customWidth="1"/>
    <col min="4355" max="4355" width="32.5703125" style="415" bestFit="1" customWidth="1"/>
    <col min="4356" max="4356" width="40.5703125" style="415" bestFit="1" customWidth="1"/>
    <col min="4357" max="4357" width="15.28515625" style="415" customWidth="1"/>
    <col min="4358" max="4609" width="8.7109375" style="415"/>
    <col min="4610" max="4610" width="13.85546875" style="415" customWidth="1"/>
    <col min="4611" max="4611" width="32.5703125" style="415" bestFit="1" customWidth="1"/>
    <col min="4612" max="4612" width="40.5703125" style="415" bestFit="1" customWidth="1"/>
    <col min="4613" max="4613" width="15.28515625" style="415" customWidth="1"/>
    <col min="4614" max="4865" width="8.7109375" style="415"/>
    <col min="4866" max="4866" width="13.85546875" style="415" customWidth="1"/>
    <col min="4867" max="4867" width="32.5703125" style="415" bestFit="1" customWidth="1"/>
    <col min="4868" max="4868" width="40.5703125" style="415" bestFit="1" customWidth="1"/>
    <col min="4869" max="4869" width="15.28515625" style="415" customWidth="1"/>
    <col min="4870" max="5121" width="8.7109375" style="415"/>
    <col min="5122" max="5122" width="13.85546875" style="415" customWidth="1"/>
    <col min="5123" max="5123" width="32.5703125" style="415" bestFit="1" customWidth="1"/>
    <col min="5124" max="5124" width="40.5703125" style="415" bestFit="1" customWidth="1"/>
    <col min="5125" max="5125" width="15.28515625" style="415" customWidth="1"/>
    <col min="5126" max="5377" width="8.7109375" style="415"/>
    <col min="5378" max="5378" width="13.85546875" style="415" customWidth="1"/>
    <col min="5379" max="5379" width="32.5703125" style="415" bestFit="1" customWidth="1"/>
    <col min="5380" max="5380" width="40.5703125" style="415" bestFit="1" customWidth="1"/>
    <col min="5381" max="5381" width="15.28515625" style="415" customWidth="1"/>
    <col min="5382" max="5633" width="8.7109375" style="415"/>
    <col min="5634" max="5634" width="13.85546875" style="415" customWidth="1"/>
    <col min="5635" max="5635" width="32.5703125" style="415" bestFit="1" customWidth="1"/>
    <col min="5636" max="5636" width="40.5703125" style="415" bestFit="1" customWidth="1"/>
    <col min="5637" max="5637" width="15.28515625" style="415" customWidth="1"/>
    <col min="5638" max="5889" width="8.7109375" style="415"/>
    <col min="5890" max="5890" width="13.85546875" style="415" customWidth="1"/>
    <col min="5891" max="5891" width="32.5703125" style="415" bestFit="1" customWidth="1"/>
    <col min="5892" max="5892" width="40.5703125" style="415" bestFit="1" customWidth="1"/>
    <col min="5893" max="5893" width="15.28515625" style="415" customWidth="1"/>
    <col min="5894" max="6145" width="8.7109375" style="415"/>
    <col min="6146" max="6146" width="13.85546875" style="415" customWidth="1"/>
    <col min="6147" max="6147" width="32.5703125" style="415" bestFit="1" customWidth="1"/>
    <col min="6148" max="6148" width="40.5703125" style="415" bestFit="1" customWidth="1"/>
    <col min="6149" max="6149" width="15.28515625" style="415" customWidth="1"/>
    <col min="6150" max="6401" width="8.7109375" style="415"/>
    <col min="6402" max="6402" width="13.85546875" style="415" customWidth="1"/>
    <col min="6403" max="6403" width="32.5703125" style="415" bestFit="1" customWidth="1"/>
    <col min="6404" max="6404" width="40.5703125" style="415" bestFit="1" customWidth="1"/>
    <col min="6405" max="6405" width="15.28515625" style="415" customWidth="1"/>
    <col min="6406" max="6657" width="8.7109375" style="415"/>
    <col min="6658" max="6658" width="13.85546875" style="415" customWidth="1"/>
    <col min="6659" max="6659" width="32.5703125" style="415" bestFit="1" customWidth="1"/>
    <col min="6660" max="6660" width="40.5703125" style="415" bestFit="1" customWidth="1"/>
    <col min="6661" max="6661" width="15.28515625" style="415" customWidth="1"/>
    <col min="6662" max="6913" width="8.7109375" style="415"/>
    <col min="6914" max="6914" width="13.85546875" style="415" customWidth="1"/>
    <col min="6915" max="6915" width="32.5703125" style="415" bestFit="1" customWidth="1"/>
    <col min="6916" max="6916" width="40.5703125" style="415" bestFit="1" customWidth="1"/>
    <col min="6917" max="6917" width="15.28515625" style="415" customWidth="1"/>
    <col min="6918" max="7169" width="8.7109375" style="415"/>
    <col min="7170" max="7170" width="13.85546875" style="415" customWidth="1"/>
    <col min="7171" max="7171" width="32.5703125" style="415" bestFit="1" customWidth="1"/>
    <col min="7172" max="7172" width="40.5703125" style="415" bestFit="1" customWidth="1"/>
    <col min="7173" max="7173" width="15.28515625" style="415" customWidth="1"/>
    <col min="7174" max="7425" width="8.7109375" style="415"/>
    <col min="7426" max="7426" width="13.85546875" style="415" customWidth="1"/>
    <col min="7427" max="7427" width="32.5703125" style="415" bestFit="1" customWidth="1"/>
    <col min="7428" max="7428" width="40.5703125" style="415" bestFit="1" customWidth="1"/>
    <col min="7429" max="7429" width="15.28515625" style="415" customWidth="1"/>
    <col min="7430" max="7681" width="8.7109375" style="415"/>
    <col min="7682" max="7682" width="13.85546875" style="415" customWidth="1"/>
    <col min="7683" max="7683" width="32.5703125" style="415" bestFit="1" customWidth="1"/>
    <col min="7684" max="7684" width="40.5703125" style="415" bestFit="1" customWidth="1"/>
    <col min="7685" max="7685" width="15.28515625" style="415" customWidth="1"/>
    <col min="7686" max="7937" width="8.7109375" style="415"/>
    <col min="7938" max="7938" width="13.85546875" style="415" customWidth="1"/>
    <col min="7939" max="7939" width="32.5703125" style="415" bestFit="1" customWidth="1"/>
    <col min="7940" max="7940" width="40.5703125" style="415" bestFit="1" customWidth="1"/>
    <col min="7941" max="7941" width="15.28515625" style="415" customWidth="1"/>
    <col min="7942" max="8193" width="8.7109375" style="415"/>
    <col min="8194" max="8194" width="13.85546875" style="415" customWidth="1"/>
    <col min="8195" max="8195" width="32.5703125" style="415" bestFit="1" customWidth="1"/>
    <col min="8196" max="8196" width="40.5703125" style="415" bestFit="1" customWidth="1"/>
    <col min="8197" max="8197" width="15.28515625" style="415" customWidth="1"/>
    <col min="8198" max="8449" width="8.7109375" style="415"/>
    <col min="8450" max="8450" width="13.85546875" style="415" customWidth="1"/>
    <col min="8451" max="8451" width="32.5703125" style="415" bestFit="1" customWidth="1"/>
    <col min="8452" max="8452" width="40.5703125" style="415" bestFit="1" customWidth="1"/>
    <col min="8453" max="8453" width="15.28515625" style="415" customWidth="1"/>
    <col min="8454" max="8705" width="8.7109375" style="415"/>
    <col min="8706" max="8706" width="13.85546875" style="415" customWidth="1"/>
    <col min="8707" max="8707" width="32.5703125" style="415" bestFit="1" customWidth="1"/>
    <col min="8708" max="8708" width="40.5703125" style="415" bestFit="1" customWidth="1"/>
    <col min="8709" max="8709" width="15.28515625" style="415" customWidth="1"/>
    <col min="8710" max="8961" width="8.7109375" style="415"/>
    <col min="8962" max="8962" width="13.85546875" style="415" customWidth="1"/>
    <col min="8963" max="8963" width="32.5703125" style="415" bestFit="1" customWidth="1"/>
    <col min="8964" max="8964" width="40.5703125" style="415" bestFit="1" customWidth="1"/>
    <col min="8965" max="8965" width="15.28515625" style="415" customWidth="1"/>
    <col min="8966" max="9217" width="8.7109375" style="415"/>
    <col min="9218" max="9218" width="13.85546875" style="415" customWidth="1"/>
    <col min="9219" max="9219" width="32.5703125" style="415" bestFit="1" customWidth="1"/>
    <col min="9220" max="9220" width="40.5703125" style="415" bestFit="1" customWidth="1"/>
    <col min="9221" max="9221" width="15.28515625" style="415" customWidth="1"/>
    <col min="9222" max="9473" width="8.7109375" style="415"/>
    <col min="9474" max="9474" width="13.85546875" style="415" customWidth="1"/>
    <col min="9475" max="9475" width="32.5703125" style="415" bestFit="1" customWidth="1"/>
    <col min="9476" max="9476" width="40.5703125" style="415" bestFit="1" customWidth="1"/>
    <col min="9477" max="9477" width="15.28515625" style="415" customWidth="1"/>
    <col min="9478" max="9729" width="8.7109375" style="415"/>
    <col min="9730" max="9730" width="13.85546875" style="415" customWidth="1"/>
    <col min="9731" max="9731" width="32.5703125" style="415" bestFit="1" customWidth="1"/>
    <col min="9732" max="9732" width="40.5703125" style="415" bestFit="1" customWidth="1"/>
    <col min="9733" max="9733" width="15.28515625" style="415" customWidth="1"/>
    <col min="9734" max="9985" width="8.7109375" style="415"/>
    <col min="9986" max="9986" width="13.85546875" style="415" customWidth="1"/>
    <col min="9987" max="9987" width="32.5703125" style="415" bestFit="1" customWidth="1"/>
    <col min="9988" max="9988" width="40.5703125" style="415" bestFit="1" customWidth="1"/>
    <col min="9989" max="9989" width="15.28515625" style="415" customWidth="1"/>
    <col min="9990" max="10241" width="8.7109375" style="415"/>
    <col min="10242" max="10242" width="13.85546875" style="415" customWidth="1"/>
    <col min="10243" max="10243" width="32.5703125" style="415" bestFit="1" customWidth="1"/>
    <col min="10244" max="10244" width="40.5703125" style="415" bestFit="1" customWidth="1"/>
    <col min="10245" max="10245" width="15.28515625" style="415" customWidth="1"/>
    <col min="10246" max="10497" width="8.7109375" style="415"/>
    <col min="10498" max="10498" width="13.85546875" style="415" customWidth="1"/>
    <col min="10499" max="10499" width="32.5703125" style="415" bestFit="1" customWidth="1"/>
    <col min="10500" max="10500" width="40.5703125" style="415" bestFit="1" customWidth="1"/>
    <col min="10501" max="10501" width="15.28515625" style="415" customWidth="1"/>
    <col min="10502" max="10753" width="8.7109375" style="415"/>
    <col min="10754" max="10754" width="13.85546875" style="415" customWidth="1"/>
    <col min="10755" max="10755" width="32.5703125" style="415" bestFit="1" customWidth="1"/>
    <col min="10756" max="10756" width="40.5703125" style="415" bestFit="1" customWidth="1"/>
    <col min="10757" max="10757" width="15.28515625" style="415" customWidth="1"/>
    <col min="10758" max="11009" width="8.7109375" style="415"/>
    <col min="11010" max="11010" width="13.85546875" style="415" customWidth="1"/>
    <col min="11011" max="11011" width="32.5703125" style="415" bestFit="1" customWidth="1"/>
    <col min="11012" max="11012" width="40.5703125" style="415" bestFit="1" customWidth="1"/>
    <col min="11013" max="11013" width="15.28515625" style="415" customWidth="1"/>
    <col min="11014" max="11265" width="8.7109375" style="415"/>
    <col min="11266" max="11266" width="13.85546875" style="415" customWidth="1"/>
    <col min="11267" max="11267" width="32.5703125" style="415" bestFit="1" customWidth="1"/>
    <col min="11268" max="11268" width="40.5703125" style="415" bestFit="1" customWidth="1"/>
    <col min="11269" max="11269" width="15.28515625" style="415" customWidth="1"/>
    <col min="11270" max="11521" width="8.7109375" style="415"/>
    <col min="11522" max="11522" width="13.85546875" style="415" customWidth="1"/>
    <col min="11523" max="11523" width="32.5703125" style="415" bestFit="1" customWidth="1"/>
    <col min="11524" max="11524" width="40.5703125" style="415" bestFit="1" customWidth="1"/>
    <col min="11525" max="11525" width="15.28515625" style="415" customWidth="1"/>
    <col min="11526" max="11777" width="8.7109375" style="415"/>
    <col min="11778" max="11778" width="13.85546875" style="415" customWidth="1"/>
    <col min="11779" max="11779" width="32.5703125" style="415" bestFit="1" customWidth="1"/>
    <col min="11780" max="11780" width="40.5703125" style="415" bestFit="1" customWidth="1"/>
    <col min="11781" max="11781" width="15.28515625" style="415" customWidth="1"/>
    <col min="11782" max="12033" width="8.7109375" style="415"/>
    <col min="12034" max="12034" width="13.85546875" style="415" customWidth="1"/>
    <col min="12035" max="12035" width="32.5703125" style="415" bestFit="1" customWidth="1"/>
    <col min="12036" max="12036" width="40.5703125" style="415" bestFit="1" customWidth="1"/>
    <col min="12037" max="12037" width="15.28515625" style="415" customWidth="1"/>
    <col min="12038" max="12289" width="8.7109375" style="415"/>
    <col min="12290" max="12290" width="13.85546875" style="415" customWidth="1"/>
    <col min="12291" max="12291" width="32.5703125" style="415" bestFit="1" customWidth="1"/>
    <col min="12292" max="12292" width="40.5703125" style="415" bestFit="1" customWidth="1"/>
    <col min="12293" max="12293" width="15.28515625" style="415" customWidth="1"/>
    <col min="12294" max="12545" width="8.7109375" style="415"/>
    <col min="12546" max="12546" width="13.85546875" style="415" customWidth="1"/>
    <col min="12547" max="12547" width="32.5703125" style="415" bestFit="1" customWidth="1"/>
    <col min="12548" max="12548" width="40.5703125" style="415" bestFit="1" customWidth="1"/>
    <col min="12549" max="12549" width="15.28515625" style="415" customWidth="1"/>
    <col min="12550" max="12801" width="8.7109375" style="415"/>
    <col min="12802" max="12802" width="13.85546875" style="415" customWidth="1"/>
    <col min="12803" max="12803" width="32.5703125" style="415" bestFit="1" customWidth="1"/>
    <col min="12804" max="12804" width="40.5703125" style="415" bestFit="1" customWidth="1"/>
    <col min="12805" max="12805" width="15.28515625" style="415" customWidth="1"/>
    <col min="12806" max="13057" width="8.7109375" style="415"/>
    <col min="13058" max="13058" width="13.85546875" style="415" customWidth="1"/>
    <col min="13059" max="13059" width="32.5703125" style="415" bestFit="1" customWidth="1"/>
    <col min="13060" max="13060" width="40.5703125" style="415" bestFit="1" customWidth="1"/>
    <col min="13061" max="13061" width="15.28515625" style="415" customWidth="1"/>
    <col min="13062" max="13313" width="8.7109375" style="415"/>
    <col min="13314" max="13314" width="13.85546875" style="415" customWidth="1"/>
    <col min="13315" max="13315" width="32.5703125" style="415" bestFit="1" customWidth="1"/>
    <col min="13316" max="13316" width="40.5703125" style="415" bestFit="1" customWidth="1"/>
    <col min="13317" max="13317" width="15.28515625" style="415" customWidth="1"/>
    <col min="13318" max="13569" width="8.7109375" style="415"/>
    <col min="13570" max="13570" width="13.85546875" style="415" customWidth="1"/>
    <col min="13571" max="13571" width="32.5703125" style="415" bestFit="1" customWidth="1"/>
    <col min="13572" max="13572" width="40.5703125" style="415" bestFit="1" customWidth="1"/>
    <col min="13573" max="13573" width="15.28515625" style="415" customWidth="1"/>
    <col min="13574" max="13825" width="8.7109375" style="415"/>
    <col min="13826" max="13826" width="13.85546875" style="415" customWidth="1"/>
    <col min="13827" max="13827" width="32.5703125" style="415" bestFit="1" customWidth="1"/>
    <col min="13828" max="13828" width="40.5703125" style="415" bestFit="1" customWidth="1"/>
    <col min="13829" max="13829" width="15.28515625" style="415" customWidth="1"/>
    <col min="13830" max="14081" width="8.7109375" style="415"/>
    <col min="14082" max="14082" width="13.85546875" style="415" customWidth="1"/>
    <col min="14083" max="14083" width="32.5703125" style="415" bestFit="1" customWidth="1"/>
    <col min="14084" max="14084" width="40.5703125" style="415" bestFit="1" customWidth="1"/>
    <col min="14085" max="14085" width="15.28515625" style="415" customWidth="1"/>
    <col min="14086" max="14337" width="8.7109375" style="415"/>
    <col min="14338" max="14338" width="13.85546875" style="415" customWidth="1"/>
    <col min="14339" max="14339" width="32.5703125" style="415" bestFit="1" customWidth="1"/>
    <col min="14340" max="14340" width="40.5703125" style="415" bestFit="1" customWidth="1"/>
    <col min="14341" max="14341" width="15.28515625" style="415" customWidth="1"/>
    <col min="14342" max="14593" width="8.7109375" style="415"/>
    <col min="14594" max="14594" width="13.85546875" style="415" customWidth="1"/>
    <col min="14595" max="14595" width="32.5703125" style="415" bestFit="1" customWidth="1"/>
    <col min="14596" max="14596" width="40.5703125" style="415" bestFit="1" customWidth="1"/>
    <col min="14597" max="14597" width="15.28515625" style="415" customWidth="1"/>
    <col min="14598" max="14849" width="8.7109375" style="415"/>
    <col min="14850" max="14850" width="13.85546875" style="415" customWidth="1"/>
    <col min="14851" max="14851" width="32.5703125" style="415" bestFit="1" customWidth="1"/>
    <col min="14852" max="14852" width="40.5703125" style="415" bestFit="1" customWidth="1"/>
    <col min="14853" max="14853" width="15.28515625" style="415" customWidth="1"/>
    <col min="14854" max="15105" width="8.7109375" style="415"/>
    <col min="15106" max="15106" width="13.85546875" style="415" customWidth="1"/>
    <col min="15107" max="15107" width="32.5703125" style="415" bestFit="1" customWidth="1"/>
    <col min="15108" max="15108" width="40.5703125" style="415" bestFit="1" customWidth="1"/>
    <col min="15109" max="15109" width="15.28515625" style="415" customWidth="1"/>
    <col min="15110" max="15361" width="8.7109375" style="415"/>
    <col min="15362" max="15362" width="13.85546875" style="415" customWidth="1"/>
    <col min="15363" max="15363" width="32.5703125" style="415" bestFit="1" customWidth="1"/>
    <col min="15364" max="15364" width="40.5703125" style="415" bestFit="1" customWidth="1"/>
    <col min="15365" max="15365" width="15.28515625" style="415" customWidth="1"/>
    <col min="15366" max="15617" width="8.7109375" style="415"/>
    <col min="15618" max="15618" width="13.85546875" style="415" customWidth="1"/>
    <col min="15619" max="15619" width="32.5703125" style="415" bestFit="1" customWidth="1"/>
    <col min="15620" max="15620" width="40.5703125" style="415" bestFit="1" customWidth="1"/>
    <col min="15621" max="15621" width="15.28515625" style="415" customWidth="1"/>
    <col min="15622" max="15873" width="8.7109375" style="415"/>
    <col min="15874" max="15874" width="13.85546875" style="415" customWidth="1"/>
    <col min="15875" max="15875" width="32.5703125" style="415" bestFit="1" customWidth="1"/>
    <col min="15876" max="15876" width="40.5703125" style="415" bestFit="1" customWidth="1"/>
    <col min="15877" max="15877" width="15.28515625" style="415" customWidth="1"/>
    <col min="15878" max="16129" width="8.7109375" style="415"/>
    <col min="16130" max="16130" width="13.85546875" style="415" customWidth="1"/>
    <col min="16131" max="16131" width="32.5703125" style="415" bestFit="1" customWidth="1"/>
    <col min="16132" max="16132" width="40.5703125" style="415" bestFit="1" customWidth="1"/>
    <col min="16133" max="16133" width="15.28515625" style="415" customWidth="1"/>
    <col min="16134" max="16384" width="8.7109375" style="415"/>
  </cols>
  <sheetData>
    <row r="3" spans="2:5" x14ac:dyDescent="0.2">
      <c r="B3" s="414" t="s">
        <v>142</v>
      </c>
      <c r="C3" s="414" t="s">
        <v>143</v>
      </c>
      <c r="D3" s="414" t="s">
        <v>144</v>
      </c>
      <c r="E3" s="414" t="s">
        <v>75</v>
      </c>
    </row>
    <row r="4" spans="2:5" x14ac:dyDescent="0.2">
      <c r="B4" s="415" t="s">
        <v>145</v>
      </c>
    </row>
    <row r="5" spans="2:5" x14ac:dyDescent="0.2">
      <c r="B5" s="415" t="s">
        <v>145</v>
      </c>
      <c r="C5" s="416" t="s">
        <v>145</v>
      </c>
      <c r="D5" s="417" t="s">
        <v>146</v>
      </c>
      <c r="E5" s="415">
        <v>15</v>
      </c>
    </row>
    <row r="6" spans="2:5" x14ac:dyDescent="0.2">
      <c r="B6" s="415" t="s">
        <v>145</v>
      </c>
      <c r="C6" s="416" t="s">
        <v>145</v>
      </c>
      <c r="D6" s="418" t="s">
        <v>147</v>
      </c>
      <c r="E6" s="415">
        <v>15</v>
      </c>
    </row>
    <row r="7" spans="2:5" x14ac:dyDescent="0.2">
      <c r="B7" s="415" t="s">
        <v>145</v>
      </c>
      <c r="C7" s="416" t="s">
        <v>145</v>
      </c>
      <c r="D7" s="418" t="s">
        <v>148</v>
      </c>
      <c r="E7" s="415">
        <v>15</v>
      </c>
    </row>
    <row r="8" spans="2:5" x14ac:dyDescent="0.2">
      <c r="B8" s="415" t="s">
        <v>149</v>
      </c>
      <c r="C8" s="416" t="s">
        <v>150</v>
      </c>
      <c r="D8" s="417" t="s">
        <v>151</v>
      </c>
      <c r="E8" s="415">
        <v>20</v>
      </c>
    </row>
    <row r="9" spans="2:5" x14ac:dyDescent="0.2">
      <c r="B9" s="415" t="s">
        <v>149</v>
      </c>
      <c r="C9" s="419" t="s">
        <v>152</v>
      </c>
      <c r="D9" s="417" t="s">
        <v>153</v>
      </c>
      <c r="E9" s="415">
        <v>20</v>
      </c>
    </row>
    <row r="10" spans="2:5" x14ac:dyDescent="0.2">
      <c r="B10" s="415" t="s">
        <v>149</v>
      </c>
      <c r="C10" s="419" t="s">
        <v>152</v>
      </c>
      <c r="D10" s="417" t="s">
        <v>154</v>
      </c>
      <c r="E10" s="415">
        <v>20</v>
      </c>
    </row>
    <row r="11" spans="2:5" x14ac:dyDescent="0.2">
      <c r="B11" s="415" t="s">
        <v>149</v>
      </c>
      <c r="C11" s="419" t="s">
        <v>152</v>
      </c>
      <c r="D11" s="417" t="s">
        <v>155</v>
      </c>
      <c r="E11" s="415">
        <v>30</v>
      </c>
    </row>
    <row r="12" spans="2:5" x14ac:dyDescent="0.2">
      <c r="B12" s="415" t="s">
        <v>149</v>
      </c>
      <c r="C12" s="419" t="s">
        <v>152</v>
      </c>
      <c r="D12" s="417" t="s">
        <v>156</v>
      </c>
      <c r="E12" s="415">
        <v>20</v>
      </c>
    </row>
    <row r="13" spans="2:5" x14ac:dyDescent="0.2">
      <c r="B13" s="415" t="s">
        <v>149</v>
      </c>
      <c r="C13" s="419" t="s">
        <v>157</v>
      </c>
      <c r="D13" s="417" t="s">
        <v>158</v>
      </c>
      <c r="E13" s="415">
        <v>20</v>
      </c>
    </row>
    <row r="14" spans="2:5" x14ac:dyDescent="0.2">
      <c r="B14" s="415" t="s">
        <v>149</v>
      </c>
      <c r="C14" s="419" t="s">
        <v>157</v>
      </c>
      <c r="D14" s="417" t="s">
        <v>159</v>
      </c>
      <c r="E14" s="415">
        <v>20</v>
      </c>
    </row>
    <row r="15" spans="2:5" x14ac:dyDescent="0.2">
      <c r="B15" s="415" t="s">
        <v>149</v>
      </c>
      <c r="C15" s="419" t="s">
        <v>157</v>
      </c>
      <c r="D15" s="417" t="s">
        <v>160</v>
      </c>
      <c r="E15" s="415">
        <v>20</v>
      </c>
    </row>
    <row r="16" spans="2:5" x14ac:dyDescent="0.2">
      <c r="B16" s="415" t="s">
        <v>149</v>
      </c>
      <c r="C16" s="419" t="s">
        <v>157</v>
      </c>
      <c r="D16" s="417" t="s">
        <v>161</v>
      </c>
      <c r="E16" s="415">
        <v>20</v>
      </c>
    </row>
    <row r="17" spans="2:5" x14ac:dyDescent="0.2">
      <c r="B17" s="415" t="s">
        <v>149</v>
      </c>
      <c r="C17" s="419" t="s">
        <v>157</v>
      </c>
      <c r="D17" s="417" t="s">
        <v>162</v>
      </c>
      <c r="E17" s="415">
        <v>15</v>
      </c>
    </row>
    <row r="18" spans="2:5" x14ac:dyDescent="0.2">
      <c r="B18" s="415" t="s">
        <v>149</v>
      </c>
      <c r="C18" s="419" t="s">
        <v>157</v>
      </c>
      <c r="D18" s="417" t="s">
        <v>163</v>
      </c>
      <c r="E18" s="415">
        <v>15</v>
      </c>
    </row>
    <row r="19" spans="2:5" x14ac:dyDescent="0.2">
      <c r="B19" s="415" t="s">
        <v>149</v>
      </c>
      <c r="C19" s="419" t="s">
        <v>157</v>
      </c>
      <c r="D19" s="417" t="s">
        <v>164</v>
      </c>
      <c r="E19" s="415">
        <v>15</v>
      </c>
    </row>
    <row r="20" spans="2:5" x14ac:dyDescent="0.2">
      <c r="B20" s="415" t="s">
        <v>149</v>
      </c>
      <c r="C20" s="419" t="s">
        <v>157</v>
      </c>
      <c r="D20" s="417" t="s">
        <v>165</v>
      </c>
      <c r="E20" s="415">
        <v>20</v>
      </c>
    </row>
    <row r="21" spans="2:5" x14ac:dyDescent="0.2">
      <c r="B21" s="415" t="s">
        <v>149</v>
      </c>
      <c r="C21" s="419" t="s">
        <v>62</v>
      </c>
      <c r="D21" s="417" t="s">
        <v>166</v>
      </c>
      <c r="E21" s="415">
        <v>20</v>
      </c>
    </row>
    <row r="22" spans="2:5" x14ac:dyDescent="0.2">
      <c r="B22" s="415" t="s">
        <v>149</v>
      </c>
      <c r="C22" s="419" t="s">
        <v>62</v>
      </c>
      <c r="D22" s="417" t="s">
        <v>167</v>
      </c>
      <c r="E22" s="415">
        <v>30</v>
      </c>
    </row>
    <row r="23" spans="2:5" x14ac:dyDescent="0.2">
      <c r="B23" s="415" t="s">
        <v>149</v>
      </c>
      <c r="C23" s="419" t="s">
        <v>62</v>
      </c>
      <c r="D23" s="420" t="s">
        <v>168</v>
      </c>
      <c r="E23" s="415">
        <v>15</v>
      </c>
    </row>
    <row r="24" spans="2:5" x14ac:dyDescent="0.2">
      <c r="B24" s="415" t="s">
        <v>149</v>
      </c>
      <c r="C24" s="419" t="s">
        <v>62</v>
      </c>
      <c r="D24" s="420" t="s">
        <v>169</v>
      </c>
      <c r="E24" s="415">
        <v>15</v>
      </c>
    </row>
    <row r="25" spans="2:5" x14ac:dyDescent="0.2">
      <c r="B25" s="415" t="s">
        <v>149</v>
      </c>
      <c r="C25" s="419" t="s">
        <v>170</v>
      </c>
      <c r="D25" s="420" t="s">
        <v>171</v>
      </c>
      <c r="E25" s="415">
        <v>20</v>
      </c>
    </row>
    <row r="26" spans="2:5" x14ac:dyDescent="0.2">
      <c r="B26" s="415" t="s">
        <v>149</v>
      </c>
      <c r="C26" s="419" t="s">
        <v>172</v>
      </c>
      <c r="D26" s="420" t="s">
        <v>173</v>
      </c>
      <c r="E26" s="415">
        <v>15</v>
      </c>
    </row>
    <row r="27" spans="2:5" x14ac:dyDescent="0.2">
      <c r="B27" s="415" t="s">
        <v>149</v>
      </c>
      <c r="C27" s="419" t="s">
        <v>172</v>
      </c>
      <c r="D27" s="420" t="s">
        <v>174</v>
      </c>
      <c r="E27" s="415">
        <v>30</v>
      </c>
    </row>
    <row r="28" spans="2:5" x14ac:dyDescent="0.2">
      <c r="B28" s="415" t="s">
        <v>149</v>
      </c>
      <c r="C28" s="419" t="s">
        <v>175</v>
      </c>
      <c r="D28" s="420" t="s">
        <v>176</v>
      </c>
      <c r="E28" s="415">
        <v>15</v>
      </c>
    </row>
    <row r="29" spans="2:5" x14ac:dyDescent="0.2">
      <c r="B29" s="415" t="s">
        <v>149</v>
      </c>
      <c r="C29" s="419" t="s">
        <v>175</v>
      </c>
      <c r="D29" s="420" t="s">
        <v>177</v>
      </c>
      <c r="E29" s="415">
        <v>15</v>
      </c>
    </row>
    <row r="30" spans="2:5" x14ac:dyDescent="0.2">
      <c r="B30" s="415" t="s">
        <v>149</v>
      </c>
      <c r="C30" s="419" t="s">
        <v>175</v>
      </c>
      <c r="D30" s="420" t="s">
        <v>178</v>
      </c>
      <c r="E30" s="415">
        <v>10</v>
      </c>
    </row>
    <row r="31" spans="2:5" x14ac:dyDescent="0.2">
      <c r="B31" s="415" t="s">
        <v>149</v>
      </c>
      <c r="C31" s="421" t="s">
        <v>179</v>
      </c>
      <c r="D31" s="420" t="s">
        <v>180</v>
      </c>
      <c r="E31" s="415">
        <v>15</v>
      </c>
    </row>
    <row r="32" spans="2:5" x14ac:dyDescent="0.2">
      <c r="B32" s="415" t="s">
        <v>149</v>
      </c>
      <c r="C32" s="421" t="s">
        <v>179</v>
      </c>
      <c r="D32" s="420" t="s">
        <v>181</v>
      </c>
      <c r="E32" s="415">
        <v>30</v>
      </c>
    </row>
    <row r="33" spans="2:5" x14ac:dyDescent="0.2">
      <c r="B33" s="415" t="s">
        <v>149</v>
      </c>
      <c r="C33" s="421" t="s">
        <v>179</v>
      </c>
      <c r="D33" s="420" t="s">
        <v>182</v>
      </c>
      <c r="E33" s="415">
        <v>10</v>
      </c>
    </row>
    <row r="34" spans="2:5" x14ac:dyDescent="0.2">
      <c r="B34" s="415" t="s">
        <v>149</v>
      </c>
      <c r="C34" s="419" t="s">
        <v>183</v>
      </c>
      <c r="D34" s="420" t="s">
        <v>184</v>
      </c>
      <c r="E34" s="415">
        <v>15</v>
      </c>
    </row>
    <row r="35" spans="2:5" x14ac:dyDescent="0.2">
      <c r="B35" s="415" t="s">
        <v>149</v>
      </c>
      <c r="C35" s="419" t="s">
        <v>183</v>
      </c>
      <c r="D35" s="420" t="s">
        <v>185</v>
      </c>
      <c r="E35" s="415">
        <v>10</v>
      </c>
    </row>
    <row r="36" spans="2:5" x14ac:dyDescent="0.2">
      <c r="B36" s="415" t="s">
        <v>149</v>
      </c>
      <c r="C36" s="419" t="s">
        <v>186</v>
      </c>
      <c r="D36" s="420" t="s">
        <v>187</v>
      </c>
      <c r="E36" s="415">
        <v>20</v>
      </c>
    </row>
    <row r="37" spans="2:5" x14ac:dyDescent="0.2">
      <c r="B37" s="415" t="s">
        <v>149</v>
      </c>
      <c r="C37" s="419" t="s">
        <v>186</v>
      </c>
      <c r="D37" s="420" t="s">
        <v>188</v>
      </c>
      <c r="E37" s="415">
        <v>15</v>
      </c>
    </row>
    <row r="38" spans="2:5" x14ac:dyDescent="0.2">
      <c r="B38" s="415" t="s">
        <v>149</v>
      </c>
      <c r="C38" s="419" t="s">
        <v>186</v>
      </c>
      <c r="D38" s="420" t="s">
        <v>189</v>
      </c>
      <c r="E38" s="415">
        <v>15</v>
      </c>
    </row>
    <row r="39" spans="2:5" x14ac:dyDescent="0.2">
      <c r="B39" s="415" t="s">
        <v>149</v>
      </c>
      <c r="C39" s="419"/>
      <c r="D39" s="420"/>
    </row>
    <row r="40" spans="2:5" x14ac:dyDescent="0.2">
      <c r="B40" s="415" t="s">
        <v>149</v>
      </c>
      <c r="C40" s="419"/>
      <c r="D40" s="420"/>
    </row>
    <row r="41" spans="2:5" x14ac:dyDescent="0.2">
      <c r="B41" s="415" t="s">
        <v>149</v>
      </c>
      <c r="C41" s="419"/>
      <c r="D41" s="420"/>
    </row>
    <row r="42" spans="2:5" x14ac:dyDescent="0.2">
      <c r="B42" s="415" t="s">
        <v>149</v>
      </c>
      <c r="C42" s="419"/>
      <c r="D42" s="420"/>
    </row>
    <row r="43" spans="2:5" x14ac:dyDescent="0.2">
      <c r="B43" s="415" t="s">
        <v>149</v>
      </c>
      <c r="C43" s="419"/>
      <c r="D43" s="420"/>
    </row>
    <row r="44" spans="2:5" x14ac:dyDescent="0.2">
      <c r="B44" s="415" t="s">
        <v>149</v>
      </c>
      <c r="C44" s="419"/>
      <c r="D44" s="420"/>
    </row>
    <row r="45" spans="2:5" x14ac:dyDescent="0.2">
      <c r="B45" s="415" t="s">
        <v>149</v>
      </c>
      <c r="C45" s="419"/>
      <c r="D45" s="420"/>
    </row>
    <row r="46" spans="2:5" x14ac:dyDescent="0.2">
      <c r="B46" s="415" t="s">
        <v>149</v>
      </c>
      <c r="C46" s="419"/>
      <c r="D46" s="420"/>
    </row>
    <row r="47" spans="2:5" x14ac:dyDescent="0.2">
      <c r="B47" s="415" t="s">
        <v>149</v>
      </c>
      <c r="C47" s="419"/>
      <c r="D47" s="420"/>
    </row>
    <row r="48" spans="2:5" x14ac:dyDescent="0.2">
      <c r="B48" s="415" t="s">
        <v>149</v>
      </c>
      <c r="C48" s="419"/>
      <c r="D48" s="420"/>
    </row>
    <row r="49" spans="2:5" x14ac:dyDescent="0.2">
      <c r="B49" s="415" t="s">
        <v>149</v>
      </c>
      <c r="C49" s="419"/>
      <c r="D49" s="420"/>
    </row>
    <row r="50" spans="2:5" x14ac:dyDescent="0.2">
      <c r="B50" s="415" t="s">
        <v>149</v>
      </c>
      <c r="C50" s="419"/>
      <c r="D50" s="420"/>
    </row>
    <row r="51" spans="2:5" x14ac:dyDescent="0.2">
      <c r="B51" s="415" t="s">
        <v>149</v>
      </c>
      <c r="C51" s="419"/>
      <c r="D51" s="420"/>
    </row>
    <row r="52" spans="2:5" x14ac:dyDescent="0.2">
      <c r="B52" s="415" t="s">
        <v>149</v>
      </c>
      <c r="C52" s="419"/>
      <c r="D52" s="420"/>
    </row>
    <row r="53" spans="2:5" x14ac:dyDescent="0.2">
      <c r="B53" s="415" t="s">
        <v>149</v>
      </c>
      <c r="C53" s="419"/>
      <c r="D53" s="420"/>
    </row>
    <row r="54" spans="2:5" x14ac:dyDescent="0.2">
      <c r="B54" s="415" t="s">
        <v>149</v>
      </c>
      <c r="C54" s="419"/>
      <c r="D54" s="420"/>
    </row>
    <row r="55" spans="2:5" x14ac:dyDescent="0.2">
      <c r="B55" s="415" t="s">
        <v>149</v>
      </c>
      <c r="C55" s="419"/>
      <c r="D55" s="420"/>
    </row>
    <row r="56" spans="2:5" x14ac:dyDescent="0.2">
      <c r="B56" s="415" t="s">
        <v>149</v>
      </c>
      <c r="C56" s="419"/>
      <c r="D56" s="420"/>
    </row>
    <row r="57" spans="2:5" x14ac:dyDescent="0.2">
      <c r="B57" s="415" t="s">
        <v>149</v>
      </c>
      <c r="C57" s="419"/>
      <c r="D57" s="420"/>
    </row>
    <row r="58" spans="2:5" x14ac:dyDescent="0.2">
      <c r="B58" s="415" t="s">
        <v>149</v>
      </c>
      <c r="C58" s="419"/>
      <c r="D58" s="420"/>
    </row>
    <row r="59" spans="2:5" x14ac:dyDescent="0.2">
      <c r="B59" s="415" t="s">
        <v>149</v>
      </c>
      <c r="C59" s="419"/>
      <c r="D59" s="420"/>
    </row>
    <row r="60" spans="2:5" x14ac:dyDescent="0.2">
      <c r="B60" s="415" t="s">
        <v>190</v>
      </c>
      <c r="C60" s="419" t="s">
        <v>190</v>
      </c>
      <c r="D60" s="417" t="s">
        <v>191</v>
      </c>
      <c r="E60" s="415">
        <v>30</v>
      </c>
    </row>
    <row r="61" spans="2:5" x14ac:dyDescent="0.2">
      <c r="B61" s="415" t="s">
        <v>190</v>
      </c>
      <c r="C61" s="419" t="s">
        <v>190</v>
      </c>
      <c r="D61" s="417" t="s">
        <v>192</v>
      </c>
      <c r="E61" s="415">
        <v>25</v>
      </c>
    </row>
    <row r="62" spans="2:5" x14ac:dyDescent="0.2">
      <c r="B62" s="415" t="s">
        <v>190</v>
      </c>
      <c r="C62" s="419" t="s">
        <v>190</v>
      </c>
      <c r="D62" s="418" t="s">
        <v>193</v>
      </c>
      <c r="E62" s="415">
        <v>30</v>
      </c>
    </row>
    <row r="63" spans="2:5" x14ac:dyDescent="0.2">
      <c r="B63" s="415" t="s">
        <v>190</v>
      </c>
      <c r="C63" s="419" t="s">
        <v>190</v>
      </c>
      <c r="D63" s="418" t="s">
        <v>194</v>
      </c>
      <c r="E63" s="415">
        <v>30</v>
      </c>
    </row>
    <row r="64" spans="2:5" x14ac:dyDescent="0.2">
      <c r="B64" s="415" t="s">
        <v>190</v>
      </c>
      <c r="C64" s="419" t="s">
        <v>190</v>
      </c>
      <c r="D64" s="417" t="s">
        <v>195</v>
      </c>
      <c r="E64" s="415">
        <v>15</v>
      </c>
    </row>
    <row r="65" spans="2:5" x14ac:dyDescent="0.2">
      <c r="B65" s="415" t="s">
        <v>190</v>
      </c>
    </row>
    <row r="66" spans="2:5" x14ac:dyDescent="0.2">
      <c r="B66" s="415" t="s">
        <v>190</v>
      </c>
    </row>
    <row r="67" spans="2:5" x14ac:dyDescent="0.2">
      <c r="B67" s="415" t="s">
        <v>190</v>
      </c>
    </row>
    <row r="68" spans="2:5" x14ac:dyDescent="0.2">
      <c r="B68" s="415" t="s">
        <v>190</v>
      </c>
    </row>
    <row r="69" spans="2:5" x14ac:dyDescent="0.2">
      <c r="B69" s="415" t="s">
        <v>190</v>
      </c>
    </row>
    <row r="70" spans="2:5" x14ac:dyDescent="0.2">
      <c r="B70" s="415" t="s">
        <v>190</v>
      </c>
    </row>
    <row r="71" spans="2:5" x14ac:dyDescent="0.2">
      <c r="B71" s="415" t="s">
        <v>190</v>
      </c>
    </row>
    <row r="72" spans="2:5" x14ac:dyDescent="0.2">
      <c r="B72" s="415" t="s">
        <v>190</v>
      </c>
    </row>
    <row r="73" spans="2:5" x14ac:dyDescent="0.2">
      <c r="B73" s="415" t="s">
        <v>190</v>
      </c>
    </row>
    <row r="74" spans="2:5" x14ac:dyDescent="0.2">
      <c r="B74" s="415" t="s">
        <v>190</v>
      </c>
    </row>
    <row r="75" spans="2:5" x14ac:dyDescent="0.2">
      <c r="B75" s="415" t="s">
        <v>190</v>
      </c>
      <c r="C75" s="419"/>
    </row>
    <row r="76" spans="2:5" x14ac:dyDescent="0.2">
      <c r="B76" s="415" t="s">
        <v>190</v>
      </c>
    </row>
    <row r="77" spans="2:5" x14ac:dyDescent="0.2">
      <c r="B77" s="415" t="s">
        <v>190</v>
      </c>
    </row>
    <row r="78" spans="2:5" x14ac:dyDescent="0.2">
      <c r="B78" s="415" t="s">
        <v>190</v>
      </c>
    </row>
    <row r="79" spans="2:5" x14ac:dyDescent="0.2">
      <c r="B79" s="415" t="s">
        <v>190</v>
      </c>
    </row>
    <row r="80" spans="2:5" x14ac:dyDescent="0.2">
      <c r="B80" s="415" t="s">
        <v>196</v>
      </c>
      <c r="C80" s="419" t="s">
        <v>197</v>
      </c>
      <c r="D80" s="417" t="s">
        <v>198</v>
      </c>
      <c r="E80" s="415">
        <v>20</v>
      </c>
    </row>
    <row r="81" spans="2:5" x14ac:dyDescent="0.2">
      <c r="B81" s="415" t="s">
        <v>196</v>
      </c>
      <c r="C81" s="419" t="s">
        <v>197</v>
      </c>
      <c r="D81" s="417" t="s">
        <v>199</v>
      </c>
      <c r="E81" s="415">
        <v>20</v>
      </c>
    </row>
    <row r="82" spans="2:5" x14ac:dyDescent="0.2">
      <c r="B82" s="415" t="s">
        <v>196</v>
      </c>
      <c r="C82" s="419" t="s">
        <v>197</v>
      </c>
      <c r="D82" s="417" t="s">
        <v>200</v>
      </c>
      <c r="E82" s="415">
        <v>10</v>
      </c>
    </row>
    <row r="83" spans="2:5" x14ac:dyDescent="0.2">
      <c r="B83" s="415" t="s">
        <v>196</v>
      </c>
      <c r="C83" s="419" t="s">
        <v>197</v>
      </c>
      <c r="D83" s="417" t="s">
        <v>201</v>
      </c>
      <c r="E83" s="415">
        <v>10</v>
      </c>
    </row>
    <row r="84" spans="2:5" x14ac:dyDescent="0.2">
      <c r="B84" s="415" t="s">
        <v>196</v>
      </c>
      <c r="C84" s="419" t="s">
        <v>197</v>
      </c>
      <c r="D84" s="417" t="s">
        <v>202</v>
      </c>
      <c r="E84" s="415">
        <v>15</v>
      </c>
    </row>
    <row r="85" spans="2:5" x14ac:dyDescent="0.2">
      <c r="B85" s="415" t="s">
        <v>196</v>
      </c>
      <c r="C85" s="419" t="s">
        <v>197</v>
      </c>
      <c r="D85" s="417" t="s">
        <v>203</v>
      </c>
      <c r="E85" s="415">
        <v>20</v>
      </c>
    </row>
    <row r="86" spans="2:5" x14ac:dyDescent="0.2">
      <c r="B86" s="415" t="s">
        <v>196</v>
      </c>
      <c r="C86" s="419" t="s">
        <v>204</v>
      </c>
      <c r="D86" s="417" t="s">
        <v>205</v>
      </c>
      <c r="E86" s="415">
        <v>25</v>
      </c>
    </row>
    <row r="87" spans="2:5" x14ac:dyDescent="0.2">
      <c r="B87" s="415" t="s">
        <v>196</v>
      </c>
      <c r="C87" s="419" t="s">
        <v>204</v>
      </c>
      <c r="D87" s="417" t="s">
        <v>206</v>
      </c>
      <c r="E87" s="415">
        <v>20</v>
      </c>
    </row>
    <row r="88" spans="2:5" x14ac:dyDescent="0.2">
      <c r="B88" s="415" t="s">
        <v>196</v>
      </c>
      <c r="C88" s="419" t="s">
        <v>207</v>
      </c>
      <c r="D88" s="417" t="s">
        <v>208</v>
      </c>
      <c r="E88" s="415">
        <v>30</v>
      </c>
    </row>
    <row r="89" spans="2:5" x14ac:dyDescent="0.2">
      <c r="B89" s="415" t="s">
        <v>196</v>
      </c>
      <c r="C89" s="419" t="s">
        <v>207</v>
      </c>
      <c r="D89" s="415" t="s">
        <v>209</v>
      </c>
      <c r="E89" s="415">
        <v>20</v>
      </c>
    </row>
    <row r="90" spans="2:5" x14ac:dyDescent="0.2">
      <c r="B90" s="415" t="s">
        <v>196</v>
      </c>
    </row>
    <row r="91" spans="2:5" x14ac:dyDescent="0.2">
      <c r="B91" s="415" t="s">
        <v>196</v>
      </c>
    </row>
    <row r="92" spans="2:5" x14ac:dyDescent="0.2">
      <c r="B92" s="415" t="s">
        <v>196</v>
      </c>
    </row>
    <row r="93" spans="2:5" x14ac:dyDescent="0.2">
      <c r="B93" s="415" t="s">
        <v>196</v>
      </c>
    </row>
    <row r="94" spans="2:5" x14ac:dyDescent="0.2">
      <c r="B94" s="415" t="s">
        <v>196</v>
      </c>
    </row>
    <row r="95" spans="2:5" x14ac:dyDescent="0.2">
      <c r="B95" s="415" t="s">
        <v>196</v>
      </c>
    </row>
    <row r="96" spans="2:5" x14ac:dyDescent="0.2">
      <c r="B96" s="415" t="s">
        <v>196</v>
      </c>
    </row>
    <row r="97" spans="2:2" x14ac:dyDescent="0.2">
      <c r="B97" s="415" t="s">
        <v>196</v>
      </c>
    </row>
    <row r="98" spans="2:2" x14ac:dyDescent="0.2">
      <c r="B98" s="415" t="s">
        <v>196</v>
      </c>
    </row>
    <row r="99" spans="2:2" x14ac:dyDescent="0.2">
      <c r="B99" s="415" t="s">
        <v>196</v>
      </c>
    </row>
    <row r="100" spans="2:2" x14ac:dyDescent="0.2">
      <c r="B100" s="415" t="s">
        <v>196</v>
      </c>
    </row>
    <row r="101" spans="2:2" x14ac:dyDescent="0.2">
      <c r="B101" s="415" t="s">
        <v>196</v>
      </c>
    </row>
    <row r="102" spans="2:2" x14ac:dyDescent="0.2">
      <c r="B102" s="415" t="s">
        <v>196</v>
      </c>
    </row>
    <row r="103" spans="2:2" x14ac:dyDescent="0.2">
      <c r="B103" s="415" t="s">
        <v>196</v>
      </c>
    </row>
    <row r="104" spans="2:2" x14ac:dyDescent="0.2">
      <c r="B104" s="415" t="s">
        <v>196</v>
      </c>
    </row>
    <row r="105" spans="2:2" x14ac:dyDescent="0.2">
      <c r="B105" s="415" t="s">
        <v>196</v>
      </c>
    </row>
    <row r="106" spans="2:2" x14ac:dyDescent="0.2">
      <c r="B106" s="415" t="s">
        <v>196</v>
      </c>
    </row>
    <row r="107" spans="2:2" x14ac:dyDescent="0.2">
      <c r="B107" s="415" t="s">
        <v>196</v>
      </c>
    </row>
    <row r="108" spans="2:2" x14ac:dyDescent="0.2">
      <c r="B108" s="415" t="s">
        <v>196</v>
      </c>
    </row>
    <row r="109" spans="2:2" x14ac:dyDescent="0.2">
      <c r="B109" s="415" t="s">
        <v>196</v>
      </c>
    </row>
    <row r="110" spans="2:2" x14ac:dyDescent="0.2">
      <c r="B110" s="415" t="s">
        <v>196</v>
      </c>
    </row>
    <row r="111" spans="2:2" x14ac:dyDescent="0.2">
      <c r="B111" s="415" t="s">
        <v>196</v>
      </c>
    </row>
    <row r="112" spans="2:2" x14ac:dyDescent="0.2">
      <c r="B112" s="415" t="s">
        <v>196</v>
      </c>
    </row>
    <row r="113" spans="2:2" x14ac:dyDescent="0.2">
      <c r="B113" s="415" t="s">
        <v>503</v>
      </c>
    </row>
  </sheetData>
  <sheetProtection algorithmName="SHA-512" hashValue="Wlt98lfrCM1GiVEaxz8tOYN+kc7/uyg4Tujed/UzDnP/HDdjn88f1nbmkuqvfsx+ROP4amyV3qmuj028Irx+tA==" saltValue="Y3zd6BFkO3eSyroj81mma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e87900e-1e16-4887-aedf-8ded6dca3ae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5BC96B9838E954E95209B5A18417E04" ma:contentTypeVersion="26" ma:contentTypeDescription="Create a new document." ma:contentTypeScope="" ma:versionID="d9502da1a31fa855e267fd5abb04cc49">
  <xsd:schema xmlns:xsd="http://www.w3.org/2001/XMLSchema" xmlns:xs="http://www.w3.org/2001/XMLSchema" xmlns:p="http://schemas.microsoft.com/office/2006/metadata/properties" xmlns:ns3="cbabad2a-67b6-40bd-8442-8ae7b0ac0749" xmlns:ns4="d667075c-284a-4528-8fb8-f4e8055afa08" targetNamespace="http://schemas.microsoft.com/office/2006/metadata/properties" ma:root="true" ma:fieldsID="b85ed5ba15e2deb6a441a507281aa4a2" ns3:_="" ns4:_="">
    <xsd:import namespace="cbabad2a-67b6-40bd-8442-8ae7b0ac0749"/>
    <xsd:import namespace="d667075c-284a-4528-8fb8-f4e8055afa08"/>
    <xsd:element name="properties">
      <xsd:complexType>
        <xsd:sequence>
          <xsd:element name="documentManagement">
            <xsd:complexType>
              <xsd:all>
                <xsd:element ref="ns3:SharedWithDetails" minOccurs="0"/>
                <xsd:element ref="ns3:SharedWithUser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bad2a-67b6-40bd-8442-8ae7b0ac0749"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7075c-284a-4528-8fb8-f4e8055afa0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8E2666C3-725C-4DCD-90CA-041A6D2442D5}">
  <ds:schemaRefs>
    <ds:schemaRef ds:uri="Microsoft.SharePoint.Taxonomy.ContentTypeSync"/>
  </ds:schemaRefs>
</ds:datastoreItem>
</file>

<file path=customXml/itemProps2.xml><?xml version="1.0" encoding="utf-8"?>
<ds:datastoreItem xmlns:ds="http://schemas.openxmlformats.org/officeDocument/2006/customXml" ds:itemID="{298F03D1-044D-4CBD-949C-556737127FDC}">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d667075c-284a-4528-8fb8-f4e8055afa08"/>
    <ds:schemaRef ds:uri="cbabad2a-67b6-40bd-8442-8ae7b0ac0749"/>
    <ds:schemaRef ds:uri="http://purl.org/dc/dcmitype/"/>
  </ds:schemaRefs>
</ds:datastoreItem>
</file>

<file path=customXml/itemProps3.xml><?xml version="1.0" encoding="utf-8"?>
<ds:datastoreItem xmlns:ds="http://schemas.openxmlformats.org/officeDocument/2006/customXml" ds:itemID="{D031742B-A64D-441E-8D3E-18F812405B03}">
  <ds:schemaRefs>
    <ds:schemaRef ds:uri="http://schemas.microsoft.com/sharepoint/v3/contenttype/forms"/>
  </ds:schemaRefs>
</ds:datastoreItem>
</file>

<file path=customXml/itemProps4.xml><?xml version="1.0" encoding="utf-8"?>
<ds:datastoreItem xmlns:ds="http://schemas.openxmlformats.org/officeDocument/2006/customXml" ds:itemID="{8D7EEC47-3344-4B20-BD50-CE675AF6E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bad2a-67b6-40bd-8442-8ae7b0ac0749"/>
    <ds:schemaRef ds:uri="d667075c-284a-4528-8fb8-f4e8055af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15127B4-D63F-4439-B99E-87EF25659944}">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75</vt:i4>
      </vt:variant>
    </vt:vector>
  </HeadingPairs>
  <TitlesOfParts>
    <vt:vector size="94" baseType="lpstr">
      <vt:lpstr>Summary</vt:lpstr>
      <vt:lpstr>Project Data Input</vt:lpstr>
      <vt:lpstr>ECM Options Data</vt:lpstr>
      <vt:lpstr>ECM Options Lifecycle</vt:lpstr>
      <vt:lpstr>DASHBOARD </vt:lpstr>
      <vt:lpstr>Option A Outcome</vt:lpstr>
      <vt:lpstr>Option B Outcome</vt:lpstr>
      <vt:lpstr>Option C Outcome</vt:lpstr>
      <vt:lpstr>Existing Assets</vt:lpstr>
      <vt:lpstr>Data</vt:lpstr>
      <vt:lpstr>Option A</vt:lpstr>
      <vt:lpstr>Option A - Lifecycle</vt:lpstr>
      <vt:lpstr>Option B</vt:lpstr>
      <vt:lpstr>Option B - Lifecycle</vt:lpstr>
      <vt:lpstr>Option C</vt:lpstr>
      <vt:lpstr>Option C - Lifecycle</vt:lpstr>
      <vt:lpstr>Technology Inputs</vt:lpstr>
      <vt:lpstr>DASHBOARD Data</vt:lpstr>
      <vt:lpstr>Cumulative Analysis</vt:lpstr>
      <vt:lpstr>Boilers</vt:lpstr>
      <vt:lpstr>Building_controls</vt:lpstr>
      <vt:lpstr>Building_fabric</vt:lpstr>
      <vt:lpstr>Building_management_systems</vt:lpstr>
      <vt:lpstr>Buildingfabric</vt:lpstr>
      <vt:lpstr>Category</vt:lpstr>
      <vt:lpstr>CHW</vt:lpstr>
      <vt:lpstr>Combined_heat_and_power</vt:lpstr>
      <vt:lpstr>Compressor</vt:lpstr>
      <vt:lpstr>Computers_and_IT_solutions</vt:lpstr>
      <vt:lpstr>Cooling</vt:lpstr>
      <vt:lpstr>Cooling_source</vt:lpstr>
      <vt:lpstr>Draught_proofing</vt:lpstr>
      <vt:lpstr>Elec_Plant</vt:lpstr>
      <vt:lpstr>'Option A Outcome'!Elec_sales_kWh</vt:lpstr>
      <vt:lpstr>'Option B Outcome'!Elec_sales_kWh</vt:lpstr>
      <vt:lpstr>'Option C Outcome'!Elec_sales_kWh</vt:lpstr>
      <vt:lpstr>electricalplant</vt:lpstr>
      <vt:lpstr>Emissions_table</vt:lpstr>
      <vt:lpstr>Energy_from_waste</vt:lpstr>
      <vt:lpstr>Equipment</vt:lpstr>
      <vt:lpstr>FFandE</vt:lpstr>
      <vt:lpstr>Floor_insulation</vt:lpstr>
      <vt:lpstr>Glazing</vt:lpstr>
      <vt:lpstr>Hand_Dryers</vt:lpstr>
      <vt:lpstr>Heating</vt:lpstr>
      <vt:lpstr>Heating_Distribution</vt:lpstr>
      <vt:lpstr>Heating_Emitters</vt:lpstr>
      <vt:lpstr>Heating_Plant</vt:lpstr>
      <vt:lpstr>Heating_Plant_Ancillary</vt:lpstr>
      <vt:lpstr>Heating_Source</vt:lpstr>
      <vt:lpstr>Hospital_equipment_hoists</vt:lpstr>
      <vt:lpstr>Hospital_medical_equipment</vt:lpstr>
      <vt:lpstr>Hot_water</vt:lpstr>
      <vt:lpstr>HW_Installation</vt:lpstr>
      <vt:lpstr>Industrial_kitchen_equipment</vt:lpstr>
      <vt:lpstr>Insulation_building_fabric</vt:lpstr>
      <vt:lpstr>Insulation_draught_proofing</vt:lpstr>
      <vt:lpstr>Insulation_other</vt:lpstr>
      <vt:lpstr>Insulation_pipework</vt:lpstr>
      <vt:lpstr>Kitchen_equipment</vt:lpstr>
      <vt:lpstr>Lab_Upgrades</vt:lpstr>
      <vt:lpstr>LED_lighting</vt:lpstr>
      <vt:lpstr>Lighting</vt:lpstr>
      <vt:lpstr>Lighting_controls</vt:lpstr>
      <vt:lpstr>Mech</vt:lpstr>
      <vt:lpstr>Mech_kit</vt:lpstr>
      <vt:lpstr>Mech_plant</vt:lpstr>
      <vt:lpstr>Mechanicalplant</vt:lpstr>
      <vt:lpstr>Motor_controls</vt:lpstr>
      <vt:lpstr>Motor_replacement</vt:lpstr>
      <vt:lpstr>Office_equipment</vt:lpstr>
      <vt:lpstr>Power_installation</vt:lpstr>
      <vt:lpstr>Power_installations</vt:lpstr>
      <vt:lpstr>'DASHBOARD '!Print_Area</vt:lpstr>
      <vt:lpstr>'ECM Options Data'!Print_Area</vt:lpstr>
      <vt:lpstr>'ECM Options Lifecycle'!Print_Area</vt:lpstr>
      <vt:lpstr>'Option A Outcome'!Print_Area</vt:lpstr>
      <vt:lpstr>'Option B Outcome'!Print_Area</vt:lpstr>
      <vt:lpstr>'Option C Outcome'!Print_Area</vt:lpstr>
      <vt:lpstr>'Project Data Input'!Print_Area</vt:lpstr>
      <vt:lpstr>Summary!Print_Area</vt:lpstr>
      <vt:lpstr>Renewable_energy</vt:lpstr>
      <vt:lpstr>Renewable_Generation</vt:lpstr>
      <vt:lpstr>Roof_insulation</vt:lpstr>
      <vt:lpstr>Street_lighting</vt:lpstr>
      <vt:lpstr>Swimming</vt:lpstr>
      <vt:lpstr>Time_switches</vt:lpstr>
      <vt:lpstr>Traffic_lights</vt:lpstr>
      <vt:lpstr>Transformers</vt:lpstr>
      <vt:lpstr>Ventilation</vt:lpstr>
      <vt:lpstr>Ventilation_ancillary</vt:lpstr>
      <vt:lpstr>Ventilation_System</vt:lpstr>
      <vt:lpstr>Voltage_management</vt:lpstr>
      <vt:lpstr>wall_insulation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Strategic Plan Forecast 2018</dc:title>
  <dc:subject/>
  <dc:creator>Natalie Jackson</dc:creator>
  <cp:keywords/>
  <dc:description/>
  <cp:lastModifiedBy>Alastair Nicol</cp:lastModifiedBy>
  <cp:revision/>
  <cp:lastPrinted>2022-04-22T12:08:38Z</cp:lastPrinted>
  <dcterms:created xsi:type="dcterms:W3CDTF">2011-05-20T09:12:30Z</dcterms:created>
  <dcterms:modified xsi:type="dcterms:W3CDTF">2022-04-29T15:42:33Z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0x010100B5BC96B9838E954E95209B5A18417E04</vt:lpwstr>
  </property>
  <property fmtid="{D5CDD505-2E9C-101B-9397-08002B2CF9AE}" pid="3" name="_dlc_DocIdItemGuid">
    <vt:lpwstr>c552d1ea-b90b-424e-b878-a750be9c908e</vt:lpwstr>
  </property>
  <property fmtid="{D5CDD505-2E9C-101B-9397-08002B2CF9AE}" pid="4" name="TaxKeyword">
    <vt:lpwstr/>
  </property>
</Properties>
</file>