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chartsheets/sheet2.xml" ContentType="application/vnd.openxmlformats-officedocument.spreadsheetml.chart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chartsheets/sheet1.xml" ContentType="application/vnd.openxmlformats-officedocument.spreadsheetml.chart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150" yWindow="-135" windowWidth="12105" windowHeight="11895" tabRatio="802" activeTab="1"/>
  </bookViews>
  <sheets>
    <sheet name="Cover" sheetId="41" r:id="rId1"/>
    <sheet name="Top 10" sheetId="73" r:id="rId2"/>
    <sheet name="Summary" sheetId="2" r:id="rId3"/>
    <sheet name="2010-11 Sharing %" sheetId="104" r:id="rId4"/>
    <sheet name="Calcs - Scen 1" sheetId="1" r:id="rId5"/>
    <sheet name="Calcs - Scen 2" sheetId="112" r:id="rId6"/>
    <sheet name="Calcs - Scen 3" sheetId="113" r:id="rId7"/>
    <sheet name="Calcs - Scen 4" sheetId="114" r:id="rId8"/>
    <sheet name="Confidence Factors" sheetId="38" r:id="rId9"/>
    <sheet name="A1 PUK KSR Fees" sheetId="3" r:id="rId10"/>
    <sheet name="A2 Waste Validation Fees" sheetId="4" r:id="rId11"/>
    <sheet name="A3 Waste Data Capture" sheetId="5" r:id="rId12"/>
    <sheet name="A4 Waste Prog Support" sheetId="7" r:id="rId13"/>
    <sheet name="A5 Waste Proc Cost Benefits " sheetId="20" r:id="rId14"/>
    <sheet name="A6 ESA95 Consult Fees" sheetId="9" r:id="rId15"/>
    <sheet name="A7 TIF Consult Fees" sheetId="12" r:id="rId16"/>
    <sheet name="A8 NHT Consult Fees" sheetId="11" r:id="rId17"/>
    <sheet name="A9 URC Consult Fees" sheetId="78" r:id="rId18"/>
    <sheet name="A10 CMAL Consult Fees " sheetId="80" r:id="rId19"/>
    <sheet name="A11 CH Consult Fees" sheetId="82" r:id="rId20"/>
    <sheet name="A12 Waste Avoided Abort Cost CV" sheetId="86" r:id="rId21"/>
    <sheet name="A13 Waste Avoid Advisor Non CV " sheetId="87" r:id="rId22"/>
    <sheet name="A14 Waste Avoid Advisor CV " sheetId="88" r:id="rId23"/>
    <sheet name="A15 Waste Avoid Disposal Non CV" sheetId="89" r:id="rId24"/>
    <sheet name="A16 Waste Food Treatment Suppor" sheetId="90" r:id="rId25"/>
    <sheet name="A17 Wst Avoid Future Variations" sheetId="91" r:id="rId26"/>
    <sheet name="A18 NPD Contract-Avoid Consulta" sheetId="93" r:id="rId27"/>
    <sheet name="A19 hub consultancy avoided" sheetId="96" r:id="rId28"/>
    <sheet name="A20 hub performance mngt" sheetId="102" r:id="rId29"/>
    <sheet name="A21 Asset Mgt Avoided Dev Work" sheetId="106" r:id="rId30"/>
    <sheet name="A22 Optimism Bias &amp; Contingency" sheetId="107" r:id="rId31"/>
    <sheet name="B1 TIF Develop" sheetId="79" r:id="rId32"/>
    <sheet name="B2 NHT Develop" sheetId="13" r:id="rId33"/>
    <sheet name="C1 West &amp; Ork" sheetId="14" r:id="rId34"/>
    <sheet name="C2 Borders Rail Fin" sheetId="15" r:id="rId35"/>
    <sheet name="C3 Borders Rail Comp" sheetId="18" r:id="rId36"/>
    <sheet name="C4 Orkney Schools Fin" sheetId="83" r:id="rId37"/>
    <sheet name="C5 RHSC DCN Comp" sheetId="92" r:id="rId38"/>
    <sheet name="C6 NPD Saved Proc Time" sheetId="94" r:id="rId39"/>
    <sheet name="C7 NPD Optimal Risk Transfer" sheetId="95" r:id="rId40"/>
    <sheet name="C8 Reduced Cost of Capital" sheetId="99" r:id="rId41"/>
    <sheet name="C9 hub Return on Workg Cap Inv" sheetId="103" r:id="rId42"/>
    <sheet name="D1 hub Reduced Proc Time" sheetId="23" r:id="rId43"/>
    <sheet name="D2 hub Cont Improvement" sheetId="25" r:id="rId44"/>
    <sheet name="D3 hub Savings in Bid Costs" sheetId="65" r:id="rId45"/>
    <sheet name="D4 hub Public Sector Inv Return" sheetId="66" r:id="rId46"/>
    <sheet name="D5 hub Reduced IRR" sheetId="27" r:id="rId47"/>
    <sheet name="D1-D5 hub Benefit Summary" sheetId="30" r:id="rId48"/>
    <sheet name="D1-D5 hub Benefit Assumptions" sheetId="29" r:id="rId49"/>
    <sheet name="D6 hub dialogue savings" sheetId="28" r:id="rId50"/>
    <sheet name="D7 Schools Pilot Project" sheetId="43" r:id="rId51"/>
    <sheet name="D8 Schools Needs Ident" sheetId="44" r:id="rId52"/>
    <sheet name="D8 cont - Needs ID" sheetId="76" r:id="rId53"/>
    <sheet name="D9 Schools Cont Improv" sheetId="42" r:id="rId54"/>
    <sheet name="D10 Blank - Nil Benefit" sheetId="97" r:id="rId55"/>
    <sheet name="E1 Valdn Non-Std Civils FRC" sheetId="19" r:id="rId56"/>
    <sheet name="E2 Validation Std Accom" sheetId="37" r:id="rId57"/>
    <sheet name="E3 Validation CMAL" sheetId="81" r:id="rId58"/>
    <sheet name="E4 Valdn Non-Std Civils (BOR)" sheetId="98" r:id="rId59"/>
    <sheet name="F1 Ops project support" sheetId="17" r:id="rId60"/>
    <sheet name="G1 Wst Proc Time Benefits" sheetId="52" r:id="rId61"/>
    <sheet name="G2 Wst Serv Cost Benefits" sheetId="53" r:id="rId62"/>
    <sheet name="G3 Waste Reduced Gate Fees CV" sheetId="85" r:id="rId63"/>
    <sheet name="G4 Budget Recast Immediate Save" sheetId="100" r:id="rId64"/>
    <sheet name="G5 Asset Mgt" sheetId="108" r:id="rId65"/>
    <sheet name="G6 NPD Prog Scrutiny &amp;Challenge" sheetId="110" r:id="rId66"/>
    <sheet name="Benefits Split" sheetId="116" r:id="rId67"/>
    <sheet name="Benefit Sharing" sheetId="117" r:id="rId68"/>
    <sheet name="Resource Input" sheetId="118" r:id="rId69"/>
    <sheet name="Ends" sheetId="31" r:id="rId70"/>
  </sheets>
  <externalReferences>
    <externalReference r:id="rId71"/>
    <externalReference r:id="rId72"/>
    <externalReference r:id="rId73"/>
  </externalReferences>
  <definedNames>
    <definedName name="_xlnm._FilterDatabase" localSheetId="5" hidden="1">'Calcs - Scen 2'!$D$7:$D$389</definedName>
    <definedName name="_xlnm.Print_Area" localSheetId="35">'C3 Borders Rail Comp'!$A$1:$G$78</definedName>
    <definedName name="_xlnm.Print_Area" localSheetId="36">'C4 Orkney Schools Fin'!$A$1:$G$78</definedName>
    <definedName name="_xlnm.Print_Area" localSheetId="37">'C5 RHSC DCN Comp'!$A$1:$G$78</definedName>
    <definedName name="_xlnm.Print_Area" localSheetId="38">'C6 NPD Saved Proc Time'!$A$1:$G$78</definedName>
    <definedName name="_xlnm.Print_Area" localSheetId="39">'C7 NPD Optimal Risk Transfer'!$A$1:$G$78</definedName>
    <definedName name="_xlnm.Print_Area" localSheetId="54">'D10 Blank - Nil Benefit'!$A$1:$G$79</definedName>
    <definedName name="_xlnm.Print_Area" localSheetId="53">'D9 Schools Cont Improv'!$A$1:$G$79</definedName>
  </definedNames>
  <calcPr calcId="125725" iterateCount="20" iterateDelta="1E-4"/>
</workbook>
</file>

<file path=xl/calcChain.xml><?xml version="1.0" encoding="utf-8"?>
<calcChain xmlns="http://schemas.openxmlformats.org/spreadsheetml/2006/main">
  <c r="B13" i="118"/>
  <c r="F99" i="2"/>
  <c r="F98"/>
  <c r="D68"/>
  <c r="D70" i="108"/>
  <c r="AT91"/>
  <c r="AT95"/>
  <c r="AT100"/>
  <c r="AT103"/>
  <c r="S103"/>
  <c r="T103"/>
  <c r="U103"/>
  <c r="V103"/>
  <c r="W103"/>
  <c r="X103"/>
  <c r="Y103"/>
  <c r="Z103"/>
  <c r="AA103"/>
  <c r="AB103"/>
  <c r="AC103"/>
  <c r="AD103"/>
  <c r="AE103"/>
  <c r="AF103"/>
  <c r="AG103"/>
  <c r="AH103"/>
  <c r="AI103"/>
  <c r="AJ103"/>
  <c r="AK103"/>
  <c r="AL103"/>
  <c r="AM103"/>
  <c r="AN103"/>
  <c r="AO103"/>
  <c r="AP103"/>
  <c r="AQ103"/>
  <c r="AR103"/>
  <c r="AS103"/>
  <c r="R100"/>
  <c r="R103" s="1"/>
  <c r="S100"/>
  <c r="T100"/>
  <c r="U100"/>
  <c r="V100"/>
  <c r="W100"/>
  <c r="X100"/>
  <c r="Y100"/>
  <c r="Z100"/>
  <c r="AA100"/>
  <c r="AB100"/>
  <c r="AC100"/>
  <c r="AD100"/>
  <c r="AE100"/>
  <c r="AF100"/>
  <c r="AG100"/>
  <c r="AH100"/>
  <c r="AI100"/>
  <c r="AJ100"/>
  <c r="AK100"/>
  <c r="AL100"/>
  <c r="AM100"/>
  <c r="AN100"/>
  <c r="AO100"/>
  <c r="AP100"/>
  <c r="AQ100"/>
  <c r="AR100"/>
  <c r="AS100"/>
  <c r="T95"/>
  <c r="U95"/>
  <c r="V95"/>
  <c r="W95"/>
  <c r="X95"/>
  <c r="Y95"/>
  <c r="Z95"/>
  <c r="AA95"/>
  <c r="AB95"/>
  <c r="AC95"/>
  <c r="AD95"/>
  <c r="AE95"/>
  <c r="AF95"/>
  <c r="AG95"/>
  <c r="AH95"/>
  <c r="AI95"/>
  <c r="AJ95"/>
  <c r="AK95"/>
  <c r="AL95"/>
  <c r="AM95"/>
  <c r="AN95"/>
  <c r="AO95"/>
  <c r="AP95"/>
  <c r="AQ95"/>
  <c r="AR95"/>
  <c r="AS95"/>
  <c r="R95"/>
  <c r="S95"/>
  <c r="S91"/>
  <c r="T91"/>
  <c r="U91"/>
  <c r="V91"/>
  <c r="W91"/>
  <c r="X91"/>
  <c r="Y91"/>
  <c r="Z91"/>
  <c r="AA91"/>
  <c r="AB91"/>
  <c r="AC91"/>
  <c r="AD91"/>
  <c r="AE91"/>
  <c r="AF91"/>
  <c r="AG91"/>
  <c r="AH91"/>
  <c r="AI91"/>
  <c r="AJ91"/>
  <c r="AK91"/>
  <c r="AL91"/>
  <c r="AM91"/>
  <c r="AN91"/>
  <c r="AO91"/>
  <c r="AP91"/>
  <c r="AQ91"/>
  <c r="AR91"/>
  <c r="AS91"/>
  <c r="J103"/>
  <c r="Q100"/>
  <c r="Q103" s="1"/>
  <c r="P100"/>
  <c r="P103" s="1"/>
  <c r="O100"/>
  <c r="O103" s="1"/>
  <c r="N100"/>
  <c r="N103" s="1"/>
  <c r="M100"/>
  <c r="M103" s="1"/>
  <c r="L100"/>
  <c r="L103" s="1"/>
  <c r="Q95"/>
  <c r="P95"/>
  <c r="O95"/>
  <c r="N95"/>
  <c r="M95"/>
  <c r="L95"/>
  <c r="R91"/>
  <c r="Q91"/>
  <c r="P91"/>
  <c r="O91"/>
  <c r="N91"/>
  <c r="M91"/>
  <c r="L91"/>
  <c r="K91"/>
  <c r="K103" s="1"/>
  <c r="J91"/>
  <c r="C385" i="114"/>
  <c r="D385" s="1"/>
  <c r="C385" i="113"/>
  <c r="D385" s="1"/>
  <c r="C385" i="112"/>
  <c r="C385" i="1"/>
  <c r="D385" s="1"/>
  <c r="B68" i="2"/>
  <c r="C384" i="113" s="1"/>
  <c r="G68" i="2"/>
  <c r="C68"/>
  <c r="C61" i="104" s="1"/>
  <c r="G38" i="2"/>
  <c r="G37"/>
  <c r="D61" i="104"/>
  <c r="D60"/>
  <c r="D59"/>
  <c r="D58"/>
  <c r="D29"/>
  <c r="D28"/>
  <c r="D27"/>
  <c r="O87" i="110"/>
  <c r="N87"/>
  <c r="M87"/>
  <c r="L87"/>
  <c r="K87"/>
  <c r="J78"/>
  <c r="K76"/>
  <c r="K77" s="1"/>
  <c r="L77" s="1"/>
  <c r="M77"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L75"/>
  <c r="M75" s="1"/>
  <c r="P84" s="1"/>
  <c r="K75"/>
  <c r="M74"/>
  <c r="R83" s="1"/>
  <c r="L74"/>
  <c r="AP389" i="114"/>
  <c r="AO389"/>
  <c r="AN389"/>
  <c r="AM389"/>
  <c r="AL389"/>
  <c r="AK389"/>
  <c r="AJ389"/>
  <c r="AI389"/>
  <c r="AH389"/>
  <c r="AG389"/>
  <c r="AF389"/>
  <c r="AE389"/>
  <c r="AD389"/>
  <c r="AC389"/>
  <c r="AB389"/>
  <c r="AA389"/>
  <c r="Z389"/>
  <c r="Y389"/>
  <c r="X389"/>
  <c r="W389"/>
  <c r="V389"/>
  <c r="U389"/>
  <c r="T389"/>
  <c r="S389"/>
  <c r="R389"/>
  <c r="Q389"/>
  <c r="P389"/>
  <c r="O389"/>
  <c r="N389"/>
  <c r="M389"/>
  <c r="L389"/>
  <c r="K389"/>
  <c r="D389"/>
  <c r="C388"/>
  <c r="AP382"/>
  <c r="AO382"/>
  <c r="AN382"/>
  <c r="AM382"/>
  <c r="AL382"/>
  <c r="AK382"/>
  <c r="AJ382"/>
  <c r="AI382"/>
  <c r="AH382"/>
  <c r="AG382"/>
  <c r="AF382"/>
  <c r="AE382"/>
  <c r="AD382"/>
  <c r="AC382"/>
  <c r="AB382"/>
  <c r="AA382"/>
  <c r="Z382"/>
  <c r="Y382"/>
  <c r="X382"/>
  <c r="W382"/>
  <c r="V382"/>
  <c r="U382"/>
  <c r="T382"/>
  <c r="S382"/>
  <c r="R382"/>
  <c r="Q382"/>
  <c r="P382"/>
  <c r="O382"/>
  <c r="N382"/>
  <c r="M382"/>
  <c r="L382"/>
  <c r="K382"/>
  <c r="D382"/>
  <c r="C381"/>
  <c r="C378"/>
  <c r="D378" s="1"/>
  <c r="AP375"/>
  <c r="AO375"/>
  <c r="AN375"/>
  <c r="AM375"/>
  <c r="AL375"/>
  <c r="AK375"/>
  <c r="AJ375"/>
  <c r="AI375"/>
  <c r="AH375"/>
  <c r="AG375"/>
  <c r="AF375"/>
  <c r="AE375"/>
  <c r="AD375"/>
  <c r="AC375"/>
  <c r="AB375"/>
  <c r="AA375"/>
  <c r="Z375"/>
  <c r="Y375"/>
  <c r="X375"/>
  <c r="W375"/>
  <c r="V375"/>
  <c r="U375"/>
  <c r="T375"/>
  <c r="S375"/>
  <c r="R375"/>
  <c r="Q375"/>
  <c r="P375"/>
  <c r="O375"/>
  <c r="N375"/>
  <c r="M375"/>
  <c r="L375"/>
  <c r="K375"/>
  <c r="J375"/>
  <c r="I375"/>
  <c r="H375"/>
  <c r="G375"/>
  <c r="D375"/>
  <c r="C374"/>
  <c r="C371"/>
  <c r="D371" s="1"/>
  <c r="AP368"/>
  <c r="AO368"/>
  <c r="AN368"/>
  <c r="AM368"/>
  <c r="AL368"/>
  <c r="AK368"/>
  <c r="AJ368"/>
  <c r="AI368"/>
  <c r="AH368"/>
  <c r="AG368"/>
  <c r="AF368"/>
  <c r="AE368"/>
  <c r="AD368"/>
  <c r="AC368"/>
  <c r="AB368"/>
  <c r="AA368"/>
  <c r="Z368"/>
  <c r="Y368"/>
  <c r="X368"/>
  <c r="W368"/>
  <c r="V368"/>
  <c r="U368"/>
  <c r="T368"/>
  <c r="S368"/>
  <c r="R368"/>
  <c r="Q368"/>
  <c r="P368"/>
  <c r="O368"/>
  <c r="N368"/>
  <c r="M368"/>
  <c r="L368"/>
  <c r="K368"/>
  <c r="J368"/>
  <c r="I368"/>
  <c r="H368"/>
  <c r="D368"/>
  <c r="G367"/>
  <c r="F367"/>
  <c r="E367"/>
  <c r="C367" s="1"/>
  <c r="C364"/>
  <c r="D364" s="1"/>
  <c r="AP365" s="1"/>
  <c r="AP361"/>
  <c r="AO361"/>
  <c r="AN361"/>
  <c r="AM361"/>
  <c r="AL361"/>
  <c r="AK361"/>
  <c r="AJ361"/>
  <c r="AI361"/>
  <c r="AH361"/>
  <c r="AG361"/>
  <c r="AF361"/>
  <c r="AE361"/>
  <c r="AD361"/>
  <c r="AC361"/>
  <c r="AB361"/>
  <c r="AA361"/>
  <c r="Z361"/>
  <c r="Y361"/>
  <c r="X361"/>
  <c r="W361"/>
  <c r="V361"/>
  <c r="U361"/>
  <c r="T361"/>
  <c r="S361"/>
  <c r="R361"/>
  <c r="Q361"/>
  <c r="P361"/>
  <c r="O361"/>
  <c r="N361"/>
  <c r="M361"/>
  <c r="L361"/>
  <c r="K361"/>
  <c r="J361"/>
  <c r="I361"/>
  <c r="H361"/>
  <c r="C360"/>
  <c r="C357"/>
  <c r="D357" s="1"/>
  <c r="AO358" s="1"/>
  <c r="AP354"/>
  <c r="AO354"/>
  <c r="AN354"/>
  <c r="AM354"/>
  <c r="AL354"/>
  <c r="AK354"/>
  <c r="AJ354"/>
  <c r="AI354"/>
  <c r="AH354"/>
  <c r="AG354"/>
  <c r="AF354"/>
  <c r="AE354"/>
  <c r="AD354"/>
  <c r="AC354"/>
  <c r="AB354"/>
  <c r="AA354"/>
  <c r="Z354"/>
  <c r="Y354"/>
  <c r="X354"/>
  <c r="W354"/>
  <c r="V354"/>
  <c r="U354"/>
  <c r="T354"/>
  <c r="S354"/>
  <c r="R354"/>
  <c r="Q354"/>
  <c r="P354"/>
  <c r="O354"/>
  <c r="N354"/>
  <c r="M354"/>
  <c r="L354"/>
  <c r="K354"/>
  <c r="J354"/>
  <c r="I354"/>
  <c r="H354"/>
  <c r="C353"/>
  <c r="C350"/>
  <c r="D350" s="1"/>
  <c r="I351" s="1"/>
  <c r="AP347"/>
  <c r="AO347"/>
  <c r="AN347"/>
  <c r="AM347"/>
  <c r="AL347"/>
  <c r="AK347"/>
  <c r="AJ347"/>
  <c r="AI347"/>
  <c r="AH347"/>
  <c r="AG347"/>
  <c r="AF347"/>
  <c r="AE347"/>
  <c r="AD347"/>
  <c r="AC347"/>
  <c r="AB347"/>
  <c r="AA347"/>
  <c r="Z347"/>
  <c r="Y347"/>
  <c r="X347"/>
  <c r="W347"/>
  <c r="V347"/>
  <c r="U347"/>
  <c r="T347"/>
  <c r="S347"/>
  <c r="R347"/>
  <c r="Q347"/>
  <c r="P347"/>
  <c r="O347"/>
  <c r="N347"/>
  <c r="M347"/>
  <c r="L347"/>
  <c r="K347"/>
  <c r="J347"/>
  <c r="I347"/>
  <c r="H347"/>
  <c r="C346"/>
  <c r="C343"/>
  <c r="D343" s="1"/>
  <c r="AP340"/>
  <c r="AO340"/>
  <c r="AN340"/>
  <c r="AM340"/>
  <c r="AL340"/>
  <c r="AK340"/>
  <c r="AJ340"/>
  <c r="AI340"/>
  <c r="AH340"/>
  <c r="AG340"/>
  <c r="AF340"/>
  <c r="AE340"/>
  <c r="AD340"/>
  <c r="AC340"/>
  <c r="AB340"/>
  <c r="AA340"/>
  <c r="Z340"/>
  <c r="Y340"/>
  <c r="X340"/>
  <c r="W340"/>
  <c r="V340"/>
  <c r="U340"/>
  <c r="T340"/>
  <c r="S340"/>
  <c r="R340"/>
  <c r="Q340"/>
  <c r="P340"/>
  <c r="O340"/>
  <c r="N340"/>
  <c r="M340"/>
  <c r="L340"/>
  <c r="K340"/>
  <c r="J340"/>
  <c r="I340"/>
  <c r="H340"/>
  <c r="G340"/>
  <c r="F339"/>
  <c r="E339"/>
  <c r="D339"/>
  <c r="C336"/>
  <c r="D336" s="1"/>
  <c r="AP333"/>
  <c r="AO333"/>
  <c r="AN333"/>
  <c r="AM333"/>
  <c r="AL333"/>
  <c r="AK333"/>
  <c r="AJ333"/>
  <c r="AI333"/>
  <c r="AH333"/>
  <c r="AG333"/>
  <c r="AF333"/>
  <c r="AE333"/>
  <c r="AD333"/>
  <c r="AC333"/>
  <c r="AB333"/>
  <c r="AA333"/>
  <c r="Z333"/>
  <c r="Y333"/>
  <c r="X333"/>
  <c r="W333"/>
  <c r="V333"/>
  <c r="U333"/>
  <c r="T333"/>
  <c r="S333"/>
  <c r="R333"/>
  <c r="Q333"/>
  <c r="P333"/>
  <c r="O333"/>
  <c r="N333"/>
  <c r="M333"/>
  <c r="L333"/>
  <c r="K333"/>
  <c r="J333"/>
  <c r="I333"/>
  <c r="H333"/>
  <c r="G333"/>
  <c r="F333"/>
  <c r="C332"/>
  <c r="C329"/>
  <c r="D329" s="1"/>
  <c r="AP326"/>
  <c r="AO326"/>
  <c r="AN326"/>
  <c r="AM326"/>
  <c r="AL326"/>
  <c r="AK326"/>
  <c r="AJ326"/>
  <c r="AI326"/>
  <c r="AH326"/>
  <c r="AG326"/>
  <c r="AF326"/>
  <c r="AE326"/>
  <c r="AD326"/>
  <c r="AC326"/>
  <c r="AB326"/>
  <c r="AA326"/>
  <c r="Z326"/>
  <c r="Y326"/>
  <c r="X326"/>
  <c r="W326"/>
  <c r="V326"/>
  <c r="U326"/>
  <c r="T326"/>
  <c r="S326"/>
  <c r="R326"/>
  <c r="Q326"/>
  <c r="P326"/>
  <c r="O326"/>
  <c r="N326"/>
  <c r="M326"/>
  <c r="L326"/>
  <c r="K326"/>
  <c r="J326"/>
  <c r="I326"/>
  <c r="H326"/>
  <c r="G326"/>
  <c r="F325"/>
  <c r="E325"/>
  <c r="D325"/>
  <c r="C322"/>
  <c r="D322" s="1"/>
  <c r="AP319"/>
  <c r="AO319"/>
  <c r="AN319"/>
  <c r="AM319"/>
  <c r="AL319"/>
  <c r="AK319"/>
  <c r="AJ319"/>
  <c r="AI319"/>
  <c r="AH319"/>
  <c r="AG319"/>
  <c r="AF319"/>
  <c r="AE319"/>
  <c r="AD319"/>
  <c r="AC319"/>
  <c r="AB319"/>
  <c r="AA319"/>
  <c r="Z319"/>
  <c r="Y319"/>
  <c r="X319"/>
  <c r="W319"/>
  <c r="V319"/>
  <c r="U319"/>
  <c r="T319"/>
  <c r="S319"/>
  <c r="R319"/>
  <c r="Q319"/>
  <c r="P319"/>
  <c r="O319"/>
  <c r="N319"/>
  <c r="M319"/>
  <c r="L319"/>
  <c r="K319"/>
  <c r="J319"/>
  <c r="I319"/>
  <c r="H319"/>
  <c r="G319"/>
  <c r="F319"/>
  <c r="C318"/>
  <c r="C315"/>
  <c r="D315" s="1"/>
  <c r="AP312"/>
  <c r="AO312"/>
  <c r="AN312"/>
  <c r="AM312"/>
  <c r="AL312"/>
  <c r="AK312"/>
  <c r="AJ312"/>
  <c r="AI312"/>
  <c r="AH312"/>
  <c r="AG312"/>
  <c r="AF312"/>
  <c r="AE312"/>
  <c r="AD312"/>
  <c r="AC312"/>
  <c r="AB312"/>
  <c r="AA312"/>
  <c r="Z312"/>
  <c r="Y312"/>
  <c r="X312"/>
  <c r="W312"/>
  <c r="V312"/>
  <c r="U312"/>
  <c r="T312"/>
  <c r="S312"/>
  <c r="R312"/>
  <c r="Q312"/>
  <c r="P312"/>
  <c r="O312"/>
  <c r="N312"/>
  <c r="M312"/>
  <c r="L312"/>
  <c r="K312"/>
  <c r="J312"/>
  <c r="I312"/>
  <c r="H312"/>
  <c r="G312"/>
  <c r="F312"/>
  <c r="D312"/>
  <c r="C311"/>
  <c r="C310"/>
  <c r="E312" s="1"/>
  <c r="C309"/>
  <c r="C308"/>
  <c r="D308" s="1"/>
  <c r="AP305"/>
  <c r="AO305"/>
  <c r="AN305"/>
  <c r="AM305"/>
  <c r="AL305"/>
  <c r="AK305"/>
  <c r="AJ305"/>
  <c r="AI305"/>
  <c r="AH305"/>
  <c r="AG305"/>
  <c r="AF305"/>
  <c r="AE305"/>
  <c r="AD305"/>
  <c r="AC305"/>
  <c r="AB305"/>
  <c r="AA305"/>
  <c r="Z305"/>
  <c r="Y305"/>
  <c r="X305"/>
  <c r="W305"/>
  <c r="V305"/>
  <c r="U305"/>
  <c r="T305"/>
  <c r="S305"/>
  <c r="R305"/>
  <c r="Q305"/>
  <c r="P305"/>
  <c r="O305"/>
  <c r="N305"/>
  <c r="M305"/>
  <c r="L305"/>
  <c r="K305"/>
  <c r="J305"/>
  <c r="I305"/>
  <c r="C304"/>
  <c r="C301"/>
  <c r="D301" s="1"/>
  <c r="AP298"/>
  <c r="AO298"/>
  <c r="AN298"/>
  <c r="AM298"/>
  <c r="AL298"/>
  <c r="AK298"/>
  <c r="AJ298"/>
  <c r="AI298"/>
  <c r="AH298"/>
  <c r="AG298"/>
  <c r="AF298"/>
  <c r="AE298"/>
  <c r="AD298"/>
  <c r="AC298"/>
  <c r="AB298"/>
  <c r="AA298"/>
  <c r="Z298"/>
  <c r="Y298"/>
  <c r="X298"/>
  <c r="W298"/>
  <c r="V298"/>
  <c r="U298"/>
  <c r="T298"/>
  <c r="S298"/>
  <c r="R298"/>
  <c r="Q298"/>
  <c r="P298"/>
  <c r="O298"/>
  <c r="N298"/>
  <c r="M298"/>
  <c r="L298"/>
  <c r="K298"/>
  <c r="J298"/>
  <c r="I298"/>
  <c r="H298"/>
  <c r="G298"/>
  <c r="F298"/>
  <c r="E298"/>
  <c r="C297"/>
  <c r="C294"/>
  <c r="D294" s="1"/>
  <c r="AP291"/>
  <c r="AO291"/>
  <c r="AN291"/>
  <c r="AM291"/>
  <c r="AL291"/>
  <c r="AK291"/>
  <c r="AJ291"/>
  <c r="AI291"/>
  <c r="AH291"/>
  <c r="AG291"/>
  <c r="AF291"/>
  <c r="AE291"/>
  <c r="AD291"/>
  <c r="AC291"/>
  <c r="AB291"/>
  <c r="AA291"/>
  <c r="Z291"/>
  <c r="Y291"/>
  <c r="X291"/>
  <c r="W291"/>
  <c r="V291"/>
  <c r="U291"/>
  <c r="T291"/>
  <c r="S291"/>
  <c r="R291"/>
  <c r="Q291"/>
  <c r="P291"/>
  <c r="O291"/>
  <c r="N291"/>
  <c r="M291"/>
  <c r="L291"/>
  <c r="K291"/>
  <c r="J291"/>
  <c r="I291"/>
  <c r="H291"/>
  <c r="G291"/>
  <c r="F291"/>
  <c r="C290"/>
  <c r="C287"/>
  <c r="D287" s="1"/>
  <c r="AP284"/>
  <c r="AO284"/>
  <c r="AN284"/>
  <c r="AM284"/>
  <c r="AL284"/>
  <c r="AK284"/>
  <c r="AJ284"/>
  <c r="AI284"/>
  <c r="AH284"/>
  <c r="AG284"/>
  <c r="AF284"/>
  <c r="AE284"/>
  <c r="AD284"/>
  <c r="AC284"/>
  <c r="AB284"/>
  <c r="AA284"/>
  <c r="Z284"/>
  <c r="Y284"/>
  <c r="X284"/>
  <c r="W284"/>
  <c r="V284"/>
  <c r="U284"/>
  <c r="T284"/>
  <c r="S284"/>
  <c r="R284"/>
  <c r="Q284"/>
  <c r="P284"/>
  <c r="O284"/>
  <c r="N284"/>
  <c r="M284"/>
  <c r="L284"/>
  <c r="K284"/>
  <c r="J284"/>
  <c r="I284"/>
  <c r="H284"/>
  <c r="G284"/>
  <c r="F284"/>
  <c r="C283"/>
  <c r="C280"/>
  <c r="D280" s="1"/>
  <c r="AP277"/>
  <c r="AO277"/>
  <c r="AN277"/>
  <c r="AM277"/>
  <c r="AL277"/>
  <c r="AK277"/>
  <c r="AJ277"/>
  <c r="AI277"/>
  <c r="AH277"/>
  <c r="AG277"/>
  <c r="AF277"/>
  <c r="AE277"/>
  <c r="AD277"/>
  <c r="AC277"/>
  <c r="AB277"/>
  <c r="AA277"/>
  <c r="Z277"/>
  <c r="Y277"/>
  <c r="X277"/>
  <c r="W277"/>
  <c r="V277"/>
  <c r="U277"/>
  <c r="T277"/>
  <c r="S277"/>
  <c r="R277"/>
  <c r="Q277"/>
  <c r="P277"/>
  <c r="O277"/>
  <c r="N277"/>
  <c r="M277"/>
  <c r="L277"/>
  <c r="K277"/>
  <c r="J277"/>
  <c r="I277"/>
  <c r="H277"/>
  <c r="C276"/>
  <c r="C273"/>
  <c r="D273" s="1"/>
  <c r="AP270"/>
  <c r="AO270"/>
  <c r="AN270"/>
  <c r="AM270"/>
  <c r="AL270"/>
  <c r="AK270"/>
  <c r="AJ270"/>
  <c r="AI270"/>
  <c r="AH270"/>
  <c r="AG270"/>
  <c r="AF270"/>
  <c r="AE270"/>
  <c r="AD270"/>
  <c r="AC270"/>
  <c r="AB270"/>
  <c r="AA270"/>
  <c r="Z270"/>
  <c r="Y270"/>
  <c r="X270"/>
  <c r="W270"/>
  <c r="V270"/>
  <c r="U270"/>
  <c r="T270"/>
  <c r="S270"/>
  <c r="R270"/>
  <c r="Q270"/>
  <c r="P270"/>
  <c r="O270"/>
  <c r="N270"/>
  <c r="M270"/>
  <c r="L270"/>
  <c r="K270"/>
  <c r="J270"/>
  <c r="I270"/>
  <c r="H269"/>
  <c r="H270" s="1"/>
  <c r="G269"/>
  <c r="F269"/>
  <c r="E269"/>
  <c r="D269"/>
  <c r="C266"/>
  <c r="D266" s="1"/>
  <c r="AP263"/>
  <c r="AO263"/>
  <c r="AN263"/>
  <c r="AM263"/>
  <c r="AL263"/>
  <c r="AK263"/>
  <c r="AJ263"/>
  <c r="AI263"/>
  <c r="AH263"/>
  <c r="AG263"/>
  <c r="AF263"/>
  <c r="AE263"/>
  <c r="AD263"/>
  <c r="AC263"/>
  <c r="AB263"/>
  <c r="AA263"/>
  <c r="Z263"/>
  <c r="Y263"/>
  <c r="X263"/>
  <c r="W263"/>
  <c r="V263"/>
  <c r="U263"/>
  <c r="T263"/>
  <c r="S263"/>
  <c r="R263"/>
  <c r="Q263"/>
  <c r="P263"/>
  <c r="O263"/>
  <c r="N263"/>
  <c r="M263"/>
  <c r="L263"/>
  <c r="K263"/>
  <c r="J263"/>
  <c r="I263"/>
  <c r="H262"/>
  <c r="H263" s="1"/>
  <c r="G262"/>
  <c r="F262"/>
  <c r="E262"/>
  <c r="D262"/>
  <c r="C259"/>
  <c r="D259" s="1"/>
  <c r="AP256"/>
  <c r="AO256"/>
  <c r="AN256"/>
  <c r="AM256"/>
  <c r="AL256"/>
  <c r="AK256"/>
  <c r="AJ256"/>
  <c r="AI256"/>
  <c r="AH256"/>
  <c r="AG256"/>
  <c r="AF256"/>
  <c r="AE256"/>
  <c r="AD256"/>
  <c r="AC256"/>
  <c r="AB256"/>
  <c r="AA256"/>
  <c r="Z256"/>
  <c r="Y256"/>
  <c r="X256"/>
  <c r="W256"/>
  <c r="V256"/>
  <c r="U256"/>
  <c r="T256"/>
  <c r="S256"/>
  <c r="R256"/>
  <c r="Q256"/>
  <c r="P256"/>
  <c r="O256"/>
  <c r="N256"/>
  <c r="M256"/>
  <c r="L256"/>
  <c r="K256"/>
  <c r="J256"/>
  <c r="I256"/>
  <c r="H255"/>
  <c r="H256" s="1"/>
  <c r="G255"/>
  <c r="F255"/>
  <c r="E255"/>
  <c r="D255"/>
  <c r="C252"/>
  <c r="D252" s="1"/>
  <c r="AP249"/>
  <c r="AO249"/>
  <c r="AN249"/>
  <c r="AM249"/>
  <c r="AL249"/>
  <c r="AK249"/>
  <c r="AJ249"/>
  <c r="AI249"/>
  <c r="AH249"/>
  <c r="AG249"/>
  <c r="AF249"/>
  <c r="AE249"/>
  <c r="AD249"/>
  <c r="AC249"/>
  <c r="AB249"/>
  <c r="AA249"/>
  <c r="Z249"/>
  <c r="Y249"/>
  <c r="X249"/>
  <c r="W249"/>
  <c r="V249"/>
  <c r="U249"/>
  <c r="T249"/>
  <c r="S249"/>
  <c r="R249"/>
  <c r="Q249"/>
  <c r="P249"/>
  <c r="O249"/>
  <c r="N249"/>
  <c r="M249"/>
  <c r="L249"/>
  <c r="K249"/>
  <c r="J249"/>
  <c r="I249"/>
  <c r="H248"/>
  <c r="H249" s="1"/>
  <c r="G248"/>
  <c r="F248"/>
  <c r="E248"/>
  <c r="D248"/>
  <c r="C245"/>
  <c r="D245" s="1"/>
  <c r="AP242"/>
  <c r="AO242"/>
  <c r="AN242"/>
  <c r="AM242"/>
  <c r="AL242"/>
  <c r="AK242"/>
  <c r="AJ242"/>
  <c r="AI242"/>
  <c r="AH242"/>
  <c r="AG242"/>
  <c r="AF242"/>
  <c r="AE242"/>
  <c r="AD242"/>
  <c r="AC242"/>
  <c r="AB242"/>
  <c r="AA242"/>
  <c r="Z242"/>
  <c r="Y242"/>
  <c r="X242"/>
  <c r="W242"/>
  <c r="V242"/>
  <c r="U242"/>
  <c r="T242"/>
  <c r="S242"/>
  <c r="R242"/>
  <c r="Q242"/>
  <c r="P242"/>
  <c r="O242"/>
  <c r="N242"/>
  <c r="M242"/>
  <c r="L242"/>
  <c r="K242"/>
  <c r="J242"/>
  <c r="I242"/>
  <c r="H242"/>
  <c r="G242"/>
  <c r="F242"/>
  <c r="C241"/>
  <c r="C238"/>
  <c r="D238" s="1"/>
  <c r="AP235"/>
  <c r="AO235"/>
  <c r="AN235"/>
  <c r="AM235"/>
  <c r="AL235"/>
  <c r="AK235"/>
  <c r="AJ235"/>
  <c r="AI235"/>
  <c r="AH235"/>
  <c r="AG235"/>
  <c r="AF235"/>
  <c r="AE235"/>
  <c r="AD235"/>
  <c r="AC235"/>
  <c r="AB235"/>
  <c r="AA235"/>
  <c r="Z235"/>
  <c r="Y235"/>
  <c r="X235"/>
  <c r="W235"/>
  <c r="V235"/>
  <c r="U235"/>
  <c r="T235"/>
  <c r="S235"/>
  <c r="R235"/>
  <c r="Q235"/>
  <c r="P235"/>
  <c r="O235"/>
  <c r="N235"/>
  <c r="M235"/>
  <c r="L235"/>
  <c r="K235"/>
  <c r="J235"/>
  <c r="I235"/>
  <c r="H235"/>
  <c r="D235"/>
  <c r="C234"/>
  <c r="C231"/>
  <c r="D231" s="1"/>
  <c r="AP228"/>
  <c r="AO228"/>
  <c r="AN228"/>
  <c r="AM228"/>
  <c r="AL228"/>
  <c r="AK228"/>
  <c r="AJ228"/>
  <c r="AI228"/>
  <c r="AH228"/>
  <c r="AG228"/>
  <c r="AF228"/>
  <c r="AE228"/>
  <c r="AD228"/>
  <c r="AC228"/>
  <c r="AB228"/>
  <c r="AA228"/>
  <c r="Z228"/>
  <c r="Y228"/>
  <c r="X228"/>
  <c r="W228"/>
  <c r="V228"/>
  <c r="U228"/>
  <c r="T228"/>
  <c r="S228"/>
  <c r="R228"/>
  <c r="Q228"/>
  <c r="P228"/>
  <c r="O228"/>
  <c r="N228"/>
  <c r="M228"/>
  <c r="L228"/>
  <c r="K228"/>
  <c r="J228"/>
  <c r="I228"/>
  <c r="H228"/>
  <c r="G228"/>
  <c r="D228"/>
  <c r="C227"/>
  <c r="C224"/>
  <c r="D224" s="1"/>
  <c r="AP221"/>
  <c r="AO221"/>
  <c r="AN221"/>
  <c r="AM221"/>
  <c r="AL221"/>
  <c r="AK221"/>
  <c r="AJ221"/>
  <c r="AI221"/>
  <c r="AH221"/>
  <c r="AG221"/>
  <c r="AF221"/>
  <c r="AE221"/>
  <c r="AD221"/>
  <c r="AC221"/>
  <c r="AB221"/>
  <c r="AA221"/>
  <c r="Z221"/>
  <c r="Y221"/>
  <c r="X221"/>
  <c r="W221"/>
  <c r="V221"/>
  <c r="U221"/>
  <c r="T221"/>
  <c r="S221"/>
  <c r="R221"/>
  <c r="Q221"/>
  <c r="P221"/>
  <c r="O221"/>
  <c r="N221"/>
  <c r="M221"/>
  <c r="L221"/>
  <c r="K221"/>
  <c r="J221"/>
  <c r="I221"/>
  <c r="H221"/>
  <c r="G221"/>
  <c r="D221"/>
  <c r="C220"/>
  <c r="C217"/>
  <c r="D217" s="1"/>
  <c r="AP214"/>
  <c r="AO214"/>
  <c r="AN214"/>
  <c r="AM214"/>
  <c r="AL214"/>
  <c r="AK214"/>
  <c r="AJ214"/>
  <c r="AI214"/>
  <c r="AH214"/>
  <c r="AG214"/>
  <c r="AF214"/>
  <c r="AE214"/>
  <c r="AD214"/>
  <c r="AC214"/>
  <c r="AB214"/>
  <c r="AA214"/>
  <c r="Z214"/>
  <c r="Y214"/>
  <c r="X214"/>
  <c r="W214"/>
  <c r="V214"/>
  <c r="U214"/>
  <c r="T214"/>
  <c r="S214"/>
  <c r="R214"/>
  <c r="Q214"/>
  <c r="P214"/>
  <c r="O214"/>
  <c r="N214"/>
  <c r="M214"/>
  <c r="L214"/>
  <c r="K214"/>
  <c r="J214"/>
  <c r="I214"/>
  <c r="H214"/>
  <c r="D214"/>
  <c r="C213"/>
  <c r="C210"/>
  <c r="D210" s="1"/>
  <c r="AP207"/>
  <c r="AO207"/>
  <c r="AN207"/>
  <c r="AM207"/>
  <c r="AL207"/>
  <c r="AK207"/>
  <c r="AJ207"/>
  <c r="AI207"/>
  <c r="AH207"/>
  <c r="AG207"/>
  <c r="AF207"/>
  <c r="AE207"/>
  <c r="AD207"/>
  <c r="AC207"/>
  <c r="AB207"/>
  <c r="AA207"/>
  <c r="Z207"/>
  <c r="Y207"/>
  <c r="X207"/>
  <c r="W207"/>
  <c r="V207"/>
  <c r="U207"/>
  <c r="T207"/>
  <c r="S207"/>
  <c r="R207"/>
  <c r="Q207"/>
  <c r="P207"/>
  <c r="O207"/>
  <c r="N207"/>
  <c r="M207"/>
  <c r="L207"/>
  <c r="K207"/>
  <c r="J207"/>
  <c r="I207"/>
  <c r="H207"/>
  <c r="G207"/>
  <c r="F207"/>
  <c r="D207"/>
  <c r="C206"/>
  <c r="C203"/>
  <c r="D203" s="1"/>
  <c r="AP200"/>
  <c r="AO200"/>
  <c r="AN200"/>
  <c r="AM200"/>
  <c r="AL200"/>
  <c r="AK200"/>
  <c r="AJ200"/>
  <c r="AI200"/>
  <c r="AH200"/>
  <c r="AG200"/>
  <c r="AF200"/>
  <c r="AE200"/>
  <c r="AD200"/>
  <c r="AC200"/>
  <c r="AB200"/>
  <c r="AA200"/>
  <c r="Z200"/>
  <c r="Y200"/>
  <c r="X200"/>
  <c r="W200"/>
  <c r="V200"/>
  <c r="U200"/>
  <c r="T200"/>
  <c r="S200"/>
  <c r="R200"/>
  <c r="Q200"/>
  <c r="P200"/>
  <c r="O200"/>
  <c r="N200"/>
  <c r="M200"/>
  <c r="L200"/>
  <c r="K200"/>
  <c r="J200"/>
  <c r="I200"/>
  <c r="H200"/>
  <c r="G200"/>
  <c r="F200"/>
  <c r="E200"/>
  <c r="C199"/>
  <c r="C196"/>
  <c r="D196" s="1"/>
  <c r="AP193"/>
  <c r="AO193"/>
  <c r="AN193"/>
  <c r="AM193"/>
  <c r="AL193"/>
  <c r="AK193"/>
  <c r="AJ193"/>
  <c r="AI193"/>
  <c r="AH193"/>
  <c r="AG193"/>
  <c r="AF193"/>
  <c r="AE193"/>
  <c r="AD193"/>
  <c r="AC193"/>
  <c r="AB193"/>
  <c r="AA193"/>
  <c r="Z193"/>
  <c r="Y193"/>
  <c r="X193"/>
  <c r="W193"/>
  <c r="V193"/>
  <c r="U193"/>
  <c r="T193"/>
  <c r="S193"/>
  <c r="R193"/>
  <c r="Q193"/>
  <c r="P193"/>
  <c r="O193"/>
  <c r="N193"/>
  <c r="M193"/>
  <c r="L193"/>
  <c r="K193"/>
  <c r="J193"/>
  <c r="I193"/>
  <c r="H193"/>
  <c r="G193"/>
  <c r="F193"/>
  <c r="C192"/>
  <c r="C189"/>
  <c r="D189" s="1"/>
  <c r="AP186"/>
  <c r="AO186"/>
  <c r="AN186"/>
  <c r="AM186"/>
  <c r="AL186"/>
  <c r="AK186"/>
  <c r="AJ186"/>
  <c r="AI186"/>
  <c r="AH186"/>
  <c r="AG186"/>
  <c r="AF186"/>
  <c r="AE186"/>
  <c r="AD186"/>
  <c r="AC186"/>
  <c r="AB186"/>
  <c r="AA186"/>
  <c r="Z186"/>
  <c r="Y186"/>
  <c r="X186"/>
  <c r="W186"/>
  <c r="V186"/>
  <c r="U186"/>
  <c r="T186"/>
  <c r="S186"/>
  <c r="R186"/>
  <c r="Q186"/>
  <c r="P186"/>
  <c r="O186"/>
  <c r="N186"/>
  <c r="M186"/>
  <c r="L186"/>
  <c r="K186"/>
  <c r="J186"/>
  <c r="I186"/>
  <c r="H186"/>
  <c r="G186"/>
  <c r="F186"/>
  <c r="C185"/>
  <c r="C182"/>
  <c r="D182" s="1"/>
  <c r="AP179"/>
  <c r="AO179"/>
  <c r="AN179"/>
  <c r="AM179"/>
  <c r="AL179"/>
  <c r="AK179"/>
  <c r="AJ179"/>
  <c r="AI179"/>
  <c r="AH179"/>
  <c r="AG179"/>
  <c r="AF179"/>
  <c r="AE179"/>
  <c r="AD179"/>
  <c r="AC179"/>
  <c r="AB179"/>
  <c r="AA179"/>
  <c r="Z179"/>
  <c r="Y179"/>
  <c r="X179"/>
  <c r="W179"/>
  <c r="V179"/>
  <c r="U179"/>
  <c r="T179"/>
  <c r="S179"/>
  <c r="R179"/>
  <c r="Q179"/>
  <c r="P179"/>
  <c r="O179"/>
  <c r="N179"/>
  <c r="M179"/>
  <c r="L179"/>
  <c r="K179"/>
  <c r="J179"/>
  <c r="I179"/>
  <c r="H179"/>
  <c r="G179"/>
  <c r="C178"/>
  <c r="C175"/>
  <c r="D175" s="1"/>
  <c r="AP172"/>
  <c r="AO172"/>
  <c r="AN172"/>
  <c r="AM172"/>
  <c r="AL172"/>
  <c r="AK172"/>
  <c r="AJ172"/>
  <c r="AI172"/>
  <c r="AH172"/>
  <c r="AG172"/>
  <c r="AF172"/>
  <c r="AE172"/>
  <c r="AD172"/>
  <c r="AC172"/>
  <c r="AB172"/>
  <c r="AA172"/>
  <c r="Z172"/>
  <c r="Y172"/>
  <c r="X172"/>
  <c r="W172"/>
  <c r="V172"/>
  <c r="U172"/>
  <c r="T172"/>
  <c r="S172"/>
  <c r="R172"/>
  <c r="Q172"/>
  <c r="P172"/>
  <c r="O172"/>
  <c r="N172"/>
  <c r="M172"/>
  <c r="L172"/>
  <c r="K172"/>
  <c r="J172"/>
  <c r="I172"/>
  <c r="H172"/>
  <c r="G172"/>
  <c r="C171"/>
  <c r="C168"/>
  <c r="D168" s="1"/>
  <c r="AP165"/>
  <c r="AO165"/>
  <c r="AN165"/>
  <c r="AM165"/>
  <c r="AL165"/>
  <c r="AK165"/>
  <c r="AJ165"/>
  <c r="AI165"/>
  <c r="AH165"/>
  <c r="AG165"/>
  <c r="AF165"/>
  <c r="AE165"/>
  <c r="AD165"/>
  <c r="AC165"/>
  <c r="AB165"/>
  <c r="AA165"/>
  <c r="Z165"/>
  <c r="Y165"/>
  <c r="X165"/>
  <c r="W165"/>
  <c r="V165"/>
  <c r="U165"/>
  <c r="T165"/>
  <c r="S165"/>
  <c r="R165"/>
  <c r="Q165"/>
  <c r="P165"/>
  <c r="O165"/>
  <c r="N165"/>
  <c r="M165"/>
  <c r="L165"/>
  <c r="K165"/>
  <c r="J165"/>
  <c r="I165"/>
  <c r="H165"/>
  <c r="G165"/>
  <c r="D165"/>
  <c r="C164"/>
  <c r="C161"/>
  <c r="D161" s="1"/>
  <c r="AP158"/>
  <c r="AO158"/>
  <c r="AN158"/>
  <c r="AM158"/>
  <c r="AL158"/>
  <c r="AK158"/>
  <c r="AJ158"/>
  <c r="AI158"/>
  <c r="AH158"/>
  <c r="AG158"/>
  <c r="AF158"/>
  <c r="AE158"/>
  <c r="AD158"/>
  <c r="AC158"/>
  <c r="AB158"/>
  <c r="AA158"/>
  <c r="Z158"/>
  <c r="Y158"/>
  <c r="X158"/>
  <c r="W158"/>
  <c r="V158"/>
  <c r="U158"/>
  <c r="T158"/>
  <c r="S158"/>
  <c r="R158"/>
  <c r="Q158"/>
  <c r="P158"/>
  <c r="O158"/>
  <c r="N158"/>
  <c r="M158"/>
  <c r="L158"/>
  <c r="K158"/>
  <c r="J158"/>
  <c r="I158"/>
  <c r="H158"/>
  <c r="G158"/>
  <c r="F158"/>
  <c r="D158"/>
  <c r="C157"/>
  <c r="C154"/>
  <c r="D154" s="1"/>
  <c r="AP151"/>
  <c r="AO151"/>
  <c r="AN151"/>
  <c r="AM151"/>
  <c r="AL151"/>
  <c r="AK151"/>
  <c r="AJ151"/>
  <c r="AI151"/>
  <c r="AH151"/>
  <c r="AG151"/>
  <c r="AF151"/>
  <c r="AE151"/>
  <c r="AD151"/>
  <c r="AC151"/>
  <c r="AB151"/>
  <c r="AA151"/>
  <c r="Z151"/>
  <c r="Y151"/>
  <c r="X151"/>
  <c r="W151"/>
  <c r="V151"/>
  <c r="U151"/>
  <c r="T151"/>
  <c r="S151"/>
  <c r="R151"/>
  <c r="Q151"/>
  <c r="P151"/>
  <c r="O151"/>
  <c r="N151"/>
  <c r="M151"/>
  <c r="L151"/>
  <c r="K151"/>
  <c r="J151"/>
  <c r="I151"/>
  <c r="H151"/>
  <c r="G151"/>
  <c r="F151"/>
  <c r="D151"/>
  <c r="C150"/>
  <c r="C147"/>
  <c r="D147" s="1"/>
  <c r="AP144"/>
  <c r="AO144"/>
  <c r="AN144"/>
  <c r="AM144"/>
  <c r="AL144"/>
  <c r="AK144"/>
  <c r="AJ144"/>
  <c r="AI144"/>
  <c r="AH144"/>
  <c r="AG144"/>
  <c r="AF144"/>
  <c r="AE144"/>
  <c r="AD144"/>
  <c r="AC144"/>
  <c r="AB144"/>
  <c r="AA144"/>
  <c r="Z144"/>
  <c r="Y144"/>
  <c r="X144"/>
  <c r="W144"/>
  <c r="V144"/>
  <c r="U144"/>
  <c r="T144"/>
  <c r="S144"/>
  <c r="R144"/>
  <c r="Q144"/>
  <c r="P144"/>
  <c r="O144"/>
  <c r="N144"/>
  <c r="M144"/>
  <c r="L144"/>
  <c r="K144"/>
  <c r="J144"/>
  <c r="I144"/>
  <c r="H144"/>
  <c r="G144"/>
  <c r="F144"/>
  <c r="D144"/>
  <c r="C143"/>
  <c r="C140"/>
  <c r="D140" s="1"/>
  <c r="AP137"/>
  <c r="AO137"/>
  <c r="AN137"/>
  <c r="AM137"/>
  <c r="AL137"/>
  <c r="AK137"/>
  <c r="AJ137"/>
  <c r="AI137"/>
  <c r="AH137"/>
  <c r="AG137"/>
  <c r="AF137"/>
  <c r="AE137"/>
  <c r="AD137"/>
  <c r="AC137"/>
  <c r="AB137"/>
  <c r="AA137"/>
  <c r="Z137"/>
  <c r="Y137"/>
  <c r="X137"/>
  <c r="W137"/>
  <c r="V137"/>
  <c r="U137"/>
  <c r="T137"/>
  <c r="S137"/>
  <c r="R137"/>
  <c r="Q137"/>
  <c r="P137"/>
  <c r="O137"/>
  <c r="N137"/>
  <c r="M137"/>
  <c r="L137"/>
  <c r="K137"/>
  <c r="J137"/>
  <c r="I137"/>
  <c r="H137"/>
  <c r="G137"/>
  <c r="F137"/>
  <c r="D137"/>
  <c r="C136"/>
  <c r="C133"/>
  <c r="D133" s="1"/>
  <c r="AP130"/>
  <c r="AO130"/>
  <c r="AN130"/>
  <c r="AM130"/>
  <c r="AL130"/>
  <c r="AK130"/>
  <c r="AJ130"/>
  <c r="AI130"/>
  <c r="AH130"/>
  <c r="AG130"/>
  <c r="AF130"/>
  <c r="AE130"/>
  <c r="AD130"/>
  <c r="AC130"/>
  <c r="AB130"/>
  <c r="AA130"/>
  <c r="Z130"/>
  <c r="Y130"/>
  <c r="X130"/>
  <c r="W130"/>
  <c r="V130"/>
  <c r="U130"/>
  <c r="T130"/>
  <c r="S130"/>
  <c r="R130"/>
  <c r="Q130"/>
  <c r="P130"/>
  <c r="O130"/>
  <c r="N130"/>
  <c r="M130"/>
  <c r="L130"/>
  <c r="K130"/>
  <c r="J130"/>
  <c r="I130"/>
  <c r="H130"/>
  <c r="G130"/>
  <c r="F129"/>
  <c r="E129"/>
  <c r="D129"/>
  <c r="C129" s="1"/>
  <c r="C126"/>
  <c r="D126" s="1"/>
  <c r="AP123"/>
  <c r="AO123"/>
  <c r="AN123"/>
  <c r="AM123"/>
  <c r="AL123"/>
  <c r="AK123"/>
  <c r="AJ123"/>
  <c r="AI123"/>
  <c r="AH123"/>
  <c r="AG123"/>
  <c r="AF123"/>
  <c r="AE123"/>
  <c r="AD123"/>
  <c r="AC123"/>
  <c r="AB123"/>
  <c r="AA123"/>
  <c r="Z123"/>
  <c r="Y123"/>
  <c r="X123"/>
  <c r="W123"/>
  <c r="V123"/>
  <c r="U123"/>
  <c r="T123"/>
  <c r="S123"/>
  <c r="R123"/>
  <c r="Q123"/>
  <c r="P123"/>
  <c r="O123"/>
  <c r="N123"/>
  <c r="M123"/>
  <c r="L123"/>
  <c r="K123"/>
  <c r="J123"/>
  <c r="I123"/>
  <c r="H123"/>
  <c r="G123"/>
  <c r="F123"/>
  <c r="D123"/>
  <c r="C122"/>
  <c r="C119"/>
  <c r="D119" s="1"/>
  <c r="E120" s="1"/>
  <c r="AP116"/>
  <c r="AO116"/>
  <c r="AN116"/>
  <c r="AM116"/>
  <c r="AL116"/>
  <c r="AK116"/>
  <c r="AJ116"/>
  <c r="AI116"/>
  <c r="AH116"/>
  <c r="AG116"/>
  <c r="AF116"/>
  <c r="AE116"/>
  <c r="AD116"/>
  <c r="AC116"/>
  <c r="AB116"/>
  <c r="AA116"/>
  <c r="Z116"/>
  <c r="Y116"/>
  <c r="X116"/>
  <c r="W116"/>
  <c r="V116"/>
  <c r="U116"/>
  <c r="T116"/>
  <c r="S116"/>
  <c r="R116"/>
  <c r="Q116"/>
  <c r="P116"/>
  <c r="O116"/>
  <c r="N116"/>
  <c r="M116"/>
  <c r="L116"/>
  <c r="K116"/>
  <c r="J116"/>
  <c r="I116"/>
  <c r="H116"/>
  <c r="D116"/>
  <c r="E115"/>
  <c r="C115"/>
  <c r="C112"/>
  <c r="D112" s="1"/>
  <c r="AP109"/>
  <c r="AO109"/>
  <c r="AN109"/>
  <c r="AM109"/>
  <c r="AL109"/>
  <c r="AK109"/>
  <c r="AJ109"/>
  <c r="AI109"/>
  <c r="AH109"/>
  <c r="AG109"/>
  <c r="AF109"/>
  <c r="AE109"/>
  <c r="AD109"/>
  <c r="AC109"/>
  <c r="AB109"/>
  <c r="AA109"/>
  <c r="Z109"/>
  <c r="Y109"/>
  <c r="X109"/>
  <c r="W109"/>
  <c r="V109"/>
  <c r="U109"/>
  <c r="T109"/>
  <c r="S109"/>
  <c r="R109"/>
  <c r="Q109"/>
  <c r="P109"/>
  <c r="O109"/>
  <c r="N109"/>
  <c r="M109"/>
  <c r="L109"/>
  <c r="K109"/>
  <c r="J109"/>
  <c r="I109"/>
  <c r="H109"/>
  <c r="D109"/>
  <c r="G108"/>
  <c r="F108"/>
  <c r="E108"/>
  <c r="C108" s="1"/>
  <c r="C105"/>
  <c r="D105" s="1"/>
  <c r="AP102"/>
  <c r="AO102"/>
  <c r="AN102"/>
  <c r="AM102"/>
  <c r="AL102"/>
  <c r="AK102"/>
  <c r="AJ102"/>
  <c r="AI102"/>
  <c r="AH102"/>
  <c r="AG102"/>
  <c r="AF102"/>
  <c r="AE102"/>
  <c r="AD102"/>
  <c r="AC102"/>
  <c r="AB102"/>
  <c r="AA102"/>
  <c r="Z102"/>
  <c r="Y102"/>
  <c r="X102"/>
  <c r="W102"/>
  <c r="V102"/>
  <c r="U102"/>
  <c r="T102"/>
  <c r="S102"/>
  <c r="R102"/>
  <c r="Q102"/>
  <c r="P102"/>
  <c r="O102"/>
  <c r="N102"/>
  <c r="M102"/>
  <c r="L102"/>
  <c r="K102"/>
  <c r="J102"/>
  <c r="I102"/>
  <c r="H102"/>
  <c r="C101"/>
  <c r="C98"/>
  <c r="D98" s="1"/>
  <c r="C97"/>
  <c r="AP95"/>
  <c r="AO95"/>
  <c r="AN95"/>
  <c r="AM95"/>
  <c r="AL95"/>
  <c r="AK95"/>
  <c r="AJ95"/>
  <c r="AI95"/>
  <c r="AH95"/>
  <c r="AG95"/>
  <c r="AF95"/>
  <c r="AE95"/>
  <c r="AD95"/>
  <c r="AC95"/>
  <c r="AB95"/>
  <c r="AA95"/>
  <c r="Z95"/>
  <c r="Y95"/>
  <c r="X95"/>
  <c r="W95"/>
  <c r="V95"/>
  <c r="U95"/>
  <c r="T95"/>
  <c r="S95"/>
  <c r="R95"/>
  <c r="Q95"/>
  <c r="P95"/>
  <c r="O95"/>
  <c r="N95"/>
  <c r="M95"/>
  <c r="L95"/>
  <c r="K95"/>
  <c r="J95"/>
  <c r="I95"/>
  <c r="H95"/>
  <c r="G95"/>
  <c r="F95"/>
  <c r="D95"/>
  <c r="C94"/>
  <c r="C91"/>
  <c r="D91" s="1"/>
  <c r="E92" s="1"/>
  <c r="AP88"/>
  <c r="AO88"/>
  <c r="AN88"/>
  <c r="AM88"/>
  <c r="AL88"/>
  <c r="AK88"/>
  <c r="AJ88"/>
  <c r="AI88"/>
  <c r="AH88"/>
  <c r="AG88"/>
  <c r="AF88"/>
  <c r="AE88"/>
  <c r="AD88"/>
  <c r="AC88"/>
  <c r="AB88"/>
  <c r="AA88"/>
  <c r="Z88"/>
  <c r="Y88"/>
  <c r="X88"/>
  <c r="W88"/>
  <c r="V88"/>
  <c r="U88"/>
  <c r="T88"/>
  <c r="S88"/>
  <c r="R88"/>
  <c r="Q88"/>
  <c r="P88"/>
  <c r="O88"/>
  <c r="N88"/>
  <c r="M88"/>
  <c r="L88"/>
  <c r="K88"/>
  <c r="J88"/>
  <c r="I88"/>
  <c r="H88"/>
  <c r="G88"/>
  <c r="F88"/>
  <c r="D88"/>
  <c r="C87"/>
  <c r="C84"/>
  <c r="D84" s="1"/>
  <c r="E85" s="1"/>
  <c r="AP81"/>
  <c r="AO81"/>
  <c r="AN81"/>
  <c r="AM81"/>
  <c r="AL81"/>
  <c r="AK81"/>
  <c r="AJ81"/>
  <c r="AI81"/>
  <c r="AH81"/>
  <c r="AG81"/>
  <c r="AF81"/>
  <c r="AE81"/>
  <c r="AD81"/>
  <c r="AC81"/>
  <c r="AB81"/>
  <c r="AA81"/>
  <c r="Z81"/>
  <c r="Y81"/>
  <c r="X81"/>
  <c r="W81"/>
  <c r="V81"/>
  <c r="U81"/>
  <c r="T81"/>
  <c r="S81"/>
  <c r="R81"/>
  <c r="Q81"/>
  <c r="P81"/>
  <c r="O81"/>
  <c r="N81"/>
  <c r="M81"/>
  <c r="L81"/>
  <c r="K81"/>
  <c r="J81"/>
  <c r="I81"/>
  <c r="H81"/>
  <c r="G81"/>
  <c r="F81"/>
  <c r="D81"/>
  <c r="C80"/>
  <c r="C77"/>
  <c r="D77" s="1"/>
  <c r="E78" s="1"/>
  <c r="AP74"/>
  <c r="AO74"/>
  <c r="AN74"/>
  <c r="AM74"/>
  <c r="AL74"/>
  <c r="AK74"/>
  <c r="AJ74"/>
  <c r="AI74"/>
  <c r="AH74"/>
  <c r="AG74"/>
  <c r="AF74"/>
  <c r="AE74"/>
  <c r="AD74"/>
  <c r="AC74"/>
  <c r="AB74"/>
  <c r="AA74"/>
  <c r="Z74"/>
  <c r="Y74"/>
  <c r="X74"/>
  <c r="W74"/>
  <c r="V74"/>
  <c r="U74"/>
  <c r="T74"/>
  <c r="S74"/>
  <c r="R74"/>
  <c r="Q74"/>
  <c r="P74"/>
  <c r="O74"/>
  <c r="N74"/>
  <c r="M74"/>
  <c r="L74"/>
  <c r="K74"/>
  <c r="J74"/>
  <c r="I74"/>
  <c r="H74"/>
  <c r="G74"/>
  <c r="F74"/>
  <c r="D74"/>
  <c r="C73"/>
  <c r="C70"/>
  <c r="D70" s="1"/>
  <c r="E71" s="1"/>
  <c r="AP67"/>
  <c r="AO67"/>
  <c r="AN67"/>
  <c r="AM67"/>
  <c r="AL67"/>
  <c r="AK67"/>
  <c r="AJ67"/>
  <c r="AI67"/>
  <c r="AH67"/>
  <c r="AG67"/>
  <c r="AF67"/>
  <c r="AE67"/>
  <c r="AD67"/>
  <c r="AC67"/>
  <c r="AB67"/>
  <c r="AA67"/>
  <c r="Z67"/>
  <c r="Y67"/>
  <c r="X67"/>
  <c r="W67"/>
  <c r="V67"/>
  <c r="U67"/>
  <c r="T67"/>
  <c r="S67"/>
  <c r="R67"/>
  <c r="Q67"/>
  <c r="P67"/>
  <c r="O67"/>
  <c r="N67"/>
  <c r="M67"/>
  <c r="L67"/>
  <c r="K67"/>
  <c r="J67"/>
  <c r="I67"/>
  <c r="H67"/>
  <c r="G67"/>
  <c r="F67"/>
  <c r="C66"/>
  <c r="C63"/>
  <c r="D63" s="1"/>
  <c r="AP60"/>
  <c r="AO60"/>
  <c r="AN60"/>
  <c r="AM60"/>
  <c r="AL60"/>
  <c r="AK60"/>
  <c r="AJ60"/>
  <c r="AI60"/>
  <c r="AH60"/>
  <c r="AG60"/>
  <c r="AF60"/>
  <c r="AE60"/>
  <c r="AD60"/>
  <c r="AC60"/>
  <c r="AB60"/>
  <c r="AA60"/>
  <c r="Z60"/>
  <c r="Y60"/>
  <c r="X60"/>
  <c r="W60"/>
  <c r="V60"/>
  <c r="U60"/>
  <c r="T60"/>
  <c r="S60"/>
  <c r="R60"/>
  <c r="Q60"/>
  <c r="P60"/>
  <c r="O60"/>
  <c r="N60"/>
  <c r="M60"/>
  <c r="L60"/>
  <c r="K60"/>
  <c r="J60"/>
  <c r="I60"/>
  <c r="H60"/>
  <c r="G60"/>
  <c r="F60"/>
  <c r="C59"/>
  <c r="C56"/>
  <c r="D56" s="1"/>
  <c r="AP53"/>
  <c r="AO53"/>
  <c r="AN53"/>
  <c r="AM53"/>
  <c r="AL53"/>
  <c r="AK53"/>
  <c r="AJ53"/>
  <c r="AI53"/>
  <c r="AH53"/>
  <c r="AG53"/>
  <c r="AF53"/>
  <c r="AE53"/>
  <c r="AD53"/>
  <c r="AC53"/>
  <c r="AB53"/>
  <c r="AA53"/>
  <c r="Z53"/>
  <c r="Y53"/>
  <c r="X53"/>
  <c r="W53"/>
  <c r="V53"/>
  <c r="U53"/>
  <c r="T53"/>
  <c r="S53"/>
  <c r="R53"/>
  <c r="Q53"/>
  <c r="P53"/>
  <c r="O53"/>
  <c r="N53"/>
  <c r="M53"/>
  <c r="L53"/>
  <c r="K53"/>
  <c r="J53"/>
  <c r="I53"/>
  <c r="H53"/>
  <c r="G53"/>
  <c r="F53"/>
  <c r="C52"/>
  <c r="C49"/>
  <c r="D49" s="1"/>
  <c r="AP46"/>
  <c r="AO46"/>
  <c r="AN46"/>
  <c r="AM46"/>
  <c r="AL46"/>
  <c r="AK46"/>
  <c r="AJ46"/>
  <c r="AI46"/>
  <c r="AH46"/>
  <c r="AG46"/>
  <c r="AF46"/>
  <c r="AE46"/>
  <c r="AD46"/>
  <c r="AC46"/>
  <c r="AB46"/>
  <c r="AA46"/>
  <c r="Z46"/>
  <c r="Y46"/>
  <c r="X46"/>
  <c r="W46"/>
  <c r="V46"/>
  <c r="U46"/>
  <c r="T46"/>
  <c r="S46"/>
  <c r="R46"/>
  <c r="Q46"/>
  <c r="P46"/>
  <c r="O46"/>
  <c r="N46"/>
  <c r="M46"/>
  <c r="L46"/>
  <c r="K46"/>
  <c r="J46"/>
  <c r="I46"/>
  <c r="H46"/>
  <c r="G46"/>
  <c r="F46"/>
  <c r="C45"/>
  <c r="C42"/>
  <c r="D42" s="1"/>
  <c r="AP39"/>
  <c r="AO39"/>
  <c r="AN39"/>
  <c r="AM39"/>
  <c r="AL39"/>
  <c r="AK39"/>
  <c r="AJ39"/>
  <c r="AI39"/>
  <c r="AH39"/>
  <c r="AG39"/>
  <c r="AF39"/>
  <c r="AE39"/>
  <c r="AD39"/>
  <c r="AC39"/>
  <c r="AB39"/>
  <c r="AA39"/>
  <c r="Z39"/>
  <c r="Y39"/>
  <c r="X39"/>
  <c r="W39"/>
  <c r="V39"/>
  <c r="U39"/>
  <c r="T39"/>
  <c r="S39"/>
  <c r="R39"/>
  <c r="Q39"/>
  <c r="P39"/>
  <c r="O39"/>
  <c r="N39"/>
  <c r="M39"/>
  <c r="L39"/>
  <c r="K39"/>
  <c r="J39"/>
  <c r="I39"/>
  <c r="H39"/>
  <c r="G39"/>
  <c r="F39"/>
  <c r="C38"/>
  <c r="C35"/>
  <c r="D35" s="1"/>
  <c r="AP32"/>
  <c r="AO32"/>
  <c r="AN32"/>
  <c r="AM32"/>
  <c r="AL32"/>
  <c r="AK32"/>
  <c r="AJ32"/>
  <c r="AI32"/>
  <c r="AH32"/>
  <c r="AG32"/>
  <c r="AF32"/>
  <c r="AE32"/>
  <c r="AD32"/>
  <c r="AC32"/>
  <c r="AB32"/>
  <c r="AA32"/>
  <c r="Z32"/>
  <c r="Y32"/>
  <c r="X32"/>
  <c r="W32"/>
  <c r="V32"/>
  <c r="U32"/>
  <c r="T32"/>
  <c r="S32"/>
  <c r="R32"/>
  <c r="Q32"/>
  <c r="P32"/>
  <c r="O32"/>
  <c r="N32"/>
  <c r="M32"/>
  <c r="L32"/>
  <c r="K32"/>
  <c r="J32"/>
  <c r="I32"/>
  <c r="H32"/>
  <c r="G32"/>
  <c r="F32"/>
  <c r="C31"/>
  <c r="C28"/>
  <c r="D28" s="1"/>
  <c r="AP25"/>
  <c r="AO25"/>
  <c r="AN25"/>
  <c r="AM25"/>
  <c r="AL25"/>
  <c r="AK25"/>
  <c r="AJ25"/>
  <c r="AI25"/>
  <c r="AH25"/>
  <c r="AG25"/>
  <c r="AF25"/>
  <c r="AE25"/>
  <c r="AD25"/>
  <c r="AC25"/>
  <c r="AB25"/>
  <c r="AA25"/>
  <c r="Z25"/>
  <c r="Y25"/>
  <c r="X25"/>
  <c r="W25"/>
  <c r="V25"/>
  <c r="U25"/>
  <c r="T25"/>
  <c r="S25"/>
  <c r="R25"/>
  <c r="Q25"/>
  <c r="P25"/>
  <c r="O25"/>
  <c r="N25"/>
  <c r="M25"/>
  <c r="L25"/>
  <c r="K25"/>
  <c r="J25"/>
  <c r="I25"/>
  <c r="H25"/>
  <c r="G25"/>
  <c r="F25"/>
  <c r="C24"/>
  <c r="C21"/>
  <c r="D21" s="1"/>
  <c r="AP18"/>
  <c r="AO18"/>
  <c r="AN18"/>
  <c r="AM18"/>
  <c r="AL18"/>
  <c r="AK18"/>
  <c r="AJ18"/>
  <c r="AI18"/>
  <c r="AH18"/>
  <c r="AG18"/>
  <c r="AF18"/>
  <c r="AE18"/>
  <c r="AD18"/>
  <c r="AC18"/>
  <c r="AB18"/>
  <c r="AA18"/>
  <c r="Z18"/>
  <c r="Y18"/>
  <c r="X18"/>
  <c r="W18"/>
  <c r="V18"/>
  <c r="U18"/>
  <c r="T18"/>
  <c r="S18"/>
  <c r="R18"/>
  <c r="Q18"/>
  <c r="P18"/>
  <c r="O18"/>
  <c r="N18"/>
  <c r="M18"/>
  <c r="L18"/>
  <c r="K18"/>
  <c r="J18"/>
  <c r="I18"/>
  <c r="H18"/>
  <c r="G18"/>
  <c r="F18"/>
  <c r="C17"/>
  <c r="C14"/>
  <c r="D14" s="1"/>
  <c r="N389" i="113"/>
  <c r="M389"/>
  <c r="L389"/>
  <c r="K389"/>
  <c r="D389"/>
  <c r="C388"/>
  <c r="N382"/>
  <c r="M382"/>
  <c r="L382"/>
  <c r="K382"/>
  <c r="D382"/>
  <c r="C381"/>
  <c r="C378"/>
  <c r="D378" s="1"/>
  <c r="N379" s="1"/>
  <c r="N375"/>
  <c r="M375"/>
  <c r="L375"/>
  <c r="K375"/>
  <c r="J375"/>
  <c r="I375"/>
  <c r="H375"/>
  <c r="G375"/>
  <c r="D375"/>
  <c r="C374"/>
  <c r="C371"/>
  <c r="D371" s="1"/>
  <c r="N368"/>
  <c r="M368"/>
  <c r="L368"/>
  <c r="K368"/>
  <c r="J368"/>
  <c r="I368"/>
  <c r="H368"/>
  <c r="D368"/>
  <c r="G367"/>
  <c r="F367"/>
  <c r="E367"/>
  <c r="C367" s="1"/>
  <c r="C364"/>
  <c r="D364" s="1"/>
  <c r="N361"/>
  <c r="M361"/>
  <c r="L361"/>
  <c r="K361"/>
  <c r="J361"/>
  <c r="I361"/>
  <c r="H361"/>
  <c r="C360"/>
  <c r="C357"/>
  <c r="D357" s="1"/>
  <c r="N354"/>
  <c r="M354"/>
  <c r="L354"/>
  <c r="K354"/>
  <c r="J354"/>
  <c r="I354"/>
  <c r="H354"/>
  <c r="C353"/>
  <c r="C350"/>
  <c r="D350" s="1"/>
  <c r="L351" s="1"/>
  <c r="N347"/>
  <c r="M347"/>
  <c r="L347"/>
  <c r="K347"/>
  <c r="J347"/>
  <c r="I347"/>
  <c r="H347"/>
  <c r="C346"/>
  <c r="C343"/>
  <c r="D343" s="1"/>
  <c r="N340"/>
  <c r="M340"/>
  <c r="L340"/>
  <c r="K340"/>
  <c r="J340"/>
  <c r="I340"/>
  <c r="H340"/>
  <c r="G340"/>
  <c r="F339"/>
  <c r="E339"/>
  <c r="D339"/>
  <c r="C336"/>
  <c r="D336" s="1"/>
  <c r="N333"/>
  <c r="M333"/>
  <c r="L333"/>
  <c r="K333"/>
  <c r="J333"/>
  <c r="I333"/>
  <c r="H333"/>
  <c r="G333"/>
  <c r="F333"/>
  <c r="C332"/>
  <c r="C329"/>
  <c r="D329" s="1"/>
  <c r="N326"/>
  <c r="M326"/>
  <c r="L326"/>
  <c r="K326"/>
  <c r="J326"/>
  <c r="I326"/>
  <c r="H326"/>
  <c r="G326"/>
  <c r="F325"/>
  <c r="E325"/>
  <c r="D325"/>
  <c r="C322"/>
  <c r="D322" s="1"/>
  <c r="N319"/>
  <c r="M319"/>
  <c r="L319"/>
  <c r="K319"/>
  <c r="J319"/>
  <c r="I319"/>
  <c r="H319"/>
  <c r="G319"/>
  <c r="F319"/>
  <c r="C318"/>
  <c r="C315"/>
  <c r="D315" s="1"/>
  <c r="N312"/>
  <c r="M312"/>
  <c r="L312"/>
  <c r="K312"/>
  <c r="J312"/>
  <c r="I312"/>
  <c r="H312"/>
  <c r="G312"/>
  <c r="F312"/>
  <c r="D312"/>
  <c r="S57" i="2" s="1"/>
  <c r="V57" s="1"/>
  <c r="C311" i="113"/>
  <c r="C310"/>
  <c r="E312" s="1"/>
  <c r="C309"/>
  <c r="C308"/>
  <c r="D308" s="1"/>
  <c r="N305"/>
  <c r="M305"/>
  <c r="L305"/>
  <c r="K305"/>
  <c r="J305"/>
  <c r="I305"/>
  <c r="C304"/>
  <c r="C301"/>
  <c r="D301" s="1"/>
  <c r="N298"/>
  <c r="M298"/>
  <c r="L298"/>
  <c r="K298"/>
  <c r="J298"/>
  <c r="I298"/>
  <c r="H298"/>
  <c r="G298"/>
  <c r="F298"/>
  <c r="E298"/>
  <c r="C297"/>
  <c r="C294"/>
  <c r="D294" s="1"/>
  <c r="N291"/>
  <c r="M291"/>
  <c r="L291"/>
  <c r="K291"/>
  <c r="J291"/>
  <c r="I291"/>
  <c r="H291"/>
  <c r="G291"/>
  <c r="F291"/>
  <c r="C290"/>
  <c r="C287"/>
  <c r="D287" s="1"/>
  <c r="E288" s="1"/>
  <c r="N284"/>
  <c r="M284"/>
  <c r="L284"/>
  <c r="K284"/>
  <c r="J284"/>
  <c r="I284"/>
  <c r="H284"/>
  <c r="G284"/>
  <c r="F284"/>
  <c r="C283"/>
  <c r="C280"/>
  <c r="D280" s="1"/>
  <c r="N277"/>
  <c r="M277"/>
  <c r="L277"/>
  <c r="K277"/>
  <c r="J277"/>
  <c r="I277"/>
  <c r="H277"/>
  <c r="C276"/>
  <c r="C273"/>
  <c r="D273" s="1"/>
  <c r="N270"/>
  <c r="M270"/>
  <c r="L270"/>
  <c r="K270"/>
  <c r="J270"/>
  <c r="I270"/>
  <c r="H269"/>
  <c r="H270" s="1"/>
  <c r="G269"/>
  <c r="F269"/>
  <c r="E269"/>
  <c r="D269"/>
  <c r="C266"/>
  <c r="D266" s="1"/>
  <c r="N263"/>
  <c r="M263"/>
  <c r="L263"/>
  <c r="K263"/>
  <c r="J263"/>
  <c r="I263"/>
  <c r="H262"/>
  <c r="H263" s="1"/>
  <c r="G262"/>
  <c r="F262"/>
  <c r="E262"/>
  <c r="D262"/>
  <c r="C259"/>
  <c r="D259" s="1"/>
  <c r="N256"/>
  <c r="M256"/>
  <c r="L256"/>
  <c r="K256"/>
  <c r="J256"/>
  <c r="I256"/>
  <c r="H255"/>
  <c r="H256" s="1"/>
  <c r="G255"/>
  <c r="F255"/>
  <c r="E255"/>
  <c r="D255"/>
  <c r="C252"/>
  <c r="D252" s="1"/>
  <c r="N249"/>
  <c r="M249"/>
  <c r="L249"/>
  <c r="K249"/>
  <c r="J249"/>
  <c r="I249"/>
  <c r="H248"/>
  <c r="H249" s="1"/>
  <c r="G248"/>
  <c r="F248"/>
  <c r="E248"/>
  <c r="D248"/>
  <c r="C245"/>
  <c r="D245" s="1"/>
  <c r="N242"/>
  <c r="M242"/>
  <c r="L242"/>
  <c r="K242"/>
  <c r="J242"/>
  <c r="I242"/>
  <c r="H242"/>
  <c r="G242"/>
  <c r="F242"/>
  <c r="C241"/>
  <c r="C238"/>
  <c r="D238" s="1"/>
  <c r="N235"/>
  <c r="M235"/>
  <c r="L235"/>
  <c r="K235"/>
  <c r="J235"/>
  <c r="I235"/>
  <c r="H235"/>
  <c r="D235"/>
  <c r="C234"/>
  <c r="C231"/>
  <c r="D231" s="1"/>
  <c r="N228"/>
  <c r="M228"/>
  <c r="L228"/>
  <c r="K228"/>
  <c r="J228"/>
  <c r="I228"/>
  <c r="H228"/>
  <c r="G228"/>
  <c r="D228"/>
  <c r="C227"/>
  <c r="C224"/>
  <c r="D224" s="1"/>
  <c r="N221"/>
  <c r="M221"/>
  <c r="L221"/>
  <c r="K221"/>
  <c r="J221"/>
  <c r="I221"/>
  <c r="H221"/>
  <c r="G221"/>
  <c r="D221"/>
  <c r="C220"/>
  <c r="C217"/>
  <c r="D217" s="1"/>
  <c r="N214"/>
  <c r="M214"/>
  <c r="L214"/>
  <c r="K214"/>
  <c r="J214"/>
  <c r="I214"/>
  <c r="H214"/>
  <c r="D214"/>
  <c r="C213"/>
  <c r="C210"/>
  <c r="D210" s="1"/>
  <c r="L211" s="1"/>
  <c r="N207"/>
  <c r="M207"/>
  <c r="L207"/>
  <c r="K207"/>
  <c r="J207"/>
  <c r="I207"/>
  <c r="H207"/>
  <c r="G207"/>
  <c r="F207"/>
  <c r="D207"/>
  <c r="C206"/>
  <c r="C203"/>
  <c r="D203" s="1"/>
  <c r="N200"/>
  <c r="M200"/>
  <c r="L200"/>
  <c r="K200"/>
  <c r="J200"/>
  <c r="I200"/>
  <c r="H200"/>
  <c r="G200"/>
  <c r="F200"/>
  <c r="E200"/>
  <c r="C199"/>
  <c r="C196"/>
  <c r="D196" s="1"/>
  <c r="N193"/>
  <c r="M193"/>
  <c r="L193"/>
  <c r="K193"/>
  <c r="J193"/>
  <c r="I193"/>
  <c r="H193"/>
  <c r="G193"/>
  <c r="F193"/>
  <c r="C192"/>
  <c r="C189"/>
  <c r="D189" s="1"/>
  <c r="N186"/>
  <c r="M186"/>
  <c r="L186"/>
  <c r="K186"/>
  <c r="J186"/>
  <c r="I186"/>
  <c r="H186"/>
  <c r="G186"/>
  <c r="F186"/>
  <c r="C185"/>
  <c r="C182"/>
  <c r="D182" s="1"/>
  <c r="N179"/>
  <c r="M179"/>
  <c r="L179"/>
  <c r="K179"/>
  <c r="J179"/>
  <c r="I179"/>
  <c r="H179"/>
  <c r="G179"/>
  <c r="C178"/>
  <c r="C175"/>
  <c r="D175" s="1"/>
  <c r="N172"/>
  <c r="M172"/>
  <c r="L172"/>
  <c r="K172"/>
  <c r="J172"/>
  <c r="I172"/>
  <c r="H172"/>
  <c r="G172"/>
  <c r="C171"/>
  <c r="C168"/>
  <c r="D168" s="1"/>
  <c r="N165"/>
  <c r="M165"/>
  <c r="L165"/>
  <c r="K165"/>
  <c r="J165"/>
  <c r="I165"/>
  <c r="H165"/>
  <c r="G165"/>
  <c r="D165"/>
  <c r="C164"/>
  <c r="C161"/>
  <c r="D161" s="1"/>
  <c r="N158"/>
  <c r="M158"/>
  <c r="L158"/>
  <c r="K158"/>
  <c r="J158"/>
  <c r="I158"/>
  <c r="H158"/>
  <c r="G158"/>
  <c r="F158"/>
  <c r="D158"/>
  <c r="C157"/>
  <c r="C154"/>
  <c r="D154" s="1"/>
  <c r="N151"/>
  <c r="M151"/>
  <c r="L151"/>
  <c r="K151"/>
  <c r="J151"/>
  <c r="I151"/>
  <c r="H151"/>
  <c r="G151"/>
  <c r="F151"/>
  <c r="D151"/>
  <c r="C150"/>
  <c r="C147"/>
  <c r="D147" s="1"/>
  <c r="N148" s="1"/>
  <c r="N144"/>
  <c r="M144"/>
  <c r="L144"/>
  <c r="K144"/>
  <c r="J144"/>
  <c r="I144"/>
  <c r="H144"/>
  <c r="G144"/>
  <c r="F144"/>
  <c r="D144"/>
  <c r="C143"/>
  <c r="C140"/>
  <c r="D140" s="1"/>
  <c r="N137"/>
  <c r="M137"/>
  <c r="L137"/>
  <c r="K137"/>
  <c r="J137"/>
  <c r="I137"/>
  <c r="H137"/>
  <c r="G137"/>
  <c r="F137"/>
  <c r="D137"/>
  <c r="C136"/>
  <c r="C133"/>
  <c r="D133" s="1"/>
  <c r="M134" s="1"/>
  <c r="N130"/>
  <c r="M130"/>
  <c r="L130"/>
  <c r="K130"/>
  <c r="J130"/>
  <c r="I130"/>
  <c r="H130"/>
  <c r="G130"/>
  <c r="F129"/>
  <c r="E129"/>
  <c r="D129"/>
  <c r="C129"/>
  <c r="C126"/>
  <c r="D126" s="1"/>
  <c r="M127" s="1"/>
  <c r="N123"/>
  <c r="M123"/>
  <c r="L123"/>
  <c r="K123"/>
  <c r="J123"/>
  <c r="I123"/>
  <c r="H123"/>
  <c r="G123"/>
  <c r="F123"/>
  <c r="D123"/>
  <c r="C122"/>
  <c r="C119"/>
  <c r="N116"/>
  <c r="M116"/>
  <c r="L116"/>
  <c r="K116"/>
  <c r="J116"/>
  <c r="I116"/>
  <c r="H116"/>
  <c r="D116"/>
  <c r="E115"/>
  <c r="C115" s="1"/>
  <c r="C112"/>
  <c r="D112" s="1"/>
  <c r="N109"/>
  <c r="M109"/>
  <c r="L109"/>
  <c r="K109"/>
  <c r="J109"/>
  <c r="I109"/>
  <c r="H109"/>
  <c r="D109"/>
  <c r="G108"/>
  <c r="F108"/>
  <c r="E108"/>
  <c r="C105"/>
  <c r="D105" s="1"/>
  <c r="I106" s="1"/>
  <c r="N102"/>
  <c r="M102"/>
  <c r="L102"/>
  <c r="K102"/>
  <c r="J102"/>
  <c r="I102"/>
  <c r="H102"/>
  <c r="C101"/>
  <c r="C98"/>
  <c r="D98" s="1"/>
  <c r="I99" s="1"/>
  <c r="C97"/>
  <c r="N95"/>
  <c r="M95"/>
  <c r="L95"/>
  <c r="K95"/>
  <c r="J95"/>
  <c r="I95"/>
  <c r="H95"/>
  <c r="G95"/>
  <c r="F95"/>
  <c r="D95"/>
  <c r="C94"/>
  <c r="C91"/>
  <c r="N88"/>
  <c r="M88"/>
  <c r="L88"/>
  <c r="K88"/>
  <c r="J88"/>
  <c r="I88"/>
  <c r="H88"/>
  <c r="G88"/>
  <c r="F88"/>
  <c r="D88"/>
  <c r="C87"/>
  <c r="C84"/>
  <c r="D84" s="1"/>
  <c r="E85" s="1"/>
  <c r="N81"/>
  <c r="M81"/>
  <c r="L81"/>
  <c r="K81"/>
  <c r="J81"/>
  <c r="I81"/>
  <c r="H81"/>
  <c r="G81"/>
  <c r="F81"/>
  <c r="D81"/>
  <c r="C80"/>
  <c r="C77"/>
  <c r="N74"/>
  <c r="M74"/>
  <c r="L74"/>
  <c r="K74"/>
  <c r="J74"/>
  <c r="I74"/>
  <c r="H74"/>
  <c r="G74"/>
  <c r="F74"/>
  <c r="D74"/>
  <c r="C73"/>
  <c r="C70"/>
  <c r="D70" s="1"/>
  <c r="E71" s="1"/>
  <c r="N67"/>
  <c r="M67"/>
  <c r="L67"/>
  <c r="K67"/>
  <c r="J67"/>
  <c r="I67"/>
  <c r="H67"/>
  <c r="G67"/>
  <c r="F67"/>
  <c r="C66"/>
  <c r="C63"/>
  <c r="D63" s="1"/>
  <c r="E64" s="1"/>
  <c r="N60"/>
  <c r="M60"/>
  <c r="L60"/>
  <c r="K60"/>
  <c r="J60"/>
  <c r="I60"/>
  <c r="H60"/>
  <c r="G60"/>
  <c r="F60"/>
  <c r="C59"/>
  <c r="C56"/>
  <c r="D56" s="1"/>
  <c r="N53"/>
  <c r="M53"/>
  <c r="L53"/>
  <c r="K53"/>
  <c r="J53"/>
  <c r="I53"/>
  <c r="H53"/>
  <c r="G53"/>
  <c r="F53"/>
  <c r="C52"/>
  <c r="C49"/>
  <c r="D49" s="1"/>
  <c r="E50" s="1"/>
  <c r="N46"/>
  <c r="M46"/>
  <c r="L46"/>
  <c r="K46"/>
  <c r="J46"/>
  <c r="I46"/>
  <c r="H46"/>
  <c r="G46"/>
  <c r="F46"/>
  <c r="C45"/>
  <c r="C42"/>
  <c r="D42" s="1"/>
  <c r="E43" s="1"/>
  <c r="N39"/>
  <c r="M39"/>
  <c r="L39"/>
  <c r="K39"/>
  <c r="J39"/>
  <c r="I39"/>
  <c r="H39"/>
  <c r="G39"/>
  <c r="F39"/>
  <c r="C38"/>
  <c r="C35"/>
  <c r="D35" s="1"/>
  <c r="E36" s="1"/>
  <c r="N32"/>
  <c r="M32"/>
  <c r="L32"/>
  <c r="K32"/>
  <c r="J32"/>
  <c r="I32"/>
  <c r="H32"/>
  <c r="G32"/>
  <c r="F32"/>
  <c r="C31"/>
  <c r="C28"/>
  <c r="D28" s="1"/>
  <c r="E29" s="1"/>
  <c r="N25"/>
  <c r="M25"/>
  <c r="L25"/>
  <c r="K25"/>
  <c r="J25"/>
  <c r="I25"/>
  <c r="H25"/>
  <c r="G25"/>
  <c r="F25"/>
  <c r="C24"/>
  <c r="C21"/>
  <c r="D21" s="1"/>
  <c r="E22" s="1"/>
  <c r="N18"/>
  <c r="M18"/>
  <c r="L18"/>
  <c r="K18"/>
  <c r="J18"/>
  <c r="I18"/>
  <c r="H18"/>
  <c r="G18"/>
  <c r="F18"/>
  <c r="C17"/>
  <c r="C14"/>
  <c r="D14" s="1"/>
  <c r="E15" s="1"/>
  <c r="O389" i="112"/>
  <c r="N389"/>
  <c r="M389"/>
  <c r="L389"/>
  <c r="E389"/>
  <c r="C388"/>
  <c r="E385"/>
  <c r="O382"/>
  <c r="N382"/>
  <c r="M382"/>
  <c r="L382"/>
  <c r="E382"/>
  <c r="C381"/>
  <c r="C378"/>
  <c r="E378" s="1"/>
  <c r="O375"/>
  <c r="N375"/>
  <c r="M375"/>
  <c r="L375"/>
  <c r="K375"/>
  <c r="J375"/>
  <c r="I375"/>
  <c r="H375"/>
  <c r="E375"/>
  <c r="C374"/>
  <c r="C371"/>
  <c r="E371" s="1"/>
  <c r="O368"/>
  <c r="N368"/>
  <c r="M368"/>
  <c r="L368"/>
  <c r="K368"/>
  <c r="J368"/>
  <c r="I368"/>
  <c r="E368"/>
  <c r="H367"/>
  <c r="G367"/>
  <c r="F367"/>
  <c r="C364"/>
  <c r="E364" s="1"/>
  <c r="O361"/>
  <c r="N361"/>
  <c r="M361"/>
  <c r="L361"/>
  <c r="K361"/>
  <c r="J361"/>
  <c r="I361"/>
  <c r="C360"/>
  <c r="C357"/>
  <c r="E357" s="1"/>
  <c r="O354"/>
  <c r="N354"/>
  <c r="M354"/>
  <c r="L354"/>
  <c r="K354"/>
  <c r="J354"/>
  <c r="I354"/>
  <c r="C353"/>
  <c r="C350"/>
  <c r="E350" s="1"/>
  <c r="O347"/>
  <c r="N347"/>
  <c r="M347"/>
  <c r="L347"/>
  <c r="K347"/>
  <c r="J347"/>
  <c r="I347"/>
  <c r="C346"/>
  <c r="C343"/>
  <c r="E343" s="1"/>
  <c r="O340"/>
  <c r="N340"/>
  <c r="M340"/>
  <c r="L340"/>
  <c r="K340"/>
  <c r="J340"/>
  <c r="I340"/>
  <c r="H340"/>
  <c r="G339"/>
  <c r="F339"/>
  <c r="E339"/>
  <c r="C336"/>
  <c r="E336" s="1"/>
  <c r="O333"/>
  <c r="N333"/>
  <c r="M333"/>
  <c r="L333"/>
  <c r="K333"/>
  <c r="J333"/>
  <c r="I333"/>
  <c r="H333"/>
  <c r="G333"/>
  <c r="C332"/>
  <c r="C329"/>
  <c r="E329" s="1"/>
  <c r="O326"/>
  <c r="N326"/>
  <c r="M326"/>
  <c r="L326"/>
  <c r="K326"/>
  <c r="J326"/>
  <c r="I326"/>
  <c r="H326"/>
  <c r="G325"/>
  <c r="F325"/>
  <c r="E325"/>
  <c r="C322"/>
  <c r="E322" s="1"/>
  <c r="O319"/>
  <c r="N319"/>
  <c r="M319"/>
  <c r="L319"/>
  <c r="K319"/>
  <c r="J319"/>
  <c r="I319"/>
  <c r="H319"/>
  <c r="G319"/>
  <c r="C318"/>
  <c r="C315"/>
  <c r="E315" s="1"/>
  <c r="O312"/>
  <c r="N312"/>
  <c r="M312"/>
  <c r="L312"/>
  <c r="K312"/>
  <c r="J312"/>
  <c r="I312"/>
  <c r="H312"/>
  <c r="G312"/>
  <c r="E312"/>
  <c r="C311"/>
  <c r="C310"/>
  <c r="F312" s="1"/>
  <c r="C309"/>
  <c r="C308"/>
  <c r="E308" s="1"/>
  <c r="O305"/>
  <c r="N305"/>
  <c r="M305"/>
  <c r="L305"/>
  <c r="K305"/>
  <c r="J305"/>
  <c r="C304"/>
  <c r="C301"/>
  <c r="E301" s="1"/>
  <c r="O298"/>
  <c r="N298"/>
  <c r="M298"/>
  <c r="L298"/>
  <c r="K298"/>
  <c r="J298"/>
  <c r="I298"/>
  <c r="H298"/>
  <c r="G298"/>
  <c r="F298"/>
  <c r="C297"/>
  <c r="C294"/>
  <c r="E294" s="1"/>
  <c r="O291"/>
  <c r="N291"/>
  <c r="M291"/>
  <c r="L291"/>
  <c r="K291"/>
  <c r="J291"/>
  <c r="I291"/>
  <c r="H291"/>
  <c r="G291"/>
  <c r="C290"/>
  <c r="C287"/>
  <c r="E287" s="1"/>
  <c r="O284"/>
  <c r="N284"/>
  <c r="M284"/>
  <c r="L284"/>
  <c r="K284"/>
  <c r="J284"/>
  <c r="I284"/>
  <c r="H284"/>
  <c r="G284"/>
  <c r="C283"/>
  <c r="C280"/>
  <c r="E280" s="1"/>
  <c r="O277"/>
  <c r="N277"/>
  <c r="M277"/>
  <c r="L277"/>
  <c r="K277"/>
  <c r="J277"/>
  <c r="I277"/>
  <c r="C276"/>
  <c r="C273"/>
  <c r="E273" s="1"/>
  <c r="O270"/>
  <c r="N270"/>
  <c r="M270"/>
  <c r="L270"/>
  <c r="K270"/>
  <c r="J270"/>
  <c r="I269"/>
  <c r="I270" s="1"/>
  <c r="H269"/>
  <c r="G269"/>
  <c r="F269"/>
  <c r="E269"/>
  <c r="C266"/>
  <c r="E266" s="1"/>
  <c r="O263"/>
  <c r="N263"/>
  <c r="M263"/>
  <c r="L263"/>
  <c r="K263"/>
  <c r="J263"/>
  <c r="I262"/>
  <c r="I263" s="1"/>
  <c r="H262"/>
  <c r="G262"/>
  <c r="F262"/>
  <c r="E262"/>
  <c r="C259"/>
  <c r="E259" s="1"/>
  <c r="O256"/>
  <c r="N256"/>
  <c r="M256"/>
  <c r="L256"/>
  <c r="K256"/>
  <c r="J256"/>
  <c r="I255"/>
  <c r="I256" s="1"/>
  <c r="H255"/>
  <c r="G255"/>
  <c r="F255"/>
  <c r="E255"/>
  <c r="C252"/>
  <c r="E252" s="1"/>
  <c r="O249"/>
  <c r="N249"/>
  <c r="M249"/>
  <c r="L249"/>
  <c r="K249"/>
  <c r="J249"/>
  <c r="I248"/>
  <c r="I249" s="1"/>
  <c r="H248"/>
  <c r="G248"/>
  <c r="F248"/>
  <c r="E248"/>
  <c r="C245"/>
  <c r="E245" s="1"/>
  <c r="O242"/>
  <c r="N242"/>
  <c r="M242"/>
  <c r="L242"/>
  <c r="K242"/>
  <c r="J242"/>
  <c r="I242"/>
  <c r="H242"/>
  <c r="G242"/>
  <c r="C241"/>
  <c r="C238"/>
  <c r="E238" s="1"/>
  <c r="O235"/>
  <c r="N235"/>
  <c r="M235"/>
  <c r="L235"/>
  <c r="K235"/>
  <c r="J235"/>
  <c r="I235"/>
  <c r="E235"/>
  <c r="C234"/>
  <c r="C231"/>
  <c r="E231" s="1"/>
  <c r="O228"/>
  <c r="N228"/>
  <c r="M228"/>
  <c r="L228"/>
  <c r="K228"/>
  <c r="J228"/>
  <c r="I228"/>
  <c r="H228"/>
  <c r="E228"/>
  <c r="C227"/>
  <c r="C224"/>
  <c r="E224" s="1"/>
  <c r="O221"/>
  <c r="N221"/>
  <c r="M221"/>
  <c r="L221"/>
  <c r="K221"/>
  <c r="J221"/>
  <c r="I221"/>
  <c r="H221"/>
  <c r="E221"/>
  <c r="C220"/>
  <c r="C217"/>
  <c r="E217" s="1"/>
  <c r="O214"/>
  <c r="N214"/>
  <c r="M214"/>
  <c r="L214"/>
  <c r="K214"/>
  <c r="J214"/>
  <c r="I214"/>
  <c r="E214"/>
  <c r="C213"/>
  <c r="C210"/>
  <c r="E210" s="1"/>
  <c r="O207"/>
  <c r="N207"/>
  <c r="M207"/>
  <c r="L207"/>
  <c r="K207"/>
  <c r="J207"/>
  <c r="I207"/>
  <c r="H207"/>
  <c r="G207"/>
  <c r="E207"/>
  <c r="C206"/>
  <c r="C203"/>
  <c r="E203" s="1"/>
  <c r="O200"/>
  <c r="N200"/>
  <c r="M200"/>
  <c r="L200"/>
  <c r="K200"/>
  <c r="J200"/>
  <c r="I200"/>
  <c r="H200"/>
  <c r="G200"/>
  <c r="F200"/>
  <c r="C199"/>
  <c r="C196"/>
  <c r="E196" s="1"/>
  <c r="O193"/>
  <c r="N193"/>
  <c r="M193"/>
  <c r="L193"/>
  <c r="K193"/>
  <c r="J193"/>
  <c r="I193"/>
  <c r="H193"/>
  <c r="G193"/>
  <c r="C192"/>
  <c r="C189"/>
  <c r="E189" s="1"/>
  <c r="O186"/>
  <c r="N186"/>
  <c r="M186"/>
  <c r="L186"/>
  <c r="K186"/>
  <c r="J186"/>
  <c r="I186"/>
  <c r="H186"/>
  <c r="G186"/>
  <c r="C185"/>
  <c r="C182"/>
  <c r="E182" s="1"/>
  <c r="O183" s="1"/>
  <c r="O179"/>
  <c r="N179"/>
  <c r="M179"/>
  <c r="L179"/>
  <c r="K179"/>
  <c r="J179"/>
  <c r="I179"/>
  <c r="H179"/>
  <c r="C178"/>
  <c r="C175"/>
  <c r="E175" s="1"/>
  <c r="O172"/>
  <c r="N172"/>
  <c r="M172"/>
  <c r="L172"/>
  <c r="K172"/>
  <c r="J172"/>
  <c r="I172"/>
  <c r="H172"/>
  <c r="C171"/>
  <c r="C168"/>
  <c r="E168" s="1"/>
  <c r="O169" s="1"/>
  <c r="O165"/>
  <c r="N165"/>
  <c r="M165"/>
  <c r="L165"/>
  <c r="K165"/>
  <c r="J165"/>
  <c r="I165"/>
  <c r="H165"/>
  <c r="E165"/>
  <c r="C164"/>
  <c r="C161"/>
  <c r="E161" s="1"/>
  <c r="O158"/>
  <c r="N158"/>
  <c r="M158"/>
  <c r="L158"/>
  <c r="K158"/>
  <c r="J158"/>
  <c r="I158"/>
  <c r="H158"/>
  <c r="G158"/>
  <c r="E158"/>
  <c r="C157"/>
  <c r="C154"/>
  <c r="E154" s="1"/>
  <c r="O151"/>
  <c r="N151"/>
  <c r="M151"/>
  <c r="L151"/>
  <c r="K151"/>
  <c r="J151"/>
  <c r="I151"/>
  <c r="H151"/>
  <c r="G151"/>
  <c r="E151"/>
  <c r="C150"/>
  <c r="C147"/>
  <c r="E147" s="1"/>
  <c r="O144"/>
  <c r="N144"/>
  <c r="M144"/>
  <c r="L144"/>
  <c r="K144"/>
  <c r="J144"/>
  <c r="I144"/>
  <c r="H144"/>
  <c r="G144"/>
  <c r="E144"/>
  <c r="C143"/>
  <c r="C140"/>
  <c r="E140" s="1"/>
  <c r="O137"/>
  <c r="N137"/>
  <c r="M137"/>
  <c r="L137"/>
  <c r="K137"/>
  <c r="J137"/>
  <c r="I137"/>
  <c r="H137"/>
  <c r="G137"/>
  <c r="E137"/>
  <c r="C136"/>
  <c r="C133"/>
  <c r="E133" s="1"/>
  <c r="O130"/>
  <c r="N130"/>
  <c r="M130"/>
  <c r="L130"/>
  <c r="K130"/>
  <c r="J130"/>
  <c r="I130"/>
  <c r="H130"/>
  <c r="G129"/>
  <c r="F129"/>
  <c r="E129"/>
  <c r="C126"/>
  <c r="E126" s="1"/>
  <c r="O123"/>
  <c r="N123"/>
  <c r="M123"/>
  <c r="L123"/>
  <c r="K123"/>
  <c r="J123"/>
  <c r="I123"/>
  <c r="H123"/>
  <c r="G123"/>
  <c r="E123"/>
  <c r="C122"/>
  <c r="C119"/>
  <c r="E119" s="1"/>
  <c r="F120" s="1"/>
  <c r="O116"/>
  <c r="N116"/>
  <c r="M116"/>
  <c r="L116"/>
  <c r="K116"/>
  <c r="J116"/>
  <c r="I116"/>
  <c r="E116"/>
  <c r="F115"/>
  <c r="C112"/>
  <c r="E112" s="1"/>
  <c r="O109"/>
  <c r="N109"/>
  <c r="M109"/>
  <c r="L109"/>
  <c r="K109"/>
  <c r="J109"/>
  <c r="I109"/>
  <c r="E109"/>
  <c r="H108"/>
  <c r="G108"/>
  <c r="F108"/>
  <c r="C105"/>
  <c r="E105" s="1"/>
  <c r="I106" s="1"/>
  <c r="O102"/>
  <c r="N102"/>
  <c r="M102"/>
  <c r="L102"/>
  <c r="K102"/>
  <c r="J102"/>
  <c r="I102"/>
  <c r="C101"/>
  <c r="C98"/>
  <c r="E98" s="1"/>
  <c r="C97"/>
  <c r="O95"/>
  <c r="N95"/>
  <c r="M95"/>
  <c r="L95"/>
  <c r="K95"/>
  <c r="J95"/>
  <c r="I95"/>
  <c r="H95"/>
  <c r="G95"/>
  <c r="E95"/>
  <c r="C94"/>
  <c r="C91"/>
  <c r="E91" s="1"/>
  <c r="F92" s="1"/>
  <c r="O88"/>
  <c r="N88"/>
  <c r="M88"/>
  <c r="L88"/>
  <c r="K88"/>
  <c r="J88"/>
  <c r="I88"/>
  <c r="H88"/>
  <c r="G88"/>
  <c r="E88"/>
  <c r="C87"/>
  <c r="C84"/>
  <c r="E84" s="1"/>
  <c r="F85" s="1"/>
  <c r="O81"/>
  <c r="N81"/>
  <c r="M81"/>
  <c r="L81"/>
  <c r="K81"/>
  <c r="J81"/>
  <c r="I81"/>
  <c r="H81"/>
  <c r="G81"/>
  <c r="E81"/>
  <c r="C80"/>
  <c r="C77"/>
  <c r="E77" s="1"/>
  <c r="F78" s="1"/>
  <c r="O74"/>
  <c r="N74"/>
  <c r="M74"/>
  <c r="L74"/>
  <c r="K74"/>
  <c r="J74"/>
  <c r="I74"/>
  <c r="H74"/>
  <c r="G74"/>
  <c r="E74"/>
  <c r="C73"/>
  <c r="C70"/>
  <c r="E70" s="1"/>
  <c r="F71" s="1"/>
  <c r="O67"/>
  <c r="N67"/>
  <c r="M67"/>
  <c r="L67"/>
  <c r="K67"/>
  <c r="J67"/>
  <c r="I67"/>
  <c r="H67"/>
  <c r="G67"/>
  <c r="C66"/>
  <c r="C63"/>
  <c r="E63" s="1"/>
  <c r="O60"/>
  <c r="N60"/>
  <c r="M60"/>
  <c r="L60"/>
  <c r="K60"/>
  <c r="J60"/>
  <c r="I60"/>
  <c r="H60"/>
  <c r="G60"/>
  <c r="C59"/>
  <c r="C56"/>
  <c r="E56" s="1"/>
  <c r="O53"/>
  <c r="N53"/>
  <c r="M53"/>
  <c r="L53"/>
  <c r="K53"/>
  <c r="J53"/>
  <c r="I53"/>
  <c r="H53"/>
  <c r="G53"/>
  <c r="C52"/>
  <c r="C49"/>
  <c r="E49" s="1"/>
  <c r="O46"/>
  <c r="N46"/>
  <c r="M46"/>
  <c r="L46"/>
  <c r="K46"/>
  <c r="J46"/>
  <c r="I46"/>
  <c r="H46"/>
  <c r="G46"/>
  <c r="C45"/>
  <c r="C42"/>
  <c r="E42" s="1"/>
  <c r="O39"/>
  <c r="N39"/>
  <c r="M39"/>
  <c r="L39"/>
  <c r="K39"/>
  <c r="J39"/>
  <c r="I39"/>
  <c r="H39"/>
  <c r="G39"/>
  <c r="C38"/>
  <c r="C35"/>
  <c r="E35" s="1"/>
  <c r="O32"/>
  <c r="N32"/>
  <c r="M32"/>
  <c r="L32"/>
  <c r="K32"/>
  <c r="J32"/>
  <c r="I32"/>
  <c r="H32"/>
  <c r="G32"/>
  <c r="C31"/>
  <c r="C28"/>
  <c r="E28" s="1"/>
  <c r="O25"/>
  <c r="N25"/>
  <c r="M25"/>
  <c r="L25"/>
  <c r="K25"/>
  <c r="J25"/>
  <c r="I25"/>
  <c r="H25"/>
  <c r="G25"/>
  <c r="C24"/>
  <c r="C21"/>
  <c r="E21" s="1"/>
  <c r="O18"/>
  <c r="N18"/>
  <c r="M18"/>
  <c r="L18"/>
  <c r="K18"/>
  <c r="J18"/>
  <c r="I18"/>
  <c r="H18"/>
  <c r="G18"/>
  <c r="C17"/>
  <c r="C14"/>
  <c r="E14" s="1"/>
  <c r="F367" i="1"/>
  <c r="G367"/>
  <c r="E367"/>
  <c r="E339"/>
  <c r="F339"/>
  <c r="D339"/>
  <c r="E325"/>
  <c r="F325"/>
  <c r="D325"/>
  <c r="E129"/>
  <c r="F129"/>
  <c r="D129"/>
  <c r="E115"/>
  <c r="G108"/>
  <c r="F108"/>
  <c r="E108"/>
  <c r="D36" i="2"/>
  <c r="G36"/>
  <c r="G35"/>
  <c r="D35"/>
  <c r="D67"/>
  <c r="C378" i="1"/>
  <c r="AP389"/>
  <c r="AO389"/>
  <c r="AN389"/>
  <c r="AM389"/>
  <c r="AL389"/>
  <c r="AK389"/>
  <c r="AJ389"/>
  <c r="AI389"/>
  <c r="AH389"/>
  <c r="AG389"/>
  <c r="AF389"/>
  <c r="AE389"/>
  <c r="AD389"/>
  <c r="AC389"/>
  <c r="AB389"/>
  <c r="AA389"/>
  <c r="Z389"/>
  <c r="Y389"/>
  <c r="X389"/>
  <c r="W389"/>
  <c r="V389"/>
  <c r="U389"/>
  <c r="T389"/>
  <c r="S389"/>
  <c r="R389"/>
  <c r="Q389"/>
  <c r="P389"/>
  <c r="O389"/>
  <c r="N389"/>
  <c r="M389"/>
  <c r="L389"/>
  <c r="K389"/>
  <c r="D389"/>
  <c r="C388"/>
  <c r="G67" i="2"/>
  <c r="C67"/>
  <c r="D377" i="114" s="1"/>
  <c r="B67" i="2"/>
  <c r="C377" i="113" s="1"/>
  <c r="G66" i="2"/>
  <c r="D66"/>
  <c r="C66"/>
  <c r="D370" i="114" s="1"/>
  <c r="B66" i="2"/>
  <c r="C370" i="114" s="1"/>
  <c r="C269" l="1"/>
  <c r="D384" i="1"/>
  <c r="C269" i="112"/>
  <c r="N57" i="2"/>
  <c r="Q57" s="1"/>
  <c r="C325" i="112"/>
  <c r="C262" i="114"/>
  <c r="AO386"/>
  <c r="AM386"/>
  <c r="AK386"/>
  <c r="AI386"/>
  <c r="AG386"/>
  <c r="AE386"/>
  <c r="AC386"/>
  <c r="AA386"/>
  <c r="Y386"/>
  <c r="W386"/>
  <c r="U386"/>
  <c r="S386"/>
  <c r="Q386"/>
  <c r="O386"/>
  <c r="M386"/>
  <c r="K386"/>
  <c r="I386"/>
  <c r="F386"/>
  <c r="F386" i="113"/>
  <c r="N386" i="112"/>
  <c r="L386"/>
  <c r="J386"/>
  <c r="G386"/>
  <c r="K386" i="1"/>
  <c r="M386"/>
  <c r="O386"/>
  <c r="Q386"/>
  <c r="S386"/>
  <c r="U386"/>
  <c r="W386"/>
  <c r="Y386"/>
  <c r="AA386"/>
  <c r="AC386"/>
  <c r="AE386"/>
  <c r="AG386"/>
  <c r="AI386"/>
  <c r="AK386"/>
  <c r="AM386"/>
  <c r="AO386"/>
  <c r="I386"/>
  <c r="AP386" i="114"/>
  <c r="AN386"/>
  <c r="AL386"/>
  <c r="AJ386"/>
  <c r="AH386"/>
  <c r="AF386"/>
  <c r="AD386"/>
  <c r="AB386"/>
  <c r="Z386"/>
  <c r="X386"/>
  <c r="V386"/>
  <c r="T386"/>
  <c r="R386"/>
  <c r="P386"/>
  <c r="N386"/>
  <c r="L386"/>
  <c r="J386"/>
  <c r="G386"/>
  <c r="G386" i="113"/>
  <c r="O386" i="112"/>
  <c r="M386"/>
  <c r="K386"/>
  <c r="H386"/>
  <c r="J386" i="1"/>
  <c r="L386"/>
  <c r="N386"/>
  <c r="P386"/>
  <c r="R386"/>
  <c r="T386"/>
  <c r="V386"/>
  <c r="X386"/>
  <c r="Z386"/>
  <c r="AB386"/>
  <c r="AD386"/>
  <c r="AF386"/>
  <c r="AH386"/>
  <c r="AJ386"/>
  <c r="AL386"/>
  <c r="AN386"/>
  <c r="AP386"/>
  <c r="M386" i="113"/>
  <c r="K386"/>
  <c r="I386"/>
  <c r="N386"/>
  <c r="L386"/>
  <c r="J386"/>
  <c r="C255" i="112"/>
  <c r="C262"/>
  <c r="G379" i="113"/>
  <c r="I379"/>
  <c r="K379"/>
  <c r="M379"/>
  <c r="F379"/>
  <c r="H379"/>
  <c r="J379"/>
  <c r="L379"/>
  <c r="M11" i="112"/>
  <c r="O11"/>
  <c r="L11" i="113"/>
  <c r="N11"/>
  <c r="L11" i="114"/>
  <c r="N11"/>
  <c r="P11"/>
  <c r="R11"/>
  <c r="T11"/>
  <c r="V11"/>
  <c r="X11"/>
  <c r="Z11"/>
  <c r="AB11"/>
  <c r="AD11"/>
  <c r="AF11"/>
  <c r="AH11"/>
  <c r="AJ11"/>
  <c r="AL11"/>
  <c r="AN11"/>
  <c r="AP11"/>
  <c r="L11" i="112"/>
  <c r="N11"/>
  <c r="K11" i="113"/>
  <c r="M11"/>
  <c r="K11" i="114"/>
  <c r="M11"/>
  <c r="O11"/>
  <c r="Q11"/>
  <c r="S11"/>
  <c r="U11"/>
  <c r="W11"/>
  <c r="Y11"/>
  <c r="AA11"/>
  <c r="AC11"/>
  <c r="AE11"/>
  <c r="AG11"/>
  <c r="AI11"/>
  <c r="AK11"/>
  <c r="AM11"/>
  <c r="AO11"/>
  <c r="D384"/>
  <c r="I162" i="113"/>
  <c r="M162"/>
  <c r="E162"/>
  <c r="I190"/>
  <c r="M190"/>
  <c r="H225"/>
  <c r="K183"/>
  <c r="G183"/>
  <c r="H218"/>
  <c r="L218"/>
  <c r="H232"/>
  <c r="L232"/>
  <c r="H239"/>
  <c r="L239"/>
  <c r="I295"/>
  <c r="E295"/>
  <c r="K316"/>
  <c r="G316"/>
  <c r="I337"/>
  <c r="M337"/>
  <c r="E337"/>
  <c r="C108"/>
  <c r="D77"/>
  <c r="E78" s="1"/>
  <c r="D91"/>
  <c r="E92" s="1"/>
  <c r="D119"/>
  <c r="E120" s="1"/>
  <c r="C248" i="112"/>
  <c r="C339"/>
  <c r="C367"/>
  <c r="C370" i="1"/>
  <c r="C370" i="112"/>
  <c r="C370" i="113"/>
  <c r="C377" i="114"/>
  <c r="B60" i="104"/>
  <c r="C377" i="1"/>
  <c r="C377" i="112"/>
  <c r="C384" i="114"/>
  <c r="B61" i="104"/>
  <c r="C384" i="1"/>
  <c r="C384" i="112"/>
  <c r="D377" i="1"/>
  <c r="C60" i="104"/>
  <c r="E377" i="112"/>
  <c r="D377" i="113"/>
  <c r="E370" i="112"/>
  <c r="C59" i="104"/>
  <c r="D370" i="1"/>
  <c r="D370" i="113"/>
  <c r="E384" i="112"/>
  <c r="D384" i="113"/>
  <c r="S83" i="110"/>
  <c r="P87"/>
  <c r="Q84"/>
  <c r="L76"/>
  <c r="M76"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E15" i="114"/>
  <c r="D15"/>
  <c r="E29"/>
  <c r="D29"/>
  <c r="E43"/>
  <c r="D43"/>
  <c r="D57"/>
  <c r="E57" s="1"/>
  <c r="C72"/>
  <c r="E74" s="1"/>
  <c r="C71"/>
  <c r="C79"/>
  <c r="E81" s="1"/>
  <c r="C78"/>
  <c r="C86"/>
  <c r="E88" s="1"/>
  <c r="C85"/>
  <c r="C93"/>
  <c r="E95" s="1"/>
  <c r="C92"/>
  <c r="I99"/>
  <c r="F99"/>
  <c r="H99"/>
  <c r="E99"/>
  <c r="L113"/>
  <c r="H113"/>
  <c r="E113"/>
  <c r="I113"/>
  <c r="F113"/>
  <c r="AD134"/>
  <c r="AB134"/>
  <c r="Z134"/>
  <c r="X134"/>
  <c r="V134"/>
  <c r="T134"/>
  <c r="R134"/>
  <c r="P134"/>
  <c r="N134"/>
  <c r="L134"/>
  <c r="J134"/>
  <c r="H134"/>
  <c r="E134"/>
  <c r="AE134"/>
  <c r="AC134"/>
  <c r="AA134"/>
  <c r="Y134"/>
  <c r="W134"/>
  <c r="U134"/>
  <c r="S134"/>
  <c r="Q134"/>
  <c r="O134"/>
  <c r="M134"/>
  <c r="K134"/>
  <c r="I134"/>
  <c r="F134"/>
  <c r="AD141"/>
  <c r="AB141"/>
  <c r="Z141"/>
  <c r="X141"/>
  <c r="V141"/>
  <c r="T141"/>
  <c r="R141"/>
  <c r="P141"/>
  <c r="N141"/>
  <c r="L141"/>
  <c r="J141"/>
  <c r="H141"/>
  <c r="E141"/>
  <c r="AE141"/>
  <c r="AC141"/>
  <c r="AA141"/>
  <c r="Y141"/>
  <c r="W141"/>
  <c r="U141"/>
  <c r="S141"/>
  <c r="Q141"/>
  <c r="O141"/>
  <c r="M141"/>
  <c r="K141"/>
  <c r="I141"/>
  <c r="F141"/>
  <c r="AE148"/>
  <c r="AC148"/>
  <c r="AA148"/>
  <c r="Y148"/>
  <c r="W148"/>
  <c r="U148"/>
  <c r="S148"/>
  <c r="Q148"/>
  <c r="O148"/>
  <c r="M148"/>
  <c r="K148"/>
  <c r="I148"/>
  <c r="G148"/>
  <c r="E148"/>
  <c r="AD148"/>
  <c r="AB148"/>
  <c r="Z148"/>
  <c r="X148"/>
  <c r="V148"/>
  <c r="T148"/>
  <c r="R148"/>
  <c r="P148"/>
  <c r="N148"/>
  <c r="L148"/>
  <c r="J148"/>
  <c r="H148"/>
  <c r="F148"/>
  <c r="AD155"/>
  <c r="AB155"/>
  <c r="Z155"/>
  <c r="X155"/>
  <c r="V155"/>
  <c r="T155"/>
  <c r="R155"/>
  <c r="P155"/>
  <c r="N155"/>
  <c r="L155"/>
  <c r="J155"/>
  <c r="H155"/>
  <c r="F155"/>
  <c r="AE155"/>
  <c r="AC155"/>
  <c r="AA155"/>
  <c r="Y155"/>
  <c r="W155"/>
  <c r="U155"/>
  <c r="S155"/>
  <c r="Q155"/>
  <c r="O155"/>
  <c r="M155"/>
  <c r="K155"/>
  <c r="I155"/>
  <c r="G155"/>
  <c r="E155"/>
  <c r="AE162"/>
  <c r="AC162"/>
  <c r="AA162"/>
  <c r="Y162"/>
  <c r="W162"/>
  <c r="U162"/>
  <c r="S162"/>
  <c r="Q162"/>
  <c r="O162"/>
  <c r="M162"/>
  <c r="K162"/>
  <c r="I162"/>
  <c r="G162"/>
  <c r="E162"/>
  <c r="AD162"/>
  <c r="AB162"/>
  <c r="Z162"/>
  <c r="X162"/>
  <c r="V162"/>
  <c r="T162"/>
  <c r="R162"/>
  <c r="P162"/>
  <c r="N162"/>
  <c r="L162"/>
  <c r="J162"/>
  <c r="H162"/>
  <c r="F162"/>
  <c r="E22"/>
  <c r="D22"/>
  <c r="E36"/>
  <c r="D36"/>
  <c r="E50"/>
  <c r="D50"/>
  <c r="E64"/>
  <c r="D64"/>
  <c r="I106"/>
  <c r="F106"/>
  <c r="H106"/>
  <c r="E106"/>
  <c r="C121"/>
  <c r="E123" s="1"/>
  <c r="C120"/>
  <c r="M127"/>
  <c r="K127"/>
  <c r="I127"/>
  <c r="F127"/>
  <c r="N127"/>
  <c r="L127"/>
  <c r="J127"/>
  <c r="H127"/>
  <c r="E127"/>
  <c r="M169"/>
  <c r="K169"/>
  <c r="I169"/>
  <c r="G169"/>
  <c r="N169"/>
  <c r="L169"/>
  <c r="J169"/>
  <c r="H169"/>
  <c r="F169"/>
  <c r="N176"/>
  <c r="L176"/>
  <c r="J176"/>
  <c r="H176"/>
  <c r="F176"/>
  <c r="M176"/>
  <c r="K176"/>
  <c r="I176"/>
  <c r="G176"/>
  <c r="AI183"/>
  <c r="AG183"/>
  <c r="AE183"/>
  <c r="AC183"/>
  <c r="AA183"/>
  <c r="Y183"/>
  <c r="W183"/>
  <c r="U183"/>
  <c r="S183"/>
  <c r="Q183"/>
  <c r="AJ183"/>
  <c r="AH183"/>
  <c r="AF183"/>
  <c r="AD183"/>
  <c r="AB183"/>
  <c r="Z183"/>
  <c r="X183"/>
  <c r="V183"/>
  <c r="T183"/>
  <c r="R183"/>
  <c r="P183"/>
  <c r="AL197"/>
  <c r="AJ197"/>
  <c r="AH197"/>
  <c r="AF197"/>
  <c r="AD197"/>
  <c r="AB197"/>
  <c r="Z197"/>
  <c r="X197"/>
  <c r="V197"/>
  <c r="T197"/>
  <c r="R197"/>
  <c r="P197"/>
  <c r="N197"/>
  <c r="L197"/>
  <c r="J197"/>
  <c r="AK197"/>
  <c r="AI197"/>
  <c r="AG197"/>
  <c r="AE197"/>
  <c r="AC197"/>
  <c r="AA197"/>
  <c r="Y197"/>
  <c r="W197"/>
  <c r="U197"/>
  <c r="S197"/>
  <c r="Q197"/>
  <c r="O197"/>
  <c r="M197"/>
  <c r="K197"/>
  <c r="I197"/>
  <c r="AI204"/>
  <c r="AG204"/>
  <c r="AE204"/>
  <c r="AC204"/>
  <c r="AA204"/>
  <c r="Y204"/>
  <c r="W204"/>
  <c r="U204"/>
  <c r="S204"/>
  <c r="Q204"/>
  <c r="O204"/>
  <c r="M204"/>
  <c r="K204"/>
  <c r="I204"/>
  <c r="AH204"/>
  <c r="AF204"/>
  <c r="AD204"/>
  <c r="AB204"/>
  <c r="Z204"/>
  <c r="X204"/>
  <c r="V204"/>
  <c r="T204"/>
  <c r="R204"/>
  <c r="P204"/>
  <c r="N204"/>
  <c r="L204"/>
  <c r="J204"/>
  <c r="H204"/>
  <c r="AN211"/>
  <c r="AL211"/>
  <c r="AJ211"/>
  <c r="AH211"/>
  <c r="AF211"/>
  <c r="AD211"/>
  <c r="AB211"/>
  <c r="Z211"/>
  <c r="X211"/>
  <c r="V211"/>
  <c r="T211"/>
  <c r="R211"/>
  <c r="P211"/>
  <c r="N211"/>
  <c r="L211"/>
  <c r="J211"/>
  <c r="AM211"/>
  <c r="AK211"/>
  <c r="AI211"/>
  <c r="AG211"/>
  <c r="AE211"/>
  <c r="AC211"/>
  <c r="AA211"/>
  <c r="Y211"/>
  <c r="W211"/>
  <c r="U211"/>
  <c r="S211"/>
  <c r="Q211"/>
  <c r="O211"/>
  <c r="M211"/>
  <c r="K211"/>
  <c r="I211"/>
  <c r="N218"/>
  <c r="L218"/>
  <c r="J218"/>
  <c r="H218"/>
  <c r="F218"/>
  <c r="M218"/>
  <c r="K218"/>
  <c r="I218"/>
  <c r="G218"/>
  <c r="E218"/>
  <c r="M232"/>
  <c r="K232"/>
  <c r="G232"/>
  <c r="E232"/>
  <c r="N232"/>
  <c r="L232"/>
  <c r="H232"/>
  <c r="F232"/>
  <c r="AO239"/>
  <c r="AM239"/>
  <c r="AK239"/>
  <c r="AI239"/>
  <c r="AG239"/>
  <c r="AE239"/>
  <c r="AC239"/>
  <c r="AA239"/>
  <c r="Y239"/>
  <c r="W239"/>
  <c r="U239"/>
  <c r="S239"/>
  <c r="Q239"/>
  <c r="O239"/>
  <c r="M239"/>
  <c r="K239"/>
  <c r="I239"/>
  <c r="G239"/>
  <c r="E239"/>
  <c r="AP239"/>
  <c r="AN239"/>
  <c r="AL239"/>
  <c r="AJ239"/>
  <c r="AH239"/>
  <c r="AF239"/>
  <c r="AD239"/>
  <c r="AB239"/>
  <c r="Z239"/>
  <c r="X239"/>
  <c r="V239"/>
  <c r="T239"/>
  <c r="R239"/>
  <c r="P239"/>
  <c r="N239"/>
  <c r="L239"/>
  <c r="J239"/>
  <c r="H239"/>
  <c r="F239"/>
  <c r="D267"/>
  <c r="E267"/>
  <c r="G183"/>
  <c r="I183"/>
  <c r="K183"/>
  <c r="M183"/>
  <c r="O183"/>
  <c r="AM190"/>
  <c r="AK190"/>
  <c r="AI190"/>
  <c r="AG190"/>
  <c r="AE190"/>
  <c r="AC190"/>
  <c r="AA190"/>
  <c r="Y190"/>
  <c r="W190"/>
  <c r="U190"/>
  <c r="S190"/>
  <c r="Q190"/>
  <c r="O190"/>
  <c r="M190"/>
  <c r="K190"/>
  <c r="I190"/>
  <c r="AL190"/>
  <c r="AJ190"/>
  <c r="AH190"/>
  <c r="AF190"/>
  <c r="AD190"/>
  <c r="AB190"/>
  <c r="Z190"/>
  <c r="X190"/>
  <c r="V190"/>
  <c r="T190"/>
  <c r="R190"/>
  <c r="P190"/>
  <c r="N190"/>
  <c r="L190"/>
  <c r="J190"/>
  <c r="H225"/>
  <c r="F225"/>
  <c r="G225"/>
  <c r="E225"/>
  <c r="D246"/>
  <c r="E246"/>
  <c r="D253"/>
  <c r="E253"/>
  <c r="D260"/>
  <c r="E260"/>
  <c r="H183"/>
  <c r="J183"/>
  <c r="L183"/>
  <c r="N183"/>
  <c r="I281"/>
  <c r="G281"/>
  <c r="E281"/>
  <c r="J281"/>
  <c r="H281"/>
  <c r="F281"/>
  <c r="K295"/>
  <c r="I295"/>
  <c r="G295"/>
  <c r="E295"/>
  <c r="L295"/>
  <c r="J295"/>
  <c r="H295"/>
  <c r="F295"/>
  <c r="AI302"/>
  <c r="AG302"/>
  <c r="AE302"/>
  <c r="AC302"/>
  <c r="AA302"/>
  <c r="Y302"/>
  <c r="W302"/>
  <c r="U302"/>
  <c r="S302"/>
  <c r="Q302"/>
  <c r="O302"/>
  <c r="M302"/>
  <c r="K302"/>
  <c r="I302"/>
  <c r="G302"/>
  <c r="E302"/>
  <c r="AJ302"/>
  <c r="AH302"/>
  <c r="AF302"/>
  <c r="AD302"/>
  <c r="AB302"/>
  <c r="Z302"/>
  <c r="X302"/>
  <c r="V302"/>
  <c r="T302"/>
  <c r="R302"/>
  <c r="P302"/>
  <c r="N302"/>
  <c r="L302"/>
  <c r="J302"/>
  <c r="H302"/>
  <c r="F302"/>
  <c r="K316"/>
  <c r="I316"/>
  <c r="G316"/>
  <c r="J316"/>
  <c r="H316"/>
  <c r="E274"/>
  <c r="D274"/>
  <c r="G288"/>
  <c r="E288"/>
  <c r="H288"/>
  <c r="F288"/>
  <c r="M323"/>
  <c r="K323"/>
  <c r="I323"/>
  <c r="G323"/>
  <c r="E323"/>
  <c r="N323"/>
  <c r="L323"/>
  <c r="J323"/>
  <c r="H323"/>
  <c r="F323"/>
  <c r="D323"/>
  <c r="M330"/>
  <c r="K330"/>
  <c r="I330"/>
  <c r="G330"/>
  <c r="N330"/>
  <c r="L330"/>
  <c r="J330"/>
  <c r="H330"/>
  <c r="F330"/>
  <c r="M344"/>
  <c r="K344"/>
  <c r="I344"/>
  <c r="G344"/>
  <c r="N344"/>
  <c r="L344"/>
  <c r="J344"/>
  <c r="H344"/>
  <c r="F344"/>
  <c r="C248"/>
  <c r="C255"/>
  <c r="C325"/>
  <c r="F337"/>
  <c r="H337"/>
  <c r="J337"/>
  <c r="L337"/>
  <c r="N337"/>
  <c r="C339"/>
  <c r="L351"/>
  <c r="C351" s="1"/>
  <c r="J358"/>
  <c r="L358"/>
  <c r="N358"/>
  <c r="P358"/>
  <c r="R358"/>
  <c r="T358"/>
  <c r="V358"/>
  <c r="X358"/>
  <c r="Z358"/>
  <c r="AB358"/>
  <c r="AD358"/>
  <c r="AF358"/>
  <c r="AH358"/>
  <c r="AJ358"/>
  <c r="AL358"/>
  <c r="AN358"/>
  <c r="AP358"/>
  <c r="J365"/>
  <c r="L365"/>
  <c r="N365"/>
  <c r="P365"/>
  <c r="R365"/>
  <c r="T365"/>
  <c r="W365"/>
  <c r="Y365"/>
  <c r="AA365"/>
  <c r="AC365"/>
  <c r="AE365"/>
  <c r="AG365"/>
  <c r="AI365"/>
  <c r="AK365"/>
  <c r="AM365"/>
  <c r="AO365"/>
  <c r="G372"/>
  <c r="I372"/>
  <c r="K372"/>
  <c r="M372"/>
  <c r="E337"/>
  <c r="G337"/>
  <c r="I337"/>
  <c r="K337"/>
  <c r="M337"/>
  <c r="I358"/>
  <c r="K358"/>
  <c r="M358"/>
  <c r="O358"/>
  <c r="Q358"/>
  <c r="S358"/>
  <c r="U358"/>
  <c r="W358"/>
  <c r="Y358"/>
  <c r="AA358"/>
  <c r="AC358"/>
  <c r="AE358"/>
  <c r="AG358"/>
  <c r="AI358"/>
  <c r="AK358"/>
  <c r="AM358"/>
  <c r="I365"/>
  <c r="K365"/>
  <c r="M365"/>
  <c r="O365"/>
  <c r="Q365"/>
  <c r="S365"/>
  <c r="V365"/>
  <c r="X365"/>
  <c r="Z365"/>
  <c r="AB365"/>
  <c r="AD365"/>
  <c r="AF365"/>
  <c r="AH365"/>
  <c r="AJ365"/>
  <c r="AL365"/>
  <c r="AN365"/>
  <c r="F372"/>
  <c r="H372"/>
  <c r="J372"/>
  <c r="L372"/>
  <c r="N372"/>
  <c r="C72" i="113"/>
  <c r="E74" s="1"/>
  <c r="S23" i="2" s="1"/>
  <c r="V23" s="1"/>
  <c r="C71" i="113"/>
  <c r="L113"/>
  <c r="H113"/>
  <c r="E113"/>
  <c r="I113"/>
  <c r="F113"/>
  <c r="C86"/>
  <c r="E88" s="1"/>
  <c r="S25" i="2" s="1"/>
  <c r="V25" s="1"/>
  <c r="C85" i="113"/>
  <c r="N141"/>
  <c r="L141"/>
  <c r="J141"/>
  <c r="H141"/>
  <c r="E141"/>
  <c r="M141"/>
  <c r="K141"/>
  <c r="I141"/>
  <c r="F141"/>
  <c r="N155"/>
  <c r="L155"/>
  <c r="J155"/>
  <c r="H155"/>
  <c r="M169"/>
  <c r="K169"/>
  <c r="I169"/>
  <c r="G169"/>
  <c r="N176"/>
  <c r="L176"/>
  <c r="J176"/>
  <c r="H176"/>
  <c r="F176"/>
  <c r="N197"/>
  <c r="L197"/>
  <c r="J197"/>
  <c r="M204"/>
  <c r="K204"/>
  <c r="I204"/>
  <c r="D253"/>
  <c r="C255"/>
  <c r="D267"/>
  <c r="C269"/>
  <c r="J281"/>
  <c r="H281"/>
  <c r="F281"/>
  <c r="N302"/>
  <c r="L302"/>
  <c r="J302"/>
  <c r="H302"/>
  <c r="F302"/>
  <c r="N323"/>
  <c r="L323"/>
  <c r="J323"/>
  <c r="H323"/>
  <c r="F323"/>
  <c r="D323"/>
  <c r="C325"/>
  <c r="N330"/>
  <c r="L330"/>
  <c r="J330"/>
  <c r="H330"/>
  <c r="F330"/>
  <c r="C339"/>
  <c r="N344"/>
  <c r="L344"/>
  <c r="J344"/>
  <c r="H344"/>
  <c r="F344"/>
  <c r="N358"/>
  <c r="L358"/>
  <c r="J358"/>
  <c r="N365"/>
  <c r="L365"/>
  <c r="J365"/>
  <c r="N372"/>
  <c r="L372"/>
  <c r="J372"/>
  <c r="H372"/>
  <c r="F372"/>
  <c r="N162"/>
  <c r="L162"/>
  <c r="J162"/>
  <c r="H162"/>
  <c r="F162"/>
  <c r="N183"/>
  <c r="L183"/>
  <c r="J183"/>
  <c r="H183"/>
  <c r="N190"/>
  <c r="L190"/>
  <c r="J190"/>
  <c r="M211"/>
  <c r="K211"/>
  <c r="I211"/>
  <c r="M218"/>
  <c r="K218"/>
  <c r="I218"/>
  <c r="G218"/>
  <c r="E218"/>
  <c r="G225"/>
  <c r="E225"/>
  <c r="M232"/>
  <c r="K232"/>
  <c r="G232"/>
  <c r="E232"/>
  <c r="M239"/>
  <c r="K239"/>
  <c r="I239"/>
  <c r="G239"/>
  <c r="E239"/>
  <c r="D246"/>
  <c r="C248"/>
  <c r="D260"/>
  <c r="C262"/>
  <c r="D274"/>
  <c r="H288"/>
  <c r="F288"/>
  <c r="L295"/>
  <c r="J295"/>
  <c r="H295"/>
  <c r="F295"/>
  <c r="J316"/>
  <c r="H316"/>
  <c r="N337"/>
  <c r="L337"/>
  <c r="J337"/>
  <c r="H337"/>
  <c r="F337"/>
  <c r="D15"/>
  <c r="D22"/>
  <c r="D29"/>
  <c r="D36"/>
  <c r="D43"/>
  <c r="D50"/>
  <c r="D57"/>
  <c r="D64"/>
  <c r="E99"/>
  <c r="H99"/>
  <c r="E106"/>
  <c r="H106"/>
  <c r="E127"/>
  <c r="H127"/>
  <c r="J127"/>
  <c r="L127"/>
  <c r="N127"/>
  <c r="E134"/>
  <c r="H134"/>
  <c r="J134"/>
  <c r="L134"/>
  <c r="N134"/>
  <c r="E148"/>
  <c r="G148"/>
  <c r="I148"/>
  <c r="K148"/>
  <c r="M148"/>
  <c r="E155"/>
  <c r="G155"/>
  <c r="K155"/>
  <c r="H169"/>
  <c r="L169"/>
  <c r="G176"/>
  <c r="K176"/>
  <c r="K197"/>
  <c r="J204"/>
  <c r="N204"/>
  <c r="E253"/>
  <c r="E267"/>
  <c r="G281"/>
  <c r="G302"/>
  <c r="K302"/>
  <c r="E323"/>
  <c r="I323"/>
  <c r="M323"/>
  <c r="G330"/>
  <c r="K330"/>
  <c r="G344"/>
  <c r="K344"/>
  <c r="K358"/>
  <c r="K365"/>
  <c r="G372"/>
  <c r="K372"/>
  <c r="F99"/>
  <c r="F106"/>
  <c r="F127"/>
  <c r="I127"/>
  <c r="K127"/>
  <c r="F134"/>
  <c r="I134"/>
  <c r="K134"/>
  <c r="F148"/>
  <c r="H148"/>
  <c r="J148"/>
  <c r="L148"/>
  <c r="F155"/>
  <c r="I155"/>
  <c r="M155"/>
  <c r="G162"/>
  <c r="K162"/>
  <c r="F169"/>
  <c r="J169"/>
  <c r="N169"/>
  <c r="I176"/>
  <c r="M176"/>
  <c r="I183"/>
  <c r="M183"/>
  <c r="K190"/>
  <c r="I197"/>
  <c r="M197"/>
  <c r="H204"/>
  <c r="L204"/>
  <c r="J211"/>
  <c r="N211"/>
  <c r="F218"/>
  <c r="J218"/>
  <c r="N218"/>
  <c r="F225"/>
  <c r="F232"/>
  <c r="N232"/>
  <c r="F239"/>
  <c r="J239"/>
  <c r="N239"/>
  <c r="E246"/>
  <c r="E260"/>
  <c r="E274"/>
  <c r="E281"/>
  <c r="I281"/>
  <c r="G288"/>
  <c r="G295"/>
  <c r="K295"/>
  <c r="E302"/>
  <c r="I302"/>
  <c r="M302"/>
  <c r="I316"/>
  <c r="G323"/>
  <c r="K323"/>
  <c r="I330"/>
  <c r="M330"/>
  <c r="G337"/>
  <c r="K337"/>
  <c r="I344"/>
  <c r="M344"/>
  <c r="I351"/>
  <c r="I358"/>
  <c r="M358"/>
  <c r="I365"/>
  <c r="M365"/>
  <c r="I372"/>
  <c r="M372"/>
  <c r="E22" i="112"/>
  <c r="F22"/>
  <c r="E36"/>
  <c r="F36"/>
  <c r="E50"/>
  <c r="F50"/>
  <c r="E64"/>
  <c r="F64"/>
  <c r="N134"/>
  <c r="L134"/>
  <c r="J134"/>
  <c r="G134"/>
  <c r="O134"/>
  <c r="M134"/>
  <c r="K134"/>
  <c r="I134"/>
  <c r="F134"/>
  <c r="N141"/>
  <c r="L141"/>
  <c r="J141"/>
  <c r="G141"/>
  <c r="O141"/>
  <c r="M141"/>
  <c r="K141"/>
  <c r="I141"/>
  <c r="F141"/>
  <c r="O148"/>
  <c r="M148"/>
  <c r="K148"/>
  <c r="I148"/>
  <c r="G148"/>
  <c r="N148"/>
  <c r="L148"/>
  <c r="J148"/>
  <c r="H148"/>
  <c r="F148"/>
  <c r="E15"/>
  <c r="F15"/>
  <c r="E29"/>
  <c r="F29"/>
  <c r="E43"/>
  <c r="F43"/>
  <c r="E57"/>
  <c r="F57" s="1"/>
  <c r="C72"/>
  <c r="F74" s="1"/>
  <c r="C71"/>
  <c r="C79"/>
  <c r="F81" s="1"/>
  <c r="C78"/>
  <c r="C86"/>
  <c r="F88" s="1"/>
  <c r="C85"/>
  <c r="C93"/>
  <c r="F95" s="1"/>
  <c r="C92"/>
  <c r="I99"/>
  <c r="F99"/>
  <c r="J99"/>
  <c r="G99"/>
  <c r="J113"/>
  <c r="G113"/>
  <c r="M113"/>
  <c r="I113"/>
  <c r="F113"/>
  <c r="C121"/>
  <c r="F123" s="1"/>
  <c r="C120"/>
  <c r="O162"/>
  <c r="M162"/>
  <c r="K162"/>
  <c r="I162"/>
  <c r="G162"/>
  <c r="N162"/>
  <c r="L162"/>
  <c r="J162"/>
  <c r="H162"/>
  <c r="F162"/>
  <c r="N176"/>
  <c r="L176"/>
  <c r="J176"/>
  <c r="H176"/>
  <c r="O176"/>
  <c r="M176"/>
  <c r="K176"/>
  <c r="I176"/>
  <c r="G176"/>
  <c r="O197"/>
  <c r="M197"/>
  <c r="K197"/>
  <c r="N197"/>
  <c r="L197"/>
  <c r="J197"/>
  <c r="N204"/>
  <c r="L204"/>
  <c r="J204"/>
  <c r="O204"/>
  <c r="M204"/>
  <c r="K204"/>
  <c r="I204"/>
  <c r="O211"/>
  <c r="M211"/>
  <c r="K211"/>
  <c r="N211"/>
  <c r="L211"/>
  <c r="J211"/>
  <c r="O218"/>
  <c r="M218"/>
  <c r="K218"/>
  <c r="I218"/>
  <c r="G218"/>
  <c r="N218"/>
  <c r="L218"/>
  <c r="J218"/>
  <c r="H218"/>
  <c r="F218"/>
  <c r="N232"/>
  <c r="L232"/>
  <c r="H232"/>
  <c r="F232"/>
  <c r="O232"/>
  <c r="M232"/>
  <c r="I232"/>
  <c r="G232"/>
  <c r="G106"/>
  <c r="J106"/>
  <c r="C108"/>
  <c r="C115"/>
  <c r="G127"/>
  <c r="J127"/>
  <c r="L127"/>
  <c r="N127"/>
  <c r="C129"/>
  <c r="G155"/>
  <c r="I155"/>
  <c r="K155"/>
  <c r="M155"/>
  <c r="O155"/>
  <c r="H169"/>
  <c r="J169"/>
  <c r="L169"/>
  <c r="N169"/>
  <c r="I183"/>
  <c r="K183"/>
  <c r="M183"/>
  <c r="N190"/>
  <c r="L190"/>
  <c r="J190"/>
  <c r="O190"/>
  <c r="M190"/>
  <c r="K190"/>
  <c r="I225"/>
  <c r="G225"/>
  <c r="H225"/>
  <c r="F225"/>
  <c r="F106"/>
  <c r="F127"/>
  <c r="I127"/>
  <c r="K127"/>
  <c r="M127"/>
  <c r="O127"/>
  <c r="F155"/>
  <c r="H155"/>
  <c r="J155"/>
  <c r="L155"/>
  <c r="N155"/>
  <c r="G169"/>
  <c r="I169"/>
  <c r="K169"/>
  <c r="M169"/>
  <c r="H183"/>
  <c r="J183"/>
  <c r="L183"/>
  <c r="N183"/>
  <c r="J281"/>
  <c r="H281"/>
  <c r="F281"/>
  <c r="K281"/>
  <c r="I281"/>
  <c r="G281"/>
  <c r="L295"/>
  <c r="J295"/>
  <c r="H295"/>
  <c r="F295"/>
  <c r="M295"/>
  <c r="K295"/>
  <c r="I295"/>
  <c r="G295"/>
  <c r="N302"/>
  <c r="L302"/>
  <c r="J302"/>
  <c r="H302"/>
  <c r="F302"/>
  <c r="O302"/>
  <c r="M302"/>
  <c r="K302"/>
  <c r="I302"/>
  <c r="G302"/>
  <c r="L316"/>
  <c r="J316"/>
  <c r="H316"/>
  <c r="K316"/>
  <c r="I316"/>
  <c r="J351"/>
  <c r="M351"/>
  <c r="N365"/>
  <c r="L365"/>
  <c r="J365"/>
  <c r="O365"/>
  <c r="M365"/>
  <c r="K365"/>
  <c r="O372"/>
  <c r="M372"/>
  <c r="K372"/>
  <c r="I372"/>
  <c r="G372"/>
  <c r="N372"/>
  <c r="L372"/>
  <c r="J372"/>
  <c r="H372"/>
  <c r="G239"/>
  <c r="I239"/>
  <c r="K239"/>
  <c r="M239"/>
  <c r="O239"/>
  <c r="F246"/>
  <c r="F253"/>
  <c r="F260"/>
  <c r="F267"/>
  <c r="F274"/>
  <c r="E274"/>
  <c r="H288"/>
  <c r="F288"/>
  <c r="I288"/>
  <c r="G288"/>
  <c r="N337"/>
  <c r="L337"/>
  <c r="J337"/>
  <c r="H337"/>
  <c r="F337"/>
  <c r="O337"/>
  <c r="M337"/>
  <c r="K337"/>
  <c r="I337"/>
  <c r="G337"/>
  <c r="N358"/>
  <c r="L358"/>
  <c r="J358"/>
  <c r="O358"/>
  <c r="M358"/>
  <c r="K358"/>
  <c r="F239"/>
  <c r="H239"/>
  <c r="J239"/>
  <c r="L239"/>
  <c r="N239"/>
  <c r="E246"/>
  <c r="E253"/>
  <c r="E260"/>
  <c r="E267"/>
  <c r="E323"/>
  <c r="G323"/>
  <c r="I323"/>
  <c r="K323"/>
  <c r="M323"/>
  <c r="O323"/>
  <c r="G330"/>
  <c r="I330"/>
  <c r="K330"/>
  <c r="M330"/>
  <c r="O330"/>
  <c r="G344"/>
  <c r="I344"/>
  <c r="K344"/>
  <c r="M344"/>
  <c r="O344"/>
  <c r="F323"/>
  <c r="H323"/>
  <c r="J323"/>
  <c r="L323"/>
  <c r="N323"/>
  <c r="H330"/>
  <c r="J330"/>
  <c r="L330"/>
  <c r="N330"/>
  <c r="H344"/>
  <c r="J344"/>
  <c r="L344"/>
  <c r="N344"/>
  <c r="F386" i="1"/>
  <c r="G386"/>
  <c r="AP382"/>
  <c r="AO382"/>
  <c r="AN382"/>
  <c r="AM382"/>
  <c r="AL382"/>
  <c r="AK382"/>
  <c r="AJ382"/>
  <c r="AI382"/>
  <c r="AH382"/>
  <c r="AG382"/>
  <c r="AF382"/>
  <c r="AE382"/>
  <c r="AD382"/>
  <c r="AC382"/>
  <c r="AB382"/>
  <c r="AA382"/>
  <c r="Z382"/>
  <c r="Y382"/>
  <c r="X382"/>
  <c r="W382"/>
  <c r="V382"/>
  <c r="U382"/>
  <c r="T382"/>
  <c r="S382"/>
  <c r="R382"/>
  <c r="Q382"/>
  <c r="P382"/>
  <c r="O382"/>
  <c r="N382"/>
  <c r="M382"/>
  <c r="L382"/>
  <c r="K382"/>
  <c r="D382"/>
  <c r="C381"/>
  <c r="D378"/>
  <c r="C310"/>
  <c r="C161"/>
  <c r="D161" s="1"/>
  <c r="AP165"/>
  <c r="AO165"/>
  <c r="AN165"/>
  <c r="AM165"/>
  <c r="AL165"/>
  <c r="AK165"/>
  <c r="AJ165"/>
  <c r="AI165"/>
  <c r="AH165"/>
  <c r="AG165"/>
  <c r="AF165"/>
  <c r="AE165"/>
  <c r="AD165"/>
  <c r="AC165"/>
  <c r="AB165"/>
  <c r="AA165"/>
  <c r="Z165"/>
  <c r="Y165"/>
  <c r="X165"/>
  <c r="W165"/>
  <c r="V165"/>
  <c r="U165"/>
  <c r="T165"/>
  <c r="S165"/>
  <c r="R165"/>
  <c r="Q165"/>
  <c r="P165"/>
  <c r="O165"/>
  <c r="N165"/>
  <c r="M165"/>
  <c r="L165"/>
  <c r="K165"/>
  <c r="J165"/>
  <c r="I165"/>
  <c r="H165"/>
  <c r="G165"/>
  <c r="D165"/>
  <c r="C164"/>
  <c r="C154"/>
  <c r="D154" s="1"/>
  <c r="C36" i="2"/>
  <c r="B36"/>
  <c r="C35"/>
  <c r="B35"/>
  <c r="AP158" i="1"/>
  <c r="AO158"/>
  <c r="AN158"/>
  <c r="AM158"/>
  <c r="AL158"/>
  <c r="AK158"/>
  <c r="AJ158"/>
  <c r="AI158"/>
  <c r="AH158"/>
  <c r="AG158"/>
  <c r="AF158"/>
  <c r="AE158"/>
  <c r="AD158"/>
  <c r="AC158"/>
  <c r="AB158"/>
  <c r="AA158"/>
  <c r="Z158"/>
  <c r="Y158"/>
  <c r="X158"/>
  <c r="W158"/>
  <c r="V158"/>
  <c r="U158"/>
  <c r="T158"/>
  <c r="S158"/>
  <c r="R158"/>
  <c r="Q158"/>
  <c r="P158"/>
  <c r="O158"/>
  <c r="N158"/>
  <c r="M158"/>
  <c r="L158"/>
  <c r="K158"/>
  <c r="J158"/>
  <c r="I158"/>
  <c r="H158"/>
  <c r="G158"/>
  <c r="F158"/>
  <c r="D158"/>
  <c r="C157"/>
  <c r="G34" i="2"/>
  <c r="D34"/>
  <c r="C34"/>
  <c r="B34"/>
  <c r="C190" i="113" l="1"/>
  <c r="F50" i="104"/>
  <c r="G56" i="73"/>
  <c r="C288" i="113"/>
  <c r="C191"/>
  <c r="C184"/>
  <c r="E186" s="1"/>
  <c r="C107"/>
  <c r="E109" s="1"/>
  <c r="S28" i="2" s="1"/>
  <c r="V28" s="1"/>
  <c r="C289" i="114"/>
  <c r="E291" s="1"/>
  <c r="C106" i="112"/>
  <c r="C338"/>
  <c r="E340" s="1"/>
  <c r="C289"/>
  <c r="F291" s="1"/>
  <c r="C324" i="114"/>
  <c r="E326" s="1"/>
  <c r="C16" i="112"/>
  <c r="C93" i="113"/>
  <c r="E95" s="1"/>
  <c r="S26" i="2" s="1"/>
  <c r="V26" s="1"/>
  <c r="C92" i="113"/>
  <c r="C303" i="112"/>
  <c r="H305" s="1"/>
  <c r="F8"/>
  <c r="C281" i="113"/>
  <c r="C162"/>
  <c r="D8"/>
  <c r="AL8" i="114"/>
  <c r="AM8"/>
  <c r="AF8"/>
  <c r="AJ8"/>
  <c r="AI8"/>
  <c r="Q8"/>
  <c r="U8"/>
  <c r="Y8"/>
  <c r="AC8"/>
  <c r="R8"/>
  <c r="V8"/>
  <c r="Z8"/>
  <c r="AD8"/>
  <c r="E8"/>
  <c r="E8" i="112"/>
  <c r="AK8" i="114"/>
  <c r="AO8"/>
  <c r="AN8"/>
  <c r="AH8"/>
  <c r="AG8"/>
  <c r="O8"/>
  <c r="S8"/>
  <c r="W8"/>
  <c r="AA8"/>
  <c r="AE8"/>
  <c r="P8"/>
  <c r="T8"/>
  <c r="X8"/>
  <c r="AB8"/>
  <c r="D8"/>
  <c r="C380" i="113"/>
  <c r="G382" s="1"/>
  <c r="M379" i="114"/>
  <c r="K379"/>
  <c r="I379"/>
  <c r="G379"/>
  <c r="N379" i="112"/>
  <c r="L379"/>
  <c r="J379"/>
  <c r="H379"/>
  <c r="G379" i="1"/>
  <c r="I379"/>
  <c r="K379"/>
  <c r="M379"/>
  <c r="O379"/>
  <c r="Q379"/>
  <c r="S379"/>
  <c r="U379"/>
  <c r="W379"/>
  <c r="Y379"/>
  <c r="AA379"/>
  <c r="AC379"/>
  <c r="AE379"/>
  <c r="AG379"/>
  <c r="AI379"/>
  <c r="AK379"/>
  <c r="AM379"/>
  <c r="AO379"/>
  <c r="F379"/>
  <c r="N379" i="114"/>
  <c r="L379"/>
  <c r="J379"/>
  <c r="H379"/>
  <c r="F379"/>
  <c r="O379" i="112"/>
  <c r="M379"/>
  <c r="K379"/>
  <c r="I379"/>
  <c r="G379"/>
  <c r="H379" i="1"/>
  <c r="J379"/>
  <c r="L379"/>
  <c r="N379"/>
  <c r="P379"/>
  <c r="R379"/>
  <c r="T379"/>
  <c r="V379"/>
  <c r="X379"/>
  <c r="Z379"/>
  <c r="AB379"/>
  <c r="AD379"/>
  <c r="AF379"/>
  <c r="AH379"/>
  <c r="AJ379"/>
  <c r="AL379"/>
  <c r="AN379"/>
  <c r="C387" i="113"/>
  <c r="F389" s="1"/>
  <c r="C155" i="114"/>
  <c r="C142"/>
  <c r="E144" s="1"/>
  <c r="C120" i="113"/>
  <c r="C121"/>
  <c r="E123" s="1"/>
  <c r="S30" i="2" s="1"/>
  <c r="V30" s="1"/>
  <c r="C79" i="113"/>
  <c r="E81" s="1"/>
  <c r="S24" i="2" s="1"/>
  <c r="V24" s="1"/>
  <c r="C78" i="113"/>
  <c r="C296" i="112"/>
  <c r="E298" s="1"/>
  <c r="N55" i="2" s="1"/>
  <c r="Q55" s="1"/>
  <c r="C141" i="112"/>
  <c r="N25" i="2"/>
  <c r="Q25" s="1"/>
  <c r="N30"/>
  <c r="Q30" s="1"/>
  <c r="N24"/>
  <c r="Q24" s="1"/>
  <c r="N23"/>
  <c r="Q23" s="1"/>
  <c r="N26"/>
  <c r="Q26" s="1"/>
  <c r="D153" i="1"/>
  <c r="D153" i="113"/>
  <c r="C28" i="104"/>
  <c r="D153" i="114"/>
  <c r="E153" i="112"/>
  <c r="D160" i="1"/>
  <c r="C29" i="104"/>
  <c r="D160" i="113"/>
  <c r="E160" i="112"/>
  <c r="D160" i="114"/>
  <c r="C146" i="1"/>
  <c r="C146" i="114"/>
  <c r="C146" i="113"/>
  <c r="C146" i="112"/>
  <c r="B27" i="104"/>
  <c r="D146" i="1"/>
  <c r="C27" i="104"/>
  <c r="D146" i="114"/>
  <c r="D146" i="113"/>
  <c r="E146" i="112"/>
  <c r="C153" i="1"/>
  <c r="B28" i="104"/>
  <c r="C153" i="114"/>
  <c r="C153" i="112"/>
  <c r="C153" i="113"/>
  <c r="C160" i="1"/>
  <c r="C160" i="114"/>
  <c r="B29" i="104"/>
  <c r="C160" i="113"/>
  <c r="C160" i="112"/>
  <c r="C386" i="1"/>
  <c r="R84" i="110"/>
  <c r="Q87"/>
  <c r="T83"/>
  <c r="C106" i="114"/>
  <c r="C127"/>
  <c r="C135"/>
  <c r="E137" s="1"/>
  <c r="C114"/>
  <c r="E116" s="1"/>
  <c r="C331"/>
  <c r="C330"/>
  <c r="D291"/>
  <c r="C386"/>
  <c r="C387"/>
  <c r="C317"/>
  <c r="C316"/>
  <c r="C177"/>
  <c r="C176"/>
  <c r="C64"/>
  <c r="C65"/>
  <c r="C50"/>
  <c r="C51"/>
  <c r="C36"/>
  <c r="C37"/>
  <c r="C22"/>
  <c r="C23"/>
  <c r="C337"/>
  <c r="C352"/>
  <c r="C288"/>
  <c r="C281"/>
  <c r="C239"/>
  <c r="C219"/>
  <c r="C107"/>
  <c r="C162"/>
  <c r="C156"/>
  <c r="E158" s="1"/>
  <c r="C148"/>
  <c r="C113"/>
  <c r="C373"/>
  <c r="C372"/>
  <c r="C366"/>
  <c r="C365"/>
  <c r="C359"/>
  <c r="C358"/>
  <c r="C345"/>
  <c r="C344"/>
  <c r="C191"/>
  <c r="C190"/>
  <c r="C184"/>
  <c r="C183"/>
  <c r="C211"/>
  <c r="C212"/>
  <c r="C204"/>
  <c r="C205"/>
  <c r="E207" s="1"/>
  <c r="C197"/>
  <c r="C198"/>
  <c r="D200" s="1"/>
  <c r="C170"/>
  <c r="C169"/>
  <c r="C100"/>
  <c r="C57"/>
  <c r="C58"/>
  <c r="C43"/>
  <c r="C44"/>
  <c r="C29"/>
  <c r="C30"/>
  <c r="C15"/>
  <c r="C16"/>
  <c r="C338"/>
  <c r="C323"/>
  <c r="C303"/>
  <c r="C302"/>
  <c r="C296"/>
  <c r="D298" s="1"/>
  <c r="C295"/>
  <c r="C282"/>
  <c r="C240"/>
  <c r="C218"/>
  <c r="C128"/>
  <c r="C163"/>
  <c r="C149"/>
  <c r="E151" s="1"/>
  <c r="C141"/>
  <c r="C134"/>
  <c r="C99"/>
  <c r="C99" i="113"/>
  <c r="C317"/>
  <c r="E319" s="1"/>
  <c r="C295"/>
  <c r="C142"/>
  <c r="E144" s="1"/>
  <c r="S33" i="2" s="1"/>
  <c r="V33" s="1"/>
  <c r="C337" i="113"/>
  <c r="C183"/>
  <c r="I389"/>
  <c r="J389"/>
  <c r="H389"/>
  <c r="E382"/>
  <c r="S67" i="2" s="1"/>
  <c r="V67" s="1"/>
  <c r="J382" i="113"/>
  <c r="C351"/>
  <c r="C352"/>
  <c r="C205"/>
  <c r="E207" s="1"/>
  <c r="S42" i="2" s="1"/>
  <c r="V42" s="1"/>
  <c r="C204" i="113"/>
  <c r="C197"/>
  <c r="C198"/>
  <c r="D200" s="1"/>
  <c r="S41" i="2" s="1"/>
  <c r="V41" s="1"/>
  <c r="C100" i="113"/>
  <c r="C64"/>
  <c r="C65"/>
  <c r="C50"/>
  <c r="C51"/>
  <c r="C36"/>
  <c r="C37"/>
  <c r="C22"/>
  <c r="C23"/>
  <c r="C344"/>
  <c r="C345"/>
  <c r="C176"/>
  <c r="C177"/>
  <c r="C302"/>
  <c r="C219"/>
  <c r="C156"/>
  <c r="E158" s="1"/>
  <c r="S35" i="2" s="1"/>
  <c r="V35" s="1"/>
  <c r="C149" i="113"/>
  <c r="E151" s="1"/>
  <c r="S34" i="2" s="1"/>
  <c r="V34" s="1"/>
  <c r="C128" i="113"/>
  <c r="C386"/>
  <c r="C379"/>
  <c r="C155"/>
  <c r="C134"/>
  <c r="C338"/>
  <c r="C218"/>
  <c r="C323"/>
  <c r="C316"/>
  <c r="C303"/>
  <c r="C114"/>
  <c r="C113"/>
  <c r="C365"/>
  <c r="C366"/>
  <c r="C358"/>
  <c r="C359"/>
  <c r="E193"/>
  <c r="D193"/>
  <c r="C170"/>
  <c r="C169"/>
  <c r="C43"/>
  <c r="C44"/>
  <c r="C29"/>
  <c r="C30"/>
  <c r="C15"/>
  <c r="C16"/>
  <c r="C212"/>
  <c r="C211"/>
  <c r="C372"/>
  <c r="C373"/>
  <c r="C330"/>
  <c r="C331"/>
  <c r="C240"/>
  <c r="C135"/>
  <c r="E137" s="1"/>
  <c r="S32" i="2" s="1"/>
  <c r="V32" s="1"/>
  <c r="C148" i="113"/>
  <c r="C127"/>
  <c r="C106"/>
  <c r="C296"/>
  <c r="D298" s="1"/>
  <c r="S55" i="2" s="1"/>
  <c r="V55" s="1"/>
  <c r="C289" i="113"/>
  <c r="C239"/>
  <c r="C163"/>
  <c r="C324"/>
  <c r="C282"/>
  <c r="E57"/>
  <c r="E8" s="1"/>
  <c r="C141"/>
  <c r="C134" i="112"/>
  <c r="C282"/>
  <c r="F284" s="1"/>
  <c r="C113"/>
  <c r="C386"/>
  <c r="C387"/>
  <c r="C345"/>
  <c r="C344"/>
  <c r="C359"/>
  <c r="C358"/>
  <c r="C373"/>
  <c r="C372"/>
  <c r="C317"/>
  <c r="C316"/>
  <c r="C191"/>
  <c r="C190"/>
  <c r="C211"/>
  <c r="C212"/>
  <c r="C204"/>
  <c r="C205"/>
  <c r="F207" s="1"/>
  <c r="C197"/>
  <c r="C198"/>
  <c r="E200" s="1"/>
  <c r="N41" i="2" s="1"/>
  <c r="Q41" s="1"/>
  <c r="C100" i="112"/>
  <c r="C65"/>
  <c r="C64"/>
  <c r="C51"/>
  <c r="C50"/>
  <c r="C37"/>
  <c r="C36"/>
  <c r="C23"/>
  <c r="C22"/>
  <c r="C323"/>
  <c r="C281"/>
  <c r="C155"/>
  <c r="C127"/>
  <c r="C218"/>
  <c r="C162"/>
  <c r="C163"/>
  <c r="C114"/>
  <c r="C99"/>
  <c r="C148"/>
  <c r="C149"/>
  <c r="F151" s="1"/>
  <c r="C142"/>
  <c r="F144" s="1"/>
  <c r="C135"/>
  <c r="F137" s="1"/>
  <c r="C331"/>
  <c r="C330"/>
  <c r="E291"/>
  <c r="C366"/>
  <c r="C365"/>
  <c r="C352"/>
  <c r="C351"/>
  <c r="E305"/>
  <c r="C184"/>
  <c r="C183"/>
  <c r="C170"/>
  <c r="C169"/>
  <c r="C177"/>
  <c r="C176"/>
  <c r="C58"/>
  <c r="C57"/>
  <c r="C44"/>
  <c r="C43"/>
  <c r="C30"/>
  <c r="C29"/>
  <c r="C15"/>
  <c r="C324"/>
  <c r="C239"/>
  <c r="C337"/>
  <c r="C288"/>
  <c r="C240"/>
  <c r="C302"/>
  <c r="C295"/>
  <c r="C156"/>
  <c r="F158" s="1"/>
  <c r="C128"/>
  <c r="C107"/>
  <c r="C219"/>
  <c r="AD155" i="1"/>
  <c r="E155"/>
  <c r="AD162"/>
  <c r="C387"/>
  <c r="F162"/>
  <c r="E162"/>
  <c r="G162"/>
  <c r="I162"/>
  <c r="K162"/>
  <c r="M162"/>
  <c r="O162"/>
  <c r="Q162"/>
  <c r="S162"/>
  <c r="U162"/>
  <c r="W162"/>
  <c r="Y162"/>
  <c r="AA162"/>
  <c r="AC162"/>
  <c r="AE162"/>
  <c r="H162"/>
  <c r="J162"/>
  <c r="L162"/>
  <c r="N162"/>
  <c r="P162"/>
  <c r="R162"/>
  <c r="T162"/>
  <c r="V162"/>
  <c r="X162"/>
  <c r="Z162"/>
  <c r="AB162"/>
  <c r="G155"/>
  <c r="I155"/>
  <c r="K155"/>
  <c r="M155"/>
  <c r="O155"/>
  <c r="Q155"/>
  <c r="S155"/>
  <c r="U155"/>
  <c r="W155"/>
  <c r="Y155"/>
  <c r="AA155"/>
  <c r="AC155"/>
  <c r="AE155"/>
  <c r="F155"/>
  <c r="H155"/>
  <c r="J155"/>
  <c r="L155"/>
  <c r="N155"/>
  <c r="P155"/>
  <c r="R155"/>
  <c r="T155"/>
  <c r="V155"/>
  <c r="X155"/>
  <c r="Z155"/>
  <c r="AB155"/>
  <c r="F305" i="112" l="1"/>
  <c r="I305"/>
  <c r="G340"/>
  <c r="D186" i="113"/>
  <c r="S39" i="2" s="1"/>
  <c r="V39" s="1"/>
  <c r="G109" i="113"/>
  <c r="F382"/>
  <c r="I382"/>
  <c r="F340" i="112"/>
  <c r="F109" i="113"/>
  <c r="H382"/>
  <c r="G389"/>
  <c r="F16" i="104"/>
  <c r="G49" i="73"/>
  <c r="F23" i="104"/>
  <c r="G53" i="73"/>
  <c r="F34" i="104"/>
  <c r="G29" i="73"/>
  <c r="F19" i="104"/>
  <c r="G43" i="73"/>
  <c r="F17" i="104"/>
  <c r="G42" i="73"/>
  <c r="F18" i="104"/>
  <c r="G35" i="73"/>
  <c r="F48" i="104"/>
  <c r="G16" i="73"/>
  <c r="G305" i="112"/>
  <c r="E389" i="113"/>
  <c r="S68" i="2" s="1"/>
  <c r="V68" s="1"/>
  <c r="D326" i="114"/>
  <c r="F326"/>
  <c r="C379"/>
  <c r="E284" i="112"/>
  <c r="N53" i="2" s="1"/>
  <c r="Q53" s="1"/>
  <c r="D319" i="113"/>
  <c r="S58" i="2" s="1"/>
  <c r="V58" s="1"/>
  <c r="C379" i="112"/>
  <c r="C380" i="114"/>
  <c r="I382" s="1"/>
  <c r="C380" i="112"/>
  <c r="S40" i="2"/>
  <c r="V40" s="1"/>
  <c r="G116" i="114"/>
  <c r="J11" i="113"/>
  <c r="I11"/>
  <c r="E375" i="114"/>
  <c r="F375"/>
  <c r="F116"/>
  <c r="E375" i="113"/>
  <c r="S66" i="2" s="1"/>
  <c r="V66" s="1"/>
  <c r="F375" i="113"/>
  <c r="N35" i="2"/>
  <c r="Q35" s="1"/>
  <c r="N33"/>
  <c r="Q33" s="1"/>
  <c r="F375" i="112"/>
  <c r="G375"/>
  <c r="N56" i="2"/>
  <c r="Q56" s="1"/>
  <c r="N54"/>
  <c r="Q54" s="1"/>
  <c r="N32"/>
  <c r="Q32" s="1"/>
  <c r="N34"/>
  <c r="Q34" s="1"/>
  <c r="N61"/>
  <c r="Q61" s="1"/>
  <c r="N42"/>
  <c r="Q42" s="1"/>
  <c r="G32" i="73" s="1"/>
  <c r="U83" i="110"/>
  <c r="S84"/>
  <c r="R87"/>
  <c r="D130" i="114"/>
  <c r="E130"/>
  <c r="F130"/>
  <c r="D242"/>
  <c r="E242"/>
  <c r="D284"/>
  <c r="E284"/>
  <c r="H305"/>
  <c r="F305"/>
  <c r="D305"/>
  <c r="G305"/>
  <c r="E305"/>
  <c r="E340"/>
  <c r="D340"/>
  <c r="F340"/>
  <c r="E32"/>
  <c r="D32"/>
  <c r="E46"/>
  <c r="D46"/>
  <c r="E60"/>
  <c r="D60"/>
  <c r="G102"/>
  <c r="E102"/>
  <c r="F102"/>
  <c r="D102"/>
  <c r="G214"/>
  <c r="E214"/>
  <c r="F214"/>
  <c r="E109"/>
  <c r="F109"/>
  <c r="G109"/>
  <c r="E221"/>
  <c r="F221"/>
  <c r="E179"/>
  <c r="F179"/>
  <c r="D179"/>
  <c r="E319"/>
  <c r="D319"/>
  <c r="D333"/>
  <c r="E333"/>
  <c r="E165"/>
  <c r="F165"/>
  <c r="E18"/>
  <c r="D18"/>
  <c r="F172"/>
  <c r="D172"/>
  <c r="E172"/>
  <c r="D186"/>
  <c r="E186"/>
  <c r="E193"/>
  <c r="D193"/>
  <c r="F347"/>
  <c r="D347"/>
  <c r="G347"/>
  <c r="E347"/>
  <c r="F361"/>
  <c r="D361"/>
  <c r="G361"/>
  <c r="E361"/>
  <c r="F368"/>
  <c r="G368"/>
  <c r="E368"/>
  <c r="F354"/>
  <c r="D354"/>
  <c r="G354"/>
  <c r="E354"/>
  <c r="E25"/>
  <c r="D25"/>
  <c r="E39"/>
  <c r="D39"/>
  <c r="E53"/>
  <c r="D53"/>
  <c r="E67"/>
  <c r="D67"/>
  <c r="I389"/>
  <c r="G389"/>
  <c r="E389"/>
  <c r="J389"/>
  <c r="H389"/>
  <c r="F389"/>
  <c r="E284" i="113"/>
  <c r="D284"/>
  <c r="E165"/>
  <c r="S36" i="2" s="1"/>
  <c r="V36" s="1"/>
  <c r="F165" i="113"/>
  <c r="D242"/>
  <c r="E242"/>
  <c r="F214"/>
  <c r="G214"/>
  <c r="E214"/>
  <c r="S43" i="2" s="1"/>
  <c r="V43" s="1"/>
  <c r="E32" i="113"/>
  <c r="D32"/>
  <c r="E46"/>
  <c r="D46"/>
  <c r="G361"/>
  <c r="E361"/>
  <c r="F361"/>
  <c r="D361"/>
  <c r="G368"/>
  <c r="F368"/>
  <c r="E368"/>
  <c r="S65" i="2" s="1"/>
  <c r="V65" s="1"/>
  <c r="F116" i="113"/>
  <c r="G116"/>
  <c r="E116"/>
  <c r="S29" i="2" s="1"/>
  <c r="V29" s="1"/>
  <c r="F130" i="113"/>
  <c r="D130"/>
  <c r="E130"/>
  <c r="F221"/>
  <c r="E221"/>
  <c r="S44" i="2" s="1"/>
  <c r="V44" s="1"/>
  <c r="C58" i="113"/>
  <c r="E326"/>
  <c r="D326"/>
  <c r="F326"/>
  <c r="E291"/>
  <c r="D291"/>
  <c r="E333"/>
  <c r="D333"/>
  <c r="E18"/>
  <c r="D18"/>
  <c r="F172"/>
  <c r="D172"/>
  <c r="E172"/>
  <c r="G305"/>
  <c r="E305"/>
  <c r="F305"/>
  <c r="H305"/>
  <c r="D305"/>
  <c r="E340"/>
  <c r="D340"/>
  <c r="F340"/>
  <c r="E179"/>
  <c r="F179"/>
  <c r="D179"/>
  <c r="G347"/>
  <c r="E347"/>
  <c r="F347"/>
  <c r="D347"/>
  <c r="E25"/>
  <c r="D25"/>
  <c r="E39"/>
  <c r="D39"/>
  <c r="E53"/>
  <c r="D53"/>
  <c r="E67"/>
  <c r="D67"/>
  <c r="G102"/>
  <c r="E102"/>
  <c r="F102"/>
  <c r="D102"/>
  <c r="G354"/>
  <c r="E354"/>
  <c r="F354"/>
  <c r="D354"/>
  <c r="C57"/>
  <c r="F109" i="112"/>
  <c r="H109"/>
  <c r="G109"/>
  <c r="E242"/>
  <c r="F242"/>
  <c r="G326"/>
  <c r="E326"/>
  <c r="F326"/>
  <c r="G354"/>
  <c r="E354"/>
  <c r="H354"/>
  <c r="F354"/>
  <c r="H368"/>
  <c r="F368"/>
  <c r="G368"/>
  <c r="E333"/>
  <c r="F333"/>
  <c r="G165"/>
  <c r="F165"/>
  <c r="E25"/>
  <c r="F25"/>
  <c r="E39"/>
  <c r="F39"/>
  <c r="E53"/>
  <c r="F53"/>
  <c r="E67"/>
  <c r="F67"/>
  <c r="G102"/>
  <c r="E102"/>
  <c r="H102"/>
  <c r="F102"/>
  <c r="F193"/>
  <c r="E193"/>
  <c r="F319"/>
  <c r="E319"/>
  <c r="G361"/>
  <c r="E361"/>
  <c r="H361"/>
  <c r="F361"/>
  <c r="G347"/>
  <c r="E347"/>
  <c r="H347"/>
  <c r="F347"/>
  <c r="F221"/>
  <c r="G221"/>
  <c r="F130"/>
  <c r="E130"/>
  <c r="G130"/>
  <c r="E18"/>
  <c r="F18"/>
  <c r="E32"/>
  <c r="F32"/>
  <c r="E46"/>
  <c r="F46"/>
  <c r="E60"/>
  <c r="F60"/>
  <c r="G179"/>
  <c r="E179"/>
  <c r="F179"/>
  <c r="F172"/>
  <c r="G172"/>
  <c r="E172"/>
  <c r="E186"/>
  <c r="F186"/>
  <c r="H116"/>
  <c r="G116"/>
  <c r="F116"/>
  <c r="H214"/>
  <c r="F214"/>
  <c r="G214"/>
  <c r="K382"/>
  <c r="J389"/>
  <c r="H389"/>
  <c r="F389"/>
  <c r="K389"/>
  <c r="I389"/>
  <c r="G389"/>
  <c r="E389" i="1"/>
  <c r="I68" i="2" s="1"/>
  <c r="L68" s="1"/>
  <c r="H389" i="1"/>
  <c r="I389"/>
  <c r="G389"/>
  <c r="J389"/>
  <c r="F389"/>
  <c r="C380"/>
  <c r="C379"/>
  <c r="C156"/>
  <c r="E158" s="1"/>
  <c r="I35" i="2" s="1"/>
  <c r="L35" s="1"/>
  <c r="C163" i="1"/>
  <c r="C162"/>
  <c r="C155"/>
  <c r="V50" i="104"/>
  <c r="D57"/>
  <c r="D56"/>
  <c r="D55"/>
  <c r="D54"/>
  <c r="D53"/>
  <c r="D52"/>
  <c r="D51"/>
  <c r="D49"/>
  <c r="D47"/>
  <c r="D46"/>
  <c r="D45"/>
  <c r="D44"/>
  <c r="D43"/>
  <c r="D42"/>
  <c r="D41"/>
  <c r="D40"/>
  <c r="D39"/>
  <c r="D38"/>
  <c r="D37"/>
  <c r="D36"/>
  <c r="D35"/>
  <c r="D34"/>
  <c r="D32"/>
  <c r="D31"/>
  <c r="D30"/>
  <c r="D26"/>
  <c r="D24"/>
  <c r="D23"/>
  <c r="D22"/>
  <c r="D21"/>
  <c r="D20"/>
  <c r="D19"/>
  <c r="D18"/>
  <c r="D17"/>
  <c r="D16"/>
  <c r="D15"/>
  <c r="D14"/>
  <c r="D13"/>
  <c r="D12"/>
  <c r="D11"/>
  <c r="D10"/>
  <c r="D9"/>
  <c r="D8"/>
  <c r="D25"/>
  <c r="D47" i="2"/>
  <c r="D46"/>
  <c r="D45"/>
  <c r="D44"/>
  <c r="D43"/>
  <c r="D42"/>
  <c r="D41"/>
  <c r="D40"/>
  <c r="D39"/>
  <c r="D65"/>
  <c r="D38"/>
  <c r="D37"/>
  <c r="D33"/>
  <c r="D32"/>
  <c r="D31"/>
  <c r="D30"/>
  <c r="D29"/>
  <c r="D28"/>
  <c r="D27"/>
  <c r="D26"/>
  <c r="D25"/>
  <c r="D24"/>
  <c r="D23"/>
  <c r="D22"/>
  <c r="D20"/>
  <c r="D19"/>
  <c r="D18"/>
  <c r="D17"/>
  <c r="D16"/>
  <c r="D15"/>
  <c r="I82"/>
  <c r="R82"/>
  <c r="W82"/>
  <c r="I75" i="3"/>
  <c r="H75"/>
  <c r="H70"/>
  <c r="D70" i="42"/>
  <c r="Y76"/>
  <c r="Z76"/>
  <c r="AA76"/>
  <c r="AB76"/>
  <c r="AC76"/>
  <c r="AD76"/>
  <c r="AE76"/>
  <c r="AF76"/>
  <c r="AG76"/>
  <c r="AH76"/>
  <c r="AI76"/>
  <c r="AJ76"/>
  <c r="AK76"/>
  <c r="AL76"/>
  <c r="O76"/>
  <c r="P76"/>
  <c r="Q76"/>
  <c r="R76"/>
  <c r="S76"/>
  <c r="T76"/>
  <c r="U76"/>
  <c r="V76"/>
  <c r="W76"/>
  <c r="X76"/>
  <c r="K76"/>
  <c r="L76"/>
  <c r="M76"/>
  <c r="N76"/>
  <c r="J76"/>
  <c r="K74"/>
  <c r="L74"/>
  <c r="M74"/>
  <c r="N74"/>
  <c r="O74"/>
  <c r="P74"/>
  <c r="J74"/>
  <c r="D74" i="1"/>
  <c r="D81"/>
  <c r="D88"/>
  <c r="D95"/>
  <c r="D109"/>
  <c r="D116"/>
  <c r="D123"/>
  <c r="D137"/>
  <c r="D144"/>
  <c r="D151"/>
  <c r="D207"/>
  <c r="D214"/>
  <c r="D221"/>
  <c r="D228"/>
  <c r="D235"/>
  <c r="D248"/>
  <c r="D255"/>
  <c r="D262"/>
  <c r="D269"/>
  <c r="D312"/>
  <c r="M69" i="78"/>
  <c r="D70" i="11"/>
  <c r="M70"/>
  <c r="M71"/>
  <c r="M72"/>
  <c r="M69"/>
  <c r="D70" i="12"/>
  <c r="M70"/>
  <c r="M71"/>
  <c r="M69"/>
  <c r="I70" i="103"/>
  <c r="I67"/>
  <c r="K67"/>
  <c r="J67"/>
  <c r="H73" i="102"/>
  <c r="H72" i="98"/>
  <c r="C336" i="1"/>
  <c r="D336" s="1"/>
  <c r="J74" i="37"/>
  <c r="K74"/>
  <c r="L74"/>
  <c r="M74"/>
  <c r="N74"/>
  <c r="O74"/>
  <c r="P74"/>
  <c r="Q74"/>
  <c r="R74"/>
  <c r="S74"/>
  <c r="T74"/>
  <c r="U74"/>
  <c r="V74"/>
  <c r="W74"/>
  <c r="X74"/>
  <c r="Y74"/>
  <c r="Z74"/>
  <c r="AA74"/>
  <c r="AB74"/>
  <c r="AC74"/>
  <c r="AD74"/>
  <c r="AE74"/>
  <c r="AF74"/>
  <c r="AG74"/>
  <c r="AH74"/>
  <c r="AI74"/>
  <c r="AJ74"/>
  <c r="AK74"/>
  <c r="AL74"/>
  <c r="AM74"/>
  <c r="AN74"/>
  <c r="AO74"/>
  <c r="O67"/>
  <c r="N67"/>
  <c r="K67"/>
  <c r="H67"/>
  <c r="I67"/>
  <c r="J60" i="95"/>
  <c r="W77"/>
  <c r="O77"/>
  <c r="O76"/>
  <c r="O75"/>
  <c r="O74"/>
  <c r="O73"/>
  <c r="O72"/>
  <c r="O71"/>
  <c r="O70"/>
  <c r="O69"/>
  <c r="O79" s="1"/>
  <c r="Y67"/>
  <c r="Y66"/>
  <c r="Y65"/>
  <c r="Y64"/>
  <c r="Y63"/>
  <c r="Y62"/>
  <c r="Y61"/>
  <c r="Y60"/>
  <c r="P60"/>
  <c r="K60" s="1"/>
  <c r="L54"/>
  <c r="V41"/>
  <c r="D70" i="94"/>
  <c r="AK75"/>
  <c r="AL75"/>
  <c r="AM75"/>
  <c r="AN75"/>
  <c r="AO75"/>
  <c r="AP75"/>
  <c r="AQ75"/>
  <c r="AN74"/>
  <c r="AO74"/>
  <c r="AP74"/>
  <c r="AQ74"/>
  <c r="AJ129"/>
  <c r="AK129"/>
  <c r="AL129"/>
  <c r="AM129"/>
  <c r="AN129"/>
  <c r="AO129"/>
  <c r="AJ74"/>
  <c r="AK74"/>
  <c r="AL74"/>
  <c r="AM74"/>
  <c r="AN123"/>
  <c r="AO123"/>
  <c r="AN122"/>
  <c r="AJ120"/>
  <c r="AK120"/>
  <c r="AL120"/>
  <c r="AM120"/>
  <c r="AJ121"/>
  <c r="AK121"/>
  <c r="AL121"/>
  <c r="AM121"/>
  <c r="AJ122"/>
  <c r="AK122"/>
  <c r="AL122"/>
  <c r="AM122"/>
  <c r="AJ123"/>
  <c r="AK123"/>
  <c r="AL123"/>
  <c r="AM123"/>
  <c r="AH75"/>
  <c r="AI75"/>
  <c r="AJ75"/>
  <c r="AH74"/>
  <c r="AI74"/>
  <c r="M129"/>
  <c r="L129"/>
  <c r="AI119"/>
  <c r="AH119"/>
  <c r="AG119"/>
  <c r="AF119"/>
  <c r="AE119"/>
  <c r="AD119"/>
  <c r="AC119"/>
  <c r="AB119"/>
  <c r="AA119"/>
  <c r="Z119"/>
  <c r="Y119"/>
  <c r="X119"/>
  <c r="W119"/>
  <c r="V119"/>
  <c r="U119"/>
  <c r="T119"/>
  <c r="S119"/>
  <c r="R119"/>
  <c r="Q119"/>
  <c r="P119"/>
  <c r="O119"/>
  <c r="N119"/>
  <c r="M119"/>
  <c r="L119"/>
  <c r="O107"/>
  <c r="N107"/>
  <c r="M107"/>
  <c r="M93"/>
  <c r="K93"/>
  <c r="L92"/>
  <c r="K92"/>
  <c r="K88"/>
  <c r="N85"/>
  <c r="N93" s="1"/>
  <c r="M85"/>
  <c r="L85"/>
  <c r="L93" s="1"/>
  <c r="M74"/>
  <c r="L74"/>
  <c r="Z73"/>
  <c r="AA73" s="1"/>
  <c r="Y73"/>
  <c r="X73"/>
  <c r="P73"/>
  <c r="Q73" s="1"/>
  <c r="O73"/>
  <c r="N73"/>
  <c r="M73"/>
  <c r="Z72"/>
  <c r="Y72"/>
  <c r="X72"/>
  <c r="W72"/>
  <c r="O72"/>
  <c r="N72"/>
  <c r="M72"/>
  <c r="M75" s="1"/>
  <c r="L72"/>
  <c r="L75" s="1"/>
  <c r="AQ78" i="92"/>
  <c r="AO78"/>
  <c r="AP78"/>
  <c r="D70" i="14"/>
  <c r="AJ84" i="53"/>
  <c r="AI84"/>
  <c r="AH84"/>
  <c r="AG84"/>
  <c r="AF84"/>
  <c r="AE84"/>
  <c r="AD84"/>
  <c r="AC84"/>
  <c r="AB84"/>
  <c r="AA84"/>
  <c r="Z84"/>
  <c r="Y84"/>
  <c r="X84"/>
  <c r="J84"/>
  <c r="I84"/>
  <c r="M83"/>
  <c r="N83" s="1"/>
  <c r="O83" s="1"/>
  <c r="P83" s="1"/>
  <c r="Q83" s="1"/>
  <c r="R83" s="1"/>
  <c r="S83" s="1"/>
  <c r="T83" s="1"/>
  <c r="U83" s="1"/>
  <c r="V83" s="1"/>
  <c r="W83" s="1"/>
  <c r="X83" s="1"/>
  <c r="Y83" s="1"/>
  <c r="Z83" s="1"/>
  <c r="AA83" s="1"/>
  <c r="AB83" s="1"/>
  <c r="AC83" s="1"/>
  <c r="AD83" s="1"/>
  <c r="AE83" s="1"/>
  <c r="AF83" s="1"/>
  <c r="AG83" s="1"/>
  <c r="AH83" s="1"/>
  <c r="AI83" s="1"/>
  <c r="AJ83" s="1"/>
  <c r="M82"/>
  <c r="N82" s="1"/>
  <c r="O82" s="1"/>
  <c r="P82" s="1"/>
  <c r="Q82" s="1"/>
  <c r="R82" s="1"/>
  <c r="S82" s="1"/>
  <c r="T82" s="1"/>
  <c r="U82" s="1"/>
  <c r="V82" s="1"/>
  <c r="W82" s="1"/>
  <c r="X82" s="1"/>
  <c r="Y82" s="1"/>
  <c r="Z82" s="1"/>
  <c r="AA82" s="1"/>
  <c r="AB82" s="1"/>
  <c r="AC82" s="1"/>
  <c r="AD82" s="1"/>
  <c r="AE82" s="1"/>
  <c r="AF82" s="1"/>
  <c r="AG82" s="1"/>
  <c r="AH82" s="1"/>
  <c r="AI82" s="1"/>
  <c r="AJ82" s="1"/>
  <c r="X81"/>
  <c r="Y81" s="1"/>
  <c r="Z81" s="1"/>
  <c r="AA81" s="1"/>
  <c r="AB81" s="1"/>
  <c r="AC81" s="1"/>
  <c r="AD81" s="1"/>
  <c r="AE81" s="1"/>
  <c r="AF81" s="1"/>
  <c r="AG81" s="1"/>
  <c r="J81"/>
  <c r="K81" s="1"/>
  <c r="L81" s="1"/>
  <c r="M81" s="1"/>
  <c r="N81" s="1"/>
  <c r="O81" s="1"/>
  <c r="P81" s="1"/>
  <c r="Q81" s="1"/>
  <c r="R81" s="1"/>
  <c r="S81" s="1"/>
  <c r="T81" s="1"/>
  <c r="U81" s="1"/>
  <c r="V81" s="1"/>
  <c r="W81" s="1"/>
  <c r="K80"/>
  <c r="L80" s="1"/>
  <c r="M80" s="1"/>
  <c r="N80" s="1"/>
  <c r="O80" s="1"/>
  <c r="P80" s="1"/>
  <c r="Q80" s="1"/>
  <c r="R80" s="1"/>
  <c r="S80" s="1"/>
  <c r="T80" s="1"/>
  <c r="U80" s="1"/>
  <c r="V80" s="1"/>
  <c r="W80" s="1"/>
  <c r="W84" s="1"/>
  <c r="J80"/>
  <c r="K74" i="87"/>
  <c r="H11" i="113" l="1"/>
  <c r="F54" i="104"/>
  <c r="G33" i="73"/>
  <c r="F25" i="104"/>
  <c r="G44" i="73"/>
  <c r="F49" i="104"/>
  <c r="G12" i="73"/>
  <c r="F28" i="104"/>
  <c r="V28" s="1"/>
  <c r="G36" i="73"/>
  <c r="F27" i="104"/>
  <c r="R27" s="1"/>
  <c r="V27" s="1"/>
  <c r="G46" i="73"/>
  <c r="F47" i="104"/>
  <c r="G24" i="73"/>
  <c r="F26" i="104"/>
  <c r="G38" i="73"/>
  <c r="F46" i="104"/>
  <c r="G30" i="73"/>
  <c r="N15" i="2"/>
  <c r="N37"/>
  <c r="Q37" s="1"/>
  <c r="S63"/>
  <c r="V63" s="1"/>
  <c r="S27"/>
  <c r="V27" s="1"/>
  <c r="S62"/>
  <c r="V62" s="1"/>
  <c r="S38"/>
  <c r="V38" s="1"/>
  <c r="S64"/>
  <c r="V64" s="1"/>
  <c r="F35" i="104"/>
  <c r="H35" s="1"/>
  <c r="L60" i="95"/>
  <c r="H382" i="114"/>
  <c r="H11" s="1"/>
  <c r="E382"/>
  <c r="F382"/>
  <c r="J382"/>
  <c r="J11" s="1"/>
  <c r="G382"/>
  <c r="G382" i="112"/>
  <c r="H382"/>
  <c r="K11"/>
  <c r="I382"/>
  <c r="I11" s="1"/>
  <c r="F382"/>
  <c r="J382"/>
  <c r="J11" s="1"/>
  <c r="Q15" i="2"/>
  <c r="S61"/>
  <c r="V61" s="1"/>
  <c r="S56"/>
  <c r="V56" s="1"/>
  <c r="S37"/>
  <c r="V37" s="1"/>
  <c r="U38" s="1"/>
  <c r="S60"/>
  <c r="V60" s="1"/>
  <c r="S54"/>
  <c r="V54" s="1"/>
  <c r="S53"/>
  <c r="V53" s="1"/>
  <c r="N66"/>
  <c r="Q66" s="1"/>
  <c r="N39"/>
  <c r="Q39" s="1"/>
  <c r="N21"/>
  <c r="Q21" s="1"/>
  <c r="N19"/>
  <c r="Q19" s="1"/>
  <c r="N17"/>
  <c r="Q17" s="1"/>
  <c r="N58"/>
  <c r="Q58" s="1"/>
  <c r="G11" i="73" s="1"/>
  <c r="N40" i="2"/>
  <c r="Q40" s="1"/>
  <c r="N59"/>
  <c r="Q59" s="1"/>
  <c r="S31"/>
  <c r="V31" s="1"/>
  <c r="N68"/>
  <c r="Q68" s="1"/>
  <c r="S15"/>
  <c r="V15" s="1"/>
  <c r="I11" i="114"/>
  <c r="S22" i="2"/>
  <c r="V22" s="1"/>
  <c r="S20"/>
  <c r="V20" s="1"/>
  <c r="S18"/>
  <c r="V18" s="1"/>
  <c r="S16"/>
  <c r="V16" s="1"/>
  <c r="R68"/>
  <c r="T81" s="1"/>
  <c r="S59"/>
  <c r="V59" s="1"/>
  <c r="S19"/>
  <c r="V19" s="1"/>
  <c r="S17"/>
  <c r="V17" s="1"/>
  <c r="S47"/>
  <c r="V47" s="1"/>
  <c r="N29"/>
  <c r="Q29" s="1"/>
  <c r="N43"/>
  <c r="Q43" s="1"/>
  <c r="N65"/>
  <c r="Q65" s="1"/>
  <c r="N38"/>
  <c r="N31"/>
  <c r="Q31" s="1"/>
  <c r="N22"/>
  <c r="Q22" s="1"/>
  <c r="N20"/>
  <c r="Q20" s="1"/>
  <c r="N18"/>
  <c r="Q18" s="1"/>
  <c r="N16"/>
  <c r="Q16" s="1"/>
  <c r="N60"/>
  <c r="Q60" s="1"/>
  <c r="N63"/>
  <c r="Q63" s="1"/>
  <c r="N47"/>
  <c r="Q47" s="1"/>
  <c r="N44"/>
  <c r="Q44" s="1"/>
  <c r="N36"/>
  <c r="N28"/>
  <c r="Q28" s="1"/>
  <c r="N62"/>
  <c r="Q62" s="1"/>
  <c r="G17" i="73" s="1"/>
  <c r="N64" i="2"/>
  <c r="Q64" s="1"/>
  <c r="N27"/>
  <c r="Q27" s="1"/>
  <c r="T84" i="110"/>
  <c r="S87"/>
  <c r="V83"/>
  <c r="E60" i="113"/>
  <c r="D60"/>
  <c r="E382" i="1"/>
  <c r="I67" i="2" s="1"/>
  <c r="L67" s="1"/>
  <c r="J382" i="1"/>
  <c r="H382"/>
  <c r="F382"/>
  <c r="I382"/>
  <c r="G382"/>
  <c r="E165"/>
  <c r="I36" i="2" s="1"/>
  <c r="L36" s="1"/>
  <c r="F165" i="1"/>
  <c r="W41" i="95"/>
  <c r="X71"/>
  <c r="X72"/>
  <c r="X73"/>
  <c r="X74"/>
  <c r="X75"/>
  <c r="Z77"/>
  <c r="J66" s="1"/>
  <c r="W79"/>
  <c r="R73" i="94"/>
  <c r="AH120"/>
  <c r="AF120"/>
  <c r="AD120"/>
  <c r="AB120"/>
  <c r="Z120"/>
  <c r="X120"/>
  <c r="V120"/>
  <c r="T120"/>
  <c r="R120"/>
  <c r="P120"/>
  <c r="N120"/>
  <c r="N129" s="1"/>
  <c r="N74" s="1"/>
  <c r="AI120"/>
  <c r="AG120"/>
  <c r="AE120"/>
  <c r="AC120"/>
  <c r="AA120"/>
  <c r="Y120"/>
  <c r="W120"/>
  <c r="U120"/>
  <c r="S120"/>
  <c r="Q120"/>
  <c r="O120"/>
  <c r="O129" s="1"/>
  <c r="O74" s="1"/>
  <c r="AH127"/>
  <c r="AF127"/>
  <c r="AD127"/>
  <c r="AB127"/>
  <c r="Z127"/>
  <c r="X127"/>
  <c r="V127"/>
  <c r="AI126"/>
  <c r="AG126"/>
  <c r="AE126"/>
  <c r="AC126"/>
  <c r="AA126"/>
  <c r="Y126"/>
  <c r="W126"/>
  <c r="U126"/>
  <c r="AI125"/>
  <c r="AG125"/>
  <c r="AE125"/>
  <c r="AC125"/>
  <c r="AA125"/>
  <c r="Y125"/>
  <c r="W125"/>
  <c r="U125"/>
  <c r="S125"/>
  <c r="AH124"/>
  <c r="AF124"/>
  <c r="AD124"/>
  <c r="AB124"/>
  <c r="Z124"/>
  <c r="X124"/>
  <c r="V124"/>
  <c r="T124"/>
  <c r="R124"/>
  <c r="AH123"/>
  <c r="AF123"/>
  <c r="AD123"/>
  <c r="AB123"/>
  <c r="Z123"/>
  <c r="X123"/>
  <c r="V123"/>
  <c r="T123"/>
  <c r="R123"/>
  <c r="AI122"/>
  <c r="AG122"/>
  <c r="AE122"/>
  <c r="AC122"/>
  <c r="AA122"/>
  <c r="Y122"/>
  <c r="W122"/>
  <c r="U122"/>
  <c r="S122"/>
  <c r="Q122"/>
  <c r="AI121"/>
  <c r="AG121"/>
  <c r="AE121"/>
  <c r="AC121"/>
  <c r="AA121"/>
  <c r="Y121"/>
  <c r="W121"/>
  <c r="U121"/>
  <c r="S121"/>
  <c r="Q121"/>
  <c r="O121"/>
  <c r="AI127"/>
  <c r="AG127"/>
  <c r="AE127"/>
  <c r="AC127"/>
  <c r="AA127"/>
  <c r="Y127"/>
  <c r="W127"/>
  <c r="U127"/>
  <c r="AH126"/>
  <c r="AF126"/>
  <c r="AD126"/>
  <c r="AB126"/>
  <c r="Z126"/>
  <c r="X126"/>
  <c r="V126"/>
  <c r="T126"/>
  <c r="AH125"/>
  <c r="AF125"/>
  <c r="AD125"/>
  <c r="AB125"/>
  <c r="Z125"/>
  <c r="X125"/>
  <c r="V125"/>
  <c r="T125"/>
  <c r="AI124"/>
  <c r="AG124"/>
  <c r="AE124"/>
  <c r="AC124"/>
  <c r="AA124"/>
  <c r="Y124"/>
  <c r="W124"/>
  <c r="U124"/>
  <c r="S124"/>
  <c r="AI123"/>
  <c r="AG123"/>
  <c r="AE123"/>
  <c r="AC123"/>
  <c r="AA123"/>
  <c r="Y123"/>
  <c r="W123"/>
  <c r="U123"/>
  <c r="S123"/>
  <c r="Q123"/>
  <c r="AH122"/>
  <c r="AF122"/>
  <c r="AD122"/>
  <c r="AB122"/>
  <c r="Z122"/>
  <c r="X122"/>
  <c r="V122"/>
  <c r="T122"/>
  <c r="R122"/>
  <c r="P122"/>
  <c r="AH121"/>
  <c r="AF121"/>
  <c r="AD121"/>
  <c r="AB121"/>
  <c r="Z121"/>
  <c r="X121"/>
  <c r="V121"/>
  <c r="T121"/>
  <c r="R121"/>
  <c r="P121"/>
  <c r="N75"/>
  <c r="AB73"/>
  <c r="O75"/>
  <c r="K84" i="53"/>
  <c r="H84" s="1"/>
  <c r="M84"/>
  <c r="O84"/>
  <c r="Q84"/>
  <c r="S84"/>
  <c r="U84"/>
  <c r="L84"/>
  <c r="N84"/>
  <c r="P84"/>
  <c r="R84"/>
  <c r="T84"/>
  <c r="V84"/>
  <c r="AA73" i="100"/>
  <c r="AB73"/>
  <c r="AC73"/>
  <c r="AD73"/>
  <c r="AE73"/>
  <c r="AF73"/>
  <c r="AG73"/>
  <c r="AH73"/>
  <c r="AI73"/>
  <c r="U68" i="2" l="1"/>
  <c r="F20" i="104"/>
  <c r="G40" i="73"/>
  <c r="F40" i="104"/>
  <c r="G50" i="73"/>
  <c r="F53" i="104"/>
  <c r="G9" i="73"/>
  <c r="F11" i="104"/>
  <c r="G41" i="73"/>
  <c r="F15" i="104"/>
  <c r="G26" i="73"/>
  <c r="F22" i="104"/>
  <c r="G52" i="73"/>
  <c r="F61" i="104"/>
  <c r="H61" s="1"/>
  <c r="T61" s="1"/>
  <c r="G27" i="73"/>
  <c r="F52" i="104"/>
  <c r="G20" i="73"/>
  <c r="F12" i="104"/>
  <c r="G28" i="73"/>
  <c r="F32" i="104"/>
  <c r="G8" i="73"/>
  <c r="F8" i="104"/>
  <c r="G39" i="73"/>
  <c r="F30" i="104"/>
  <c r="H30" s="1"/>
  <c r="G6" i="73"/>
  <c r="F57" i="104"/>
  <c r="G58" i="73"/>
  <c r="F21" i="104"/>
  <c r="G54" i="73"/>
  <c r="F37" i="104"/>
  <c r="G22" i="73"/>
  <c r="F56" i="104"/>
  <c r="G55" i="73"/>
  <c r="F9" i="104"/>
  <c r="G47" i="73"/>
  <c r="F13" i="104"/>
  <c r="G48" i="73"/>
  <c r="F24" i="104"/>
  <c r="G34" i="73"/>
  <c r="F58" i="104"/>
  <c r="G15" i="73"/>
  <c r="F36" i="104"/>
  <c r="G31" i="73"/>
  <c r="F33" i="104"/>
  <c r="G57" i="73"/>
  <c r="F10" i="104"/>
  <c r="G51" i="73"/>
  <c r="F14" i="104"/>
  <c r="G37" i="73"/>
  <c r="F59" i="104"/>
  <c r="H59" s="1"/>
  <c r="V59" s="1"/>
  <c r="G5" i="73"/>
  <c r="U61" i="2"/>
  <c r="X81"/>
  <c r="F51" i="104"/>
  <c r="P61" i="2"/>
  <c r="P80" s="1"/>
  <c r="F55" i="104"/>
  <c r="M38" i="2"/>
  <c r="Q38"/>
  <c r="G7" i="73" s="1"/>
  <c r="N67" i="2"/>
  <c r="M36"/>
  <c r="M61"/>
  <c r="J30" i="104"/>
  <c r="V30" s="1"/>
  <c r="S21" i="2"/>
  <c r="V21" s="1"/>
  <c r="U36" s="1"/>
  <c r="W83" i="110"/>
  <c r="U84"/>
  <c r="T87"/>
  <c r="K66" i="95"/>
  <c r="L66" s="1"/>
  <c r="X41"/>
  <c r="W89"/>
  <c r="W91" s="1"/>
  <c r="W81"/>
  <c r="AC73" i="94"/>
  <c r="Q129"/>
  <c r="Q74" s="1"/>
  <c r="Q75" s="1"/>
  <c r="U129"/>
  <c r="U74" s="1"/>
  <c r="Y129"/>
  <c r="Y74" s="1"/>
  <c r="Y75" s="1"/>
  <c r="AC129"/>
  <c r="AC74" s="1"/>
  <c r="AG129"/>
  <c r="AG74" s="1"/>
  <c r="AG75" s="1"/>
  <c r="R129"/>
  <c r="R74" s="1"/>
  <c r="V129"/>
  <c r="V74" s="1"/>
  <c r="V75" s="1"/>
  <c r="Z129"/>
  <c r="Z74" s="1"/>
  <c r="Z75" s="1"/>
  <c r="AD129"/>
  <c r="AD74" s="1"/>
  <c r="AH129"/>
  <c r="S73"/>
  <c r="R75"/>
  <c r="S129"/>
  <c r="S74" s="1"/>
  <c r="W129"/>
  <c r="W74" s="1"/>
  <c r="W75" s="1"/>
  <c r="AA129"/>
  <c r="AA74" s="1"/>
  <c r="AA75" s="1"/>
  <c r="AE129"/>
  <c r="AE74" s="1"/>
  <c r="AI129"/>
  <c r="P129"/>
  <c r="P74" s="1"/>
  <c r="P75" s="1"/>
  <c r="T129"/>
  <c r="T74" s="1"/>
  <c r="X129"/>
  <c r="X74" s="1"/>
  <c r="X75" s="1"/>
  <c r="AB129"/>
  <c r="AB74" s="1"/>
  <c r="AB75" s="1"/>
  <c r="AF129"/>
  <c r="AF74" s="1"/>
  <c r="P38" i="2" l="1"/>
  <c r="P77" s="1"/>
  <c r="F31" i="104"/>
  <c r="M68" i="2"/>
  <c r="N81" s="1"/>
  <c r="Q67"/>
  <c r="G10" i="73" s="1"/>
  <c r="V61" i="104"/>
  <c r="X83" i="110"/>
  <c r="V84"/>
  <c r="U87"/>
  <c r="R61" i="2"/>
  <c r="T80" s="1"/>
  <c r="X80" s="1"/>
  <c r="Y41" i="95"/>
  <c r="W95"/>
  <c r="J68" s="1"/>
  <c r="W96"/>
  <c r="S75" i="94"/>
  <c r="T73"/>
  <c r="AC75"/>
  <c r="AD73"/>
  <c r="C238" i="1"/>
  <c r="D238" s="1"/>
  <c r="AP242"/>
  <c r="AO242"/>
  <c r="AN242"/>
  <c r="AM242"/>
  <c r="AL242"/>
  <c r="AK242"/>
  <c r="AJ242"/>
  <c r="AI242"/>
  <c r="AH242"/>
  <c r="AG242"/>
  <c r="AF242"/>
  <c r="AE242"/>
  <c r="AD242"/>
  <c r="AC242"/>
  <c r="AB242"/>
  <c r="AA242"/>
  <c r="Z242"/>
  <c r="Y242"/>
  <c r="X242"/>
  <c r="W242"/>
  <c r="V242"/>
  <c r="U242"/>
  <c r="T242"/>
  <c r="S242"/>
  <c r="R242"/>
  <c r="Q242"/>
  <c r="P242"/>
  <c r="O242"/>
  <c r="N242"/>
  <c r="M242"/>
  <c r="L242"/>
  <c r="K242"/>
  <c r="J242"/>
  <c r="I242"/>
  <c r="H242"/>
  <c r="G47" i="2"/>
  <c r="C47"/>
  <c r="B47"/>
  <c r="G46"/>
  <c r="C46"/>
  <c r="B46"/>
  <c r="C147" i="1"/>
  <c r="D147" s="1"/>
  <c r="AP151"/>
  <c r="AO151"/>
  <c r="AN151"/>
  <c r="AM151"/>
  <c r="AL151"/>
  <c r="AK151"/>
  <c r="AJ151"/>
  <c r="AI151"/>
  <c r="AH151"/>
  <c r="AG151"/>
  <c r="AF151"/>
  <c r="AE151"/>
  <c r="AD151"/>
  <c r="AC151"/>
  <c r="AB151"/>
  <c r="AA151"/>
  <c r="Z151"/>
  <c r="Y151"/>
  <c r="X151"/>
  <c r="W151"/>
  <c r="V151"/>
  <c r="U151"/>
  <c r="T151"/>
  <c r="S151"/>
  <c r="R151"/>
  <c r="Q151"/>
  <c r="P151"/>
  <c r="O151"/>
  <c r="N151"/>
  <c r="M151"/>
  <c r="L151"/>
  <c r="K151"/>
  <c r="J151"/>
  <c r="I151"/>
  <c r="H151"/>
  <c r="G151"/>
  <c r="F151"/>
  <c r="G33" i="2"/>
  <c r="C33"/>
  <c r="B33"/>
  <c r="G170" i="29"/>
  <c r="G172" s="1"/>
  <c r="F170"/>
  <c r="F172" s="1"/>
  <c r="AP156"/>
  <c r="AO156"/>
  <c r="AN156"/>
  <c r="AM156"/>
  <c r="AL156"/>
  <c r="AK156"/>
  <c r="AJ156"/>
  <c r="AI156"/>
  <c r="AH156"/>
  <c r="AG156"/>
  <c r="AF156"/>
  <c r="AE156"/>
  <c r="AD156"/>
  <c r="AC156"/>
  <c r="AB156"/>
  <c r="AA156"/>
  <c r="Z156"/>
  <c r="Y156"/>
  <c r="X156"/>
  <c r="W156"/>
  <c r="V156"/>
  <c r="U156"/>
  <c r="T156"/>
  <c r="S156"/>
  <c r="R156"/>
  <c r="Q156"/>
  <c r="P156"/>
  <c r="O156"/>
  <c r="N156"/>
  <c r="M156"/>
  <c r="L156"/>
  <c r="K156"/>
  <c r="J156"/>
  <c r="I156"/>
  <c r="H156"/>
  <c r="G156"/>
  <c r="F156"/>
  <c r="F152"/>
  <c r="B148"/>
  <c r="G143"/>
  <c r="G145" s="1"/>
  <c r="F143"/>
  <c r="AP129"/>
  <c r="AO129"/>
  <c r="AN129"/>
  <c r="AM129"/>
  <c r="AL129"/>
  <c r="AK129"/>
  <c r="AJ129"/>
  <c r="AI129"/>
  <c r="AH129"/>
  <c r="AG129"/>
  <c r="AF129"/>
  <c r="AE129"/>
  <c r="AD129"/>
  <c r="AC129"/>
  <c r="AB129"/>
  <c r="AA129"/>
  <c r="Z129"/>
  <c r="Y129"/>
  <c r="X129"/>
  <c r="W129"/>
  <c r="V129"/>
  <c r="U129"/>
  <c r="T129"/>
  <c r="S129"/>
  <c r="R129"/>
  <c r="Q129"/>
  <c r="P129"/>
  <c r="O129"/>
  <c r="N129"/>
  <c r="M129"/>
  <c r="L129"/>
  <c r="K129"/>
  <c r="J129"/>
  <c r="I129"/>
  <c r="H129"/>
  <c r="G129"/>
  <c r="F129"/>
  <c r="F126"/>
  <c r="F124"/>
  <c r="B120"/>
  <c r="G115"/>
  <c r="G117" s="1"/>
  <c r="F115"/>
  <c r="F117" s="1"/>
  <c r="AP101"/>
  <c r="AO101"/>
  <c r="AN101"/>
  <c r="AM101"/>
  <c r="AL101"/>
  <c r="AK101"/>
  <c r="AJ101"/>
  <c r="AI101"/>
  <c r="AH101"/>
  <c r="AG101"/>
  <c r="AF101"/>
  <c r="AE101"/>
  <c r="AD101"/>
  <c r="AC101"/>
  <c r="AB101"/>
  <c r="AA101"/>
  <c r="Z101"/>
  <c r="Y101"/>
  <c r="X101"/>
  <c r="W101"/>
  <c r="V101"/>
  <c r="U101"/>
  <c r="T101"/>
  <c r="S101"/>
  <c r="R101"/>
  <c r="Q101"/>
  <c r="P101"/>
  <c r="O101"/>
  <c r="N101"/>
  <c r="M101"/>
  <c r="L101"/>
  <c r="K101"/>
  <c r="J101"/>
  <c r="I101"/>
  <c r="H101"/>
  <c r="G101"/>
  <c r="F101"/>
  <c r="E98"/>
  <c r="E96"/>
  <c r="B90"/>
  <c r="H63"/>
  <c r="G63"/>
  <c r="AP62"/>
  <c r="AO62"/>
  <c r="AN62"/>
  <c r="AM62"/>
  <c r="AL62"/>
  <c r="AK62"/>
  <c r="AJ62"/>
  <c r="AI62"/>
  <c r="AH62"/>
  <c r="AG62"/>
  <c r="AF62"/>
  <c r="AE62"/>
  <c r="AD62"/>
  <c r="AC62"/>
  <c r="AB62"/>
  <c r="AA62"/>
  <c r="Z62"/>
  <c r="Y62"/>
  <c r="X62"/>
  <c r="W62"/>
  <c r="V62"/>
  <c r="U62"/>
  <c r="T62"/>
  <c r="S62"/>
  <c r="R62"/>
  <c r="Q62"/>
  <c r="P62"/>
  <c r="O62"/>
  <c r="N62"/>
  <c r="M62"/>
  <c r="L62"/>
  <c r="K62"/>
  <c r="J62"/>
  <c r="I62"/>
  <c r="H62"/>
  <c r="G62"/>
  <c r="F62"/>
  <c r="B59"/>
  <c r="AP32"/>
  <c r="AO32"/>
  <c r="AN32"/>
  <c r="AM32"/>
  <c r="AL32"/>
  <c r="AK32"/>
  <c r="AJ32"/>
  <c r="AI32"/>
  <c r="AH32"/>
  <c r="AG32"/>
  <c r="AF32"/>
  <c r="AE32"/>
  <c r="AD32"/>
  <c r="AC32"/>
  <c r="AB32"/>
  <c r="AA32"/>
  <c r="Z32"/>
  <c r="Y32"/>
  <c r="X32"/>
  <c r="W32"/>
  <c r="V32"/>
  <c r="U32"/>
  <c r="T32"/>
  <c r="S32"/>
  <c r="R32"/>
  <c r="Q32"/>
  <c r="P32"/>
  <c r="O32"/>
  <c r="N32"/>
  <c r="M32"/>
  <c r="L32"/>
  <c r="K32"/>
  <c r="J32"/>
  <c r="I32"/>
  <c r="H32"/>
  <c r="G32"/>
  <c r="G69" s="1"/>
  <c r="F32"/>
  <c r="AP31"/>
  <c r="AO31"/>
  <c r="AO39" s="1"/>
  <c r="AN31"/>
  <c r="AM31"/>
  <c r="AM39" s="1"/>
  <c r="AL31"/>
  <c r="AK31"/>
  <c r="AK39" s="1"/>
  <c r="AJ31"/>
  <c r="AI31"/>
  <c r="AI39" s="1"/>
  <c r="AH31"/>
  <c r="AG31"/>
  <c r="AG39" s="1"/>
  <c r="AF31"/>
  <c r="AE31"/>
  <c r="AE39" s="1"/>
  <c r="AD31"/>
  <c r="AC31"/>
  <c r="AC39" s="1"/>
  <c r="AB31"/>
  <c r="AA31"/>
  <c r="AA39" s="1"/>
  <c r="Z31"/>
  <c r="Y31"/>
  <c r="Y39" s="1"/>
  <c r="X31"/>
  <c r="W31"/>
  <c r="W39" s="1"/>
  <c r="V31"/>
  <c r="U31"/>
  <c r="U39" s="1"/>
  <c r="T31"/>
  <c r="S31"/>
  <c r="S39" s="1"/>
  <c r="R31"/>
  <c r="Q31"/>
  <c r="Q39" s="1"/>
  <c r="P31"/>
  <c r="O31"/>
  <c r="N31"/>
  <c r="M31"/>
  <c r="L31"/>
  <c r="K31"/>
  <c r="J31"/>
  <c r="I31"/>
  <c r="H31"/>
  <c r="G31"/>
  <c r="F31"/>
  <c r="AP30"/>
  <c r="AO30"/>
  <c r="AN30"/>
  <c r="AM30"/>
  <c r="AL30"/>
  <c r="AK30"/>
  <c r="AJ30"/>
  <c r="AI30"/>
  <c r="AH30"/>
  <c r="AG30"/>
  <c r="AF30"/>
  <c r="AE30"/>
  <c r="AD30"/>
  <c r="AC30"/>
  <c r="AB30"/>
  <c r="AA30"/>
  <c r="Z30"/>
  <c r="Y30"/>
  <c r="X30"/>
  <c r="W30"/>
  <c r="V30"/>
  <c r="U30"/>
  <c r="T30"/>
  <c r="S30"/>
  <c r="R30"/>
  <c r="Q30"/>
  <c r="P30"/>
  <c r="O30"/>
  <c r="N30"/>
  <c r="M30"/>
  <c r="L30"/>
  <c r="K30"/>
  <c r="J30"/>
  <c r="I30"/>
  <c r="H30"/>
  <c r="G30"/>
  <c r="G66" s="1"/>
  <c r="F30"/>
  <c r="AP29"/>
  <c r="AO29"/>
  <c r="AO38" s="1"/>
  <c r="AN29"/>
  <c r="AM29"/>
  <c r="AM38" s="1"/>
  <c r="AL29"/>
  <c r="AK29"/>
  <c r="AK38" s="1"/>
  <c r="AJ29"/>
  <c r="AI29"/>
  <c r="AI38" s="1"/>
  <c r="AH29"/>
  <c r="AH38" s="1"/>
  <c r="AG29"/>
  <c r="AG38" s="1"/>
  <c r="AF29"/>
  <c r="AF38" s="1"/>
  <c r="AE29"/>
  <c r="AE38" s="1"/>
  <c r="AD29"/>
  <c r="AD38" s="1"/>
  <c r="AC29"/>
  <c r="AC38" s="1"/>
  <c r="AB29"/>
  <c r="AB38" s="1"/>
  <c r="AA29"/>
  <c r="AA38" s="1"/>
  <c r="Z29"/>
  <c r="Z38" s="1"/>
  <c r="Y29"/>
  <c r="Y38" s="1"/>
  <c r="X29"/>
  <c r="X38" s="1"/>
  <c r="W29"/>
  <c r="W38" s="1"/>
  <c r="V29"/>
  <c r="V38" s="1"/>
  <c r="U29"/>
  <c r="U38" s="1"/>
  <c r="T29"/>
  <c r="T38" s="1"/>
  <c r="S29"/>
  <c r="S38" s="1"/>
  <c r="R29"/>
  <c r="R38" s="1"/>
  <c r="Q29"/>
  <c r="Q38" s="1"/>
  <c r="P29"/>
  <c r="P38" s="1"/>
  <c r="O29"/>
  <c r="O38" s="1"/>
  <c r="N29"/>
  <c r="N38" s="1"/>
  <c r="M29"/>
  <c r="M38" s="1"/>
  <c r="L29"/>
  <c r="L38" s="1"/>
  <c r="K29"/>
  <c r="K38" s="1"/>
  <c r="J29"/>
  <c r="J38" s="1"/>
  <c r="I29"/>
  <c r="I38" s="1"/>
  <c r="H29"/>
  <c r="H38" s="1"/>
  <c r="G29"/>
  <c r="G38" s="1"/>
  <c r="G54" s="1"/>
  <c r="G56" s="1"/>
  <c r="F29"/>
  <c r="F65" s="1"/>
  <c r="AP27"/>
  <c r="AO27"/>
  <c r="AN27"/>
  <c r="AM27"/>
  <c r="AL27"/>
  <c r="AK27"/>
  <c r="AJ27"/>
  <c r="AI27"/>
  <c r="AH27"/>
  <c r="AG27"/>
  <c r="AF27"/>
  <c r="AE27"/>
  <c r="AD27"/>
  <c r="AC27"/>
  <c r="AB27"/>
  <c r="AA27"/>
  <c r="Z27"/>
  <c r="Y27"/>
  <c r="X27"/>
  <c r="W27"/>
  <c r="V27"/>
  <c r="U27"/>
  <c r="T27"/>
  <c r="S27"/>
  <c r="R27"/>
  <c r="Q27"/>
  <c r="P27"/>
  <c r="O27"/>
  <c r="N27"/>
  <c r="M27"/>
  <c r="L27"/>
  <c r="K27"/>
  <c r="J27"/>
  <c r="I27"/>
  <c r="H27"/>
  <c r="G27"/>
  <c r="F27"/>
  <c r="AQ27" s="1"/>
  <c r="AP24"/>
  <c r="AO24"/>
  <c r="AN24"/>
  <c r="AM24"/>
  <c r="AL24"/>
  <c r="AK24"/>
  <c r="AJ24"/>
  <c r="AI24"/>
  <c r="AH24"/>
  <c r="AG24"/>
  <c r="AF24"/>
  <c r="AE24"/>
  <c r="AD24"/>
  <c r="AC24"/>
  <c r="AB24"/>
  <c r="AA24"/>
  <c r="Z24"/>
  <c r="Y24"/>
  <c r="X24"/>
  <c r="W24"/>
  <c r="V24"/>
  <c r="U24"/>
  <c r="T24"/>
  <c r="S24"/>
  <c r="R24"/>
  <c r="Q24"/>
  <c r="P24"/>
  <c r="O24"/>
  <c r="N24"/>
  <c r="M24"/>
  <c r="L24"/>
  <c r="K24"/>
  <c r="J24"/>
  <c r="I24"/>
  <c r="H24"/>
  <c r="G24"/>
  <c r="F24"/>
  <c r="AQ24" s="1"/>
  <c r="AP21"/>
  <c r="AO21"/>
  <c r="AN21"/>
  <c r="AM21"/>
  <c r="AL21"/>
  <c r="AK21"/>
  <c r="AJ21"/>
  <c r="AI21"/>
  <c r="AH21"/>
  <c r="AG21"/>
  <c r="AF21"/>
  <c r="AE21"/>
  <c r="AD21"/>
  <c r="AC21"/>
  <c r="AB21"/>
  <c r="AA21"/>
  <c r="Z21"/>
  <c r="Y21"/>
  <c r="X21"/>
  <c r="W21"/>
  <c r="V21"/>
  <c r="U21"/>
  <c r="T21"/>
  <c r="S21"/>
  <c r="R21"/>
  <c r="Q21"/>
  <c r="P21"/>
  <c r="O21"/>
  <c r="N21"/>
  <c r="M21"/>
  <c r="L21"/>
  <c r="K21"/>
  <c r="J21"/>
  <c r="I21"/>
  <c r="H21"/>
  <c r="G21"/>
  <c r="F21"/>
  <c r="AQ21" s="1"/>
  <c r="AP18"/>
  <c r="AO18"/>
  <c r="AN18"/>
  <c r="AM18"/>
  <c r="AL18"/>
  <c r="AK18"/>
  <c r="AJ18"/>
  <c r="AI18"/>
  <c r="AH18"/>
  <c r="AG18"/>
  <c r="AF18"/>
  <c r="AE18"/>
  <c r="AD18"/>
  <c r="AC18"/>
  <c r="AB18"/>
  <c r="AA18"/>
  <c r="Z18"/>
  <c r="Y18"/>
  <c r="X18"/>
  <c r="W18"/>
  <c r="V18"/>
  <c r="U18"/>
  <c r="T18"/>
  <c r="S18"/>
  <c r="R18"/>
  <c r="Q18"/>
  <c r="P18"/>
  <c r="O18"/>
  <c r="N18"/>
  <c r="M18"/>
  <c r="L18"/>
  <c r="K18"/>
  <c r="J18"/>
  <c r="I18"/>
  <c r="H18"/>
  <c r="G18"/>
  <c r="F18"/>
  <c r="AQ18" s="1"/>
  <c r="AP15"/>
  <c r="AP33" s="1"/>
  <c r="AO15"/>
  <c r="AO33" s="1"/>
  <c r="AN15"/>
  <c r="AN33" s="1"/>
  <c r="AM15"/>
  <c r="AM33" s="1"/>
  <c r="AL15"/>
  <c r="AL33" s="1"/>
  <c r="AK15"/>
  <c r="AK33" s="1"/>
  <c r="AJ15"/>
  <c r="AJ33" s="1"/>
  <c r="AI15"/>
  <c r="AI33" s="1"/>
  <c r="AH15"/>
  <c r="AH33" s="1"/>
  <c r="AG15"/>
  <c r="AG33" s="1"/>
  <c r="AF15"/>
  <c r="AF33" s="1"/>
  <c r="AE15"/>
  <c r="AE33" s="1"/>
  <c r="AD15"/>
  <c r="AD33" s="1"/>
  <c r="AC15"/>
  <c r="AC33" s="1"/>
  <c r="AB15"/>
  <c r="AB33" s="1"/>
  <c r="AA15"/>
  <c r="AA33" s="1"/>
  <c r="Z15"/>
  <c r="Z33" s="1"/>
  <c r="Y15"/>
  <c r="Y33" s="1"/>
  <c r="X15"/>
  <c r="X33" s="1"/>
  <c r="W15"/>
  <c r="W33" s="1"/>
  <c r="V15"/>
  <c r="V33" s="1"/>
  <c r="U15"/>
  <c r="U33" s="1"/>
  <c r="T15"/>
  <c r="T33" s="1"/>
  <c r="S15"/>
  <c r="S33" s="1"/>
  <c r="R15"/>
  <c r="R33" s="1"/>
  <c r="Q15"/>
  <c r="Q33" s="1"/>
  <c r="P15"/>
  <c r="P33" s="1"/>
  <c r="O15"/>
  <c r="O33" s="1"/>
  <c r="N15"/>
  <c r="N33" s="1"/>
  <c r="M15"/>
  <c r="M33" s="1"/>
  <c r="L15"/>
  <c r="L33" s="1"/>
  <c r="K15"/>
  <c r="K33" s="1"/>
  <c r="J15"/>
  <c r="J33" s="1"/>
  <c r="I15"/>
  <c r="I33" s="1"/>
  <c r="H15"/>
  <c r="H33" s="1"/>
  <c r="G15"/>
  <c r="G33" s="1"/>
  <c r="F15"/>
  <c r="F33" s="1"/>
  <c r="AQ33" s="1"/>
  <c r="AP12"/>
  <c r="AO12"/>
  <c r="AN12"/>
  <c r="AM12"/>
  <c r="AL12"/>
  <c r="AK12"/>
  <c r="AJ12"/>
  <c r="AI12"/>
  <c r="AH12"/>
  <c r="AG12"/>
  <c r="AF12"/>
  <c r="AE12"/>
  <c r="AD12"/>
  <c r="AC12"/>
  <c r="AB12"/>
  <c r="AA12"/>
  <c r="Z12"/>
  <c r="Y12"/>
  <c r="X12"/>
  <c r="W12"/>
  <c r="V12"/>
  <c r="U12"/>
  <c r="T12"/>
  <c r="S12"/>
  <c r="R12"/>
  <c r="Q12"/>
  <c r="P12"/>
  <c r="O12"/>
  <c r="N12"/>
  <c r="M12"/>
  <c r="L12"/>
  <c r="K12"/>
  <c r="J12"/>
  <c r="I12"/>
  <c r="H12"/>
  <c r="G12"/>
  <c r="F12"/>
  <c r="B6"/>
  <c r="F18" i="30"/>
  <c r="E18"/>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B16"/>
  <c r="AQ14"/>
  <c r="AP267" i="114" s="1"/>
  <c r="AP8" s="1"/>
  <c r="AP14" i="30"/>
  <c r="AO14"/>
  <c r="AN14"/>
  <c r="AM14"/>
  <c r="AL14"/>
  <c r="AK14"/>
  <c r="AJ14"/>
  <c r="AI14"/>
  <c r="AH14"/>
  <c r="AG14"/>
  <c r="AF14"/>
  <c r="AE14"/>
  <c r="AD14"/>
  <c r="AC14"/>
  <c r="AB14"/>
  <c r="AA14"/>
  <c r="Z14"/>
  <c r="Y14"/>
  <c r="X14"/>
  <c r="W14"/>
  <c r="V14"/>
  <c r="U14"/>
  <c r="T14"/>
  <c r="S14"/>
  <c r="R14"/>
  <c r="Q14"/>
  <c r="P14"/>
  <c r="O14"/>
  <c r="N14"/>
  <c r="M14"/>
  <c r="L14"/>
  <c r="K14"/>
  <c r="J14"/>
  <c r="I14"/>
  <c r="H14"/>
  <c r="G14"/>
  <c r="B14"/>
  <c r="AQ12"/>
  <c r="AP12"/>
  <c r="AO12"/>
  <c r="AN12"/>
  <c r="AM12"/>
  <c r="AL12"/>
  <c r="AK12"/>
  <c r="AJ12"/>
  <c r="AI12"/>
  <c r="AH12"/>
  <c r="AG12"/>
  <c r="AF12"/>
  <c r="AE12"/>
  <c r="AD12"/>
  <c r="AC12"/>
  <c r="AB12"/>
  <c r="AA12"/>
  <c r="Z12"/>
  <c r="Y12"/>
  <c r="X12"/>
  <c r="W12"/>
  <c r="V12"/>
  <c r="U12"/>
  <c r="T12"/>
  <c r="S12"/>
  <c r="R12"/>
  <c r="Q12"/>
  <c r="P12"/>
  <c r="O12"/>
  <c r="N12"/>
  <c r="M12"/>
  <c r="L12"/>
  <c r="K12"/>
  <c r="J12"/>
  <c r="I12"/>
  <c r="H12"/>
  <c r="G12"/>
  <c r="B12"/>
  <c r="AQ10"/>
  <c r="AP10"/>
  <c r="AO10"/>
  <c r="AN10"/>
  <c r="AM10"/>
  <c r="AL10"/>
  <c r="AK10"/>
  <c r="AJ10"/>
  <c r="AI10"/>
  <c r="AH10"/>
  <c r="AG10"/>
  <c r="AF10"/>
  <c r="AE10"/>
  <c r="AD10"/>
  <c r="AC10"/>
  <c r="AB10"/>
  <c r="AA10"/>
  <c r="Z10"/>
  <c r="Y10"/>
  <c r="X10"/>
  <c r="W10"/>
  <c r="V10"/>
  <c r="U10"/>
  <c r="T10"/>
  <c r="S10"/>
  <c r="R10"/>
  <c r="Q10"/>
  <c r="P10"/>
  <c r="O10"/>
  <c r="N10"/>
  <c r="M10"/>
  <c r="L10"/>
  <c r="K10"/>
  <c r="J10"/>
  <c r="I10"/>
  <c r="H10"/>
  <c r="G10"/>
  <c r="B10"/>
  <c r="AQ8"/>
  <c r="AQ18" s="1"/>
  <c r="AP8"/>
  <c r="AO8"/>
  <c r="AO18" s="1"/>
  <c r="AN8"/>
  <c r="AM8"/>
  <c r="AM18" s="1"/>
  <c r="AL8"/>
  <c r="AK8"/>
  <c r="AK18" s="1"/>
  <c r="AJ8"/>
  <c r="AI8"/>
  <c r="AI18" s="1"/>
  <c r="AH8"/>
  <c r="AG8"/>
  <c r="AG18" s="1"/>
  <c r="AF8"/>
  <c r="AE8"/>
  <c r="AE18" s="1"/>
  <c r="AD8"/>
  <c r="AC8"/>
  <c r="AC18" s="1"/>
  <c r="AB8"/>
  <c r="AA8"/>
  <c r="AA18" s="1"/>
  <c r="Z8"/>
  <c r="Y8"/>
  <c r="Y18" s="1"/>
  <c r="X8"/>
  <c r="W8"/>
  <c r="W18" s="1"/>
  <c r="V8"/>
  <c r="U8"/>
  <c r="U18" s="1"/>
  <c r="T8"/>
  <c r="S8"/>
  <c r="S18" s="1"/>
  <c r="R8"/>
  <c r="Q8"/>
  <c r="Q18" s="1"/>
  <c r="P8"/>
  <c r="O8"/>
  <c r="N8"/>
  <c r="M8"/>
  <c r="L8"/>
  <c r="K8"/>
  <c r="J8"/>
  <c r="I8"/>
  <c r="H8"/>
  <c r="G8"/>
  <c r="B8"/>
  <c r="G65" i="2"/>
  <c r="G30"/>
  <c r="T75" i="85"/>
  <c r="F60" i="104" l="1"/>
  <c r="P68" i="2"/>
  <c r="P81" s="1"/>
  <c r="G18" i="30"/>
  <c r="F246" i="114"/>
  <c r="F246" i="113"/>
  <c r="G246" i="112"/>
  <c r="K18" i="30"/>
  <c r="J246" i="114"/>
  <c r="J246" i="113"/>
  <c r="K246" i="112"/>
  <c r="O18" i="30"/>
  <c r="N246" i="114"/>
  <c r="N246" i="113"/>
  <c r="O246" i="112"/>
  <c r="G246" i="113"/>
  <c r="G246" i="114"/>
  <c r="H246" i="112"/>
  <c r="I246" i="113"/>
  <c r="J246" i="112"/>
  <c r="I246" i="114"/>
  <c r="K246"/>
  <c r="K246" i="113"/>
  <c r="L246" i="112"/>
  <c r="N246"/>
  <c r="M246" i="114"/>
  <c r="M246" i="113"/>
  <c r="F253" i="114"/>
  <c r="F253" i="113"/>
  <c r="G253" i="112"/>
  <c r="H253" i="113"/>
  <c r="I253" i="112"/>
  <c r="H253" i="114"/>
  <c r="J253"/>
  <c r="J253" i="113"/>
  <c r="K253" i="112"/>
  <c r="L253" i="113"/>
  <c r="M253" i="112"/>
  <c r="L253" i="114"/>
  <c r="N253"/>
  <c r="N253" i="113"/>
  <c r="O253" i="112"/>
  <c r="F260" i="113"/>
  <c r="F260" i="114"/>
  <c r="G260" i="112"/>
  <c r="H260" i="114"/>
  <c r="I260" i="112"/>
  <c r="H260" i="113"/>
  <c r="J260"/>
  <c r="J260" i="114"/>
  <c r="K260" i="112"/>
  <c r="L260" i="114"/>
  <c r="M260" i="112"/>
  <c r="L260" i="113"/>
  <c r="N260"/>
  <c r="N260" i="114"/>
  <c r="O260" i="112"/>
  <c r="D14" i="30"/>
  <c r="D30" s="1"/>
  <c r="F267" i="114"/>
  <c r="F267" i="113"/>
  <c r="G267" i="112"/>
  <c r="I267"/>
  <c r="H267" i="114"/>
  <c r="H267" i="113"/>
  <c r="J267" i="114"/>
  <c r="J267" i="113"/>
  <c r="K267" i="112"/>
  <c r="M267"/>
  <c r="L267" i="114"/>
  <c r="L267" i="113"/>
  <c r="N267" i="114"/>
  <c r="N267" i="113"/>
  <c r="O267" i="112"/>
  <c r="D16" i="30"/>
  <c r="D31" s="1"/>
  <c r="F274" i="114"/>
  <c r="F274" i="113"/>
  <c r="G274" i="112"/>
  <c r="H274" i="113"/>
  <c r="I274" i="112"/>
  <c r="H274" i="114"/>
  <c r="J274"/>
  <c r="J274" i="113"/>
  <c r="K274" i="112"/>
  <c r="L274" i="113"/>
  <c r="M274" i="112"/>
  <c r="L274" i="114"/>
  <c r="N274"/>
  <c r="N274" i="113"/>
  <c r="O274" i="112"/>
  <c r="I18" i="30"/>
  <c r="H246" i="114"/>
  <c r="H246" i="113"/>
  <c r="I246" i="112"/>
  <c r="M18" i="30"/>
  <c r="L246" i="114"/>
  <c r="L246" i="113"/>
  <c r="M246" i="112"/>
  <c r="G253" i="113"/>
  <c r="H253" i="112"/>
  <c r="G253" i="114"/>
  <c r="I253"/>
  <c r="I253" i="113"/>
  <c r="J253" i="112"/>
  <c r="L253"/>
  <c r="K253" i="114"/>
  <c r="K253" i="113"/>
  <c r="M253" i="114"/>
  <c r="M253" i="113"/>
  <c r="N253" i="112"/>
  <c r="G260" i="113"/>
  <c r="G260" i="114"/>
  <c r="H260" i="112"/>
  <c r="J260"/>
  <c r="I260" i="114"/>
  <c r="I260" i="113"/>
  <c r="K260" i="114"/>
  <c r="K260" i="113"/>
  <c r="L260" i="112"/>
  <c r="M260" i="113"/>
  <c r="N260" i="112"/>
  <c r="M260" i="114"/>
  <c r="H267" i="112"/>
  <c r="G267" i="114"/>
  <c r="G267" i="113"/>
  <c r="I267" i="114"/>
  <c r="I267" i="113"/>
  <c r="J267" i="112"/>
  <c r="K267" i="113"/>
  <c r="L267" i="112"/>
  <c r="K267" i="114"/>
  <c r="M267"/>
  <c r="M267" i="113"/>
  <c r="N267" i="112"/>
  <c r="G274" i="113"/>
  <c r="G274" i="114"/>
  <c r="H274" i="112"/>
  <c r="I274" i="113"/>
  <c r="J274" i="112"/>
  <c r="I274" i="114"/>
  <c r="K274"/>
  <c r="K274" i="113"/>
  <c r="L274" i="112"/>
  <c r="N274"/>
  <c r="M274" i="114"/>
  <c r="M274" i="113"/>
  <c r="D10" i="30"/>
  <c r="D28" s="1"/>
  <c r="C139" i="114"/>
  <c r="C139" i="113"/>
  <c r="C139" i="112"/>
  <c r="D230" i="114"/>
  <c r="D230" i="113"/>
  <c r="E230" i="112"/>
  <c r="C237"/>
  <c r="C237" i="114"/>
  <c r="C237" i="113"/>
  <c r="D139" i="114"/>
  <c r="D139" i="113"/>
  <c r="E139" i="112"/>
  <c r="C230"/>
  <c r="C230" i="114"/>
  <c r="C230" i="113"/>
  <c r="D237" i="114"/>
  <c r="D237" i="113"/>
  <c r="E237" i="112"/>
  <c r="W84" i="110"/>
  <c r="V87"/>
  <c r="Y83"/>
  <c r="C39" i="104"/>
  <c r="C26"/>
  <c r="C40"/>
  <c r="D139" i="1"/>
  <c r="D230"/>
  <c r="D237"/>
  <c r="Z41" i="95"/>
  <c r="K68"/>
  <c r="L68"/>
  <c r="L71" s="1"/>
  <c r="Y42" s="1"/>
  <c r="AE73" i="94"/>
  <c r="AD75"/>
  <c r="U73"/>
  <c r="U75" s="1"/>
  <c r="T75"/>
  <c r="H18" i="30"/>
  <c r="J18"/>
  <c r="L18"/>
  <c r="N18"/>
  <c r="P18"/>
  <c r="R18"/>
  <c r="T18"/>
  <c r="V18"/>
  <c r="X18"/>
  <c r="Z18"/>
  <c r="AB18"/>
  <c r="AD18"/>
  <c r="AF18"/>
  <c r="AH18"/>
  <c r="AJ18"/>
  <c r="AL18"/>
  <c r="AN18"/>
  <c r="AP18"/>
  <c r="D12"/>
  <c r="D29" s="1"/>
  <c r="C230" i="1"/>
  <c r="C139"/>
  <c r="C237"/>
  <c r="F85" i="29"/>
  <c r="AE158"/>
  <c r="AC158"/>
  <c r="AA158"/>
  <c r="Y158"/>
  <c r="W158"/>
  <c r="U158"/>
  <c r="S158"/>
  <c r="Q158"/>
  <c r="O158"/>
  <c r="M158"/>
  <c r="K158"/>
  <c r="I158"/>
  <c r="AF158"/>
  <c r="AD158"/>
  <c r="AB158"/>
  <c r="Z158"/>
  <c r="X158"/>
  <c r="V158"/>
  <c r="T158"/>
  <c r="R158"/>
  <c r="P158"/>
  <c r="N158"/>
  <c r="L158"/>
  <c r="J158"/>
  <c r="H158"/>
  <c r="AE131"/>
  <c r="AC131"/>
  <c r="AA131"/>
  <c r="Y131"/>
  <c r="W131"/>
  <c r="U131"/>
  <c r="S131"/>
  <c r="Q131"/>
  <c r="O131"/>
  <c r="M131"/>
  <c r="K131"/>
  <c r="I131"/>
  <c r="AF131"/>
  <c r="AD131"/>
  <c r="AB131"/>
  <c r="Z131"/>
  <c r="X131"/>
  <c r="V131"/>
  <c r="T131"/>
  <c r="R131"/>
  <c r="P131"/>
  <c r="N131"/>
  <c r="L131"/>
  <c r="J131"/>
  <c r="H131"/>
  <c r="F68"/>
  <c r="F39"/>
  <c r="AG160"/>
  <c r="AE160"/>
  <c r="AC160"/>
  <c r="AA160"/>
  <c r="Y160"/>
  <c r="W160"/>
  <c r="U160"/>
  <c r="S160"/>
  <c r="Q160"/>
  <c r="O160"/>
  <c r="M160"/>
  <c r="K160"/>
  <c r="AH160"/>
  <c r="AF160"/>
  <c r="AD160"/>
  <c r="AB160"/>
  <c r="Z160"/>
  <c r="X160"/>
  <c r="V160"/>
  <c r="T160"/>
  <c r="R160"/>
  <c r="P160"/>
  <c r="N160"/>
  <c r="L160"/>
  <c r="J160"/>
  <c r="AQ160" s="1"/>
  <c r="AG133"/>
  <c r="AE133"/>
  <c r="AC133"/>
  <c r="AA133"/>
  <c r="Y133"/>
  <c r="W133"/>
  <c r="U133"/>
  <c r="S133"/>
  <c r="Q133"/>
  <c r="O133"/>
  <c r="M133"/>
  <c r="K133"/>
  <c r="AH133"/>
  <c r="AF133"/>
  <c r="AD133"/>
  <c r="AB133"/>
  <c r="Z133"/>
  <c r="X133"/>
  <c r="V133"/>
  <c r="T133"/>
  <c r="R133"/>
  <c r="P133"/>
  <c r="N133"/>
  <c r="L133"/>
  <c r="J133"/>
  <c r="H39"/>
  <c r="AI162"/>
  <c r="AG162"/>
  <c r="AE162"/>
  <c r="AC162"/>
  <c r="AA162"/>
  <c r="Y162"/>
  <c r="W162"/>
  <c r="U162"/>
  <c r="S162"/>
  <c r="Q162"/>
  <c r="O162"/>
  <c r="M162"/>
  <c r="AJ162"/>
  <c r="AH162"/>
  <c r="AF162"/>
  <c r="AD162"/>
  <c r="AB162"/>
  <c r="Z162"/>
  <c r="X162"/>
  <c r="V162"/>
  <c r="T162"/>
  <c r="R162"/>
  <c r="P162"/>
  <c r="N162"/>
  <c r="L162"/>
  <c r="AI135"/>
  <c r="AG135"/>
  <c r="AE135"/>
  <c r="AC135"/>
  <c r="AA135"/>
  <c r="Y135"/>
  <c r="W135"/>
  <c r="U135"/>
  <c r="S135"/>
  <c r="Q135"/>
  <c r="O135"/>
  <c r="M135"/>
  <c r="AJ135"/>
  <c r="AH135"/>
  <c r="AF135"/>
  <c r="AD135"/>
  <c r="AB135"/>
  <c r="Z135"/>
  <c r="X135"/>
  <c r="V135"/>
  <c r="T135"/>
  <c r="R135"/>
  <c r="P135"/>
  <c r="N135"/>
  <c r="L135"/>
  <c r="AQ135" s="1"/>
  <c r="J39"/>
  <c r="AK164"/>
  <c r="AI164"/>
  <c r="AG164"/>
  <c r="AE164"/>
  <c r="AC164"/>
  <c r="AA164"/>
  <c r="Y164"/>
  <c r="W164"/>
  <c r="U164"/>
  <c r="S164"/>
  <c r="Q164"/>
  <c r="O164"/>
  <c r="AL164"/>
  <c r="AJ164"/>
  <c r="AH164"/>
  <c r="AF164"/>
  <c r="AD164"/>
  <c r="AB164"/>
  <c r="Z164"/>
  <c r="X164"/>
  <c r="V164"/>
  <c r="T164"/>
  <c r="R164"/>
  <c r="P164"/>
  <c r="N164"/>
  <c r="AQ164" s="1"/>
  <c r="AK137"/>
  <c r="AI137"/>
  <c r="AG137"/>
  <c r="AE137"/>
  <c r="AC137"/>
  <c r="AA137"/>
  <c r="Y137"/>
  <c r="W137"/>
  <c r="U137"/>
  <c r="S137"/>
  <c r="Q137"/>
  <c r="O137"/>
  <c r="AL137"/>
  <c r="AJ137"/>
  <c r="AH137"/>
  <c r="AF137"/>
  <c r="AD137"/>
  <c r="AB137"/>
  <c r="Z137"/>
  <c r="X137"/>
  <c r="V137"/>
  <c r="T137"/>
  <c r="R137"/>
  <c r="P137"/>
  <c r="N137"/>
  <c r="L39"/>
  <c r="AM166"/>
  <c r="AK166"/>
  <c r="AI166"/>
  <c r="AG166"/>
  <c r="AE166"/>
  <c r="AC166"/>
  <c r="AA166"/>
  <c r="Y166"/>
  <c r="W166"/>
  <c r="U166"/>
  <c r="S166"/>
  <c r="Q166"/>
  <c r="AN166"/>
  <c r="AL166"/>
  <c r="AJ166"/>
  <c r="AH166"/>
  <c r="AF166"/>
  <c r="AD166"/>
  <c r="AB166"/>
  <c r="Z166"/>
  <c r="X166"/>
  <c r="V166"/>
  <c r="T166"/>
  <c r="R166"/>
  <c r="P166"/>
  <c r="AN139"/>
  <c r="AL139"/>
  <c r="AJ139"/>
  <c r="AH139"/>
  <c r="AF139"/>
  <c r="AD139"/>
  <c r="AB139"/>
  <c r="Z139"/>
  <c r="X139"/>
  <c r="V139"/>
  <c r="T139"/>
  <c r="AM139"/>
  <c r="AI139"/>
  <c r="AE139"/>
  <c r="AA139"/>
  <c r="W139"/>
  <c r="S139"/>
  <c r="Q139"/>
  <c r="AK139"/>
  <c r="AG139"/>
  <c r="AC139"/>
  <c r="Y139"/>
  <c r="U139"/>
  <c r="R139"/>
  <c r="P139"/>
  <c r="AQ139" s="1"/>
  <c r="N39"/>
  <c r="AO168"/>
  <c r="AM168"/>
  <c r="AK168"/>
  <c r="AI168"/>
  <c r="AG168"/>
  <c r="AE168"/>
  <c r="AC168"/>
  <c r="AA168"/>
  <c r="Y168"/>
  <c r="W168"/>
  <c r="U168"/>
  <c r="S168"/>
  <c r="AP168"/>
  <c r="AP170" s="1"/>
  <c r="AP172" s="1"/>
  <c r="AN168"/>
  <c r="AL168"/>
  <c r="AJ168"/>
  <c r="AH168"/>
  <c r="AF168"/>
  <c r="AD168"/>
  <c r="AB168"/>
  <c r="Z168"/>
  <c r="X168"/>
  <c r="V168"/>
  <c r="T168"/>
  <c r="R168"/>
  <c r="AQ168" s="1"/>
  <c r="AP141"/>
  <c r="AP143" s="1"/>
  <c r="AP145" s="1"/>
  <c r="AN141"/>
  <c r="AL141"/>
  <c r="AJ141"/>
  <c r="AH141"/>
  <c r="AF141"/>
  <c r="AD141"/>
  <c r="AB141"/>
  <c r="Z141"/>
  <c r="X141"/>
  <c r="V141"/>
  <c r="T141"/>
  <c r="R141"/>
  <c r="AO141"/>
  <c r="AK141"/>
  <c r="AG141"/>
  <c r="AC141"/>
  <c r="Y141"/>
  <c r="U141"/>
  <c r="AM141"/>
  <c r="AI141"/>
  <c r="AE141"/>
  <c r="AA141"/>
  <c r="W141"/>
  <c r="S141"/>
  <c r="P39"/>
  <c r="AQ15"/>
  <c r="AQ28" s="1"/>
  <c r="AJ38"/>
  <c r="AL38"/>
  <c r="AN38"/>
  <c r="AP38"/>
  <c r="R39"/>
  <c r="T39"/>
  <c r="V39"/>
  <c r="X39"/>
  <c r="Z39"/>
  <c r="AB39"/>
  <c r="AD39"/>
  <c r="AF39"/>
  <c r="AH39"/>
  <c r="AJ39"/>
  <c r="AL39"/>
  <c r="AN39"/>
  <c r="AP39"/>
  <c r="F38"/>
  <c r="F54" s="1"/>
  <c r="H69"/>
  <c r="AF159"/>
  <c r="AD159"/>
  <c r="AB159"/>
  <c r="Z159"/>
  <c r="X159"/>
  <c r="V159"/>
  <c r="T159"/>
  <c r="R159"/>
  <c r="P159"/>
  <c r="N159"/>
  <c r="L159"/>
  <c r="J159"/>
  <c r="AG159"/>
  <c r="AE159"/>
  <c r="AC159"/>
  <c r="AA159"/>
  <c r="Y159"/>
  <c r="W159"/>
  <c r="U159"/>
  <c r="S159"/>
  <c r="Q159"/>
  <c r="O159"/>
  <c r="M159"/>
  <c r="K159"/>
  <c r="I159"/>
  <c r="AQ159" s="1"/>
  <c r="AF132"/>
  <c r="AD132"/>
  <c r="AB132"/>
  <c r="Z132"/>
  <c r="X132"/>
  <c r="V132"/>
  <c r="T132"/>
  <c r="R132"/>
  <c r="P132"/>
  <c r="N132"/>
  <c r="L132"/>
  <c r="J132"/>
  <c r="AG132"/>
  <c r="AE132"/>
  <c r="AC132"/>
  <c r="AA132"/>
  <c r="Y132"/>
  <c r="W132"/>
  <c r="U132"/>
  <c r="S132"/>
  <c r="Q132"/>
  <c r="O132"/>
  <c r="M132"/>
  <c r="K132"/>
  <c r="I132"/>
  <c r="G39"/>
  <c r="AH161"/>
  <c r="AF161"/>
  <c r="AD161"/>
  <c r="AB161"/>
  <c r="Z161"/>
  <c r="X161"/>
  <c r="V161"/>
  <c r="T161"/>
  <c r="R161"/>
  <c r="P161"/>
  <c r="N161"/>
  <c r="L161"/>
  <c r="AI161"/>
  <c r="AG161"/>
  <c r="AE161"/>
  <c r="AC161"/>
  <c r="AA161"/>
  <c r="Y161"/>
  <c r="W161"/>
  <c r="U161"/>
  <c r="S161"/>
  <c r="Q161"/>
  <c r="O161"/>
  <c r="M161"/>
  <c r="K161"/>
  <c r="AH134"/>
  <c r="AF134"/>
  <c r="AD134"/>
  <c r="AB134"/>
  <c r="Z134"/>
  <c r="X134"/>
  <c r="V134"/>
  <c r="T134"/>
  <c r="R134"/>
  <c r="P134"/>
  <c r="N134"/>
  <c r="L134"/>
  <c r="AI134"/>
  <c r="AG134"/>
  <c r="AE134"/>
  <c r="AC134"/>
  <c r="AA134"/>
  <c r="Y134"/>
  <c r="W134"/>
  <c r="U134"/>
  <c r="S134"/>
  <c r="Q134"/>
  <c r="O134"/>
  <c r="M134"/>
  <c r="K134"/>
  <c r="AQ134" s="1"/>
  <c r="I39"/>
  <c r="AJ163"/>
  <c r="AH163"/>
  <c r="AF163"/>
  <c r="AD163"/>
  <c r="AB163"/>
  <c r="Z163"/>
  <c r="X163"/>
  <c r="V163"/>
  <c r="T163"/>
  <c r="R163"/>
  <c r="P163"/>
  <c r="N163"/>
  <c r="AK163"/>
  <c r="AI163"/>
  <c r="AG163"/>
  <c r="AE163"/>
  <c r="AC163"/>
  <c r="AA163"/>
  <c r="Y163"/>
  <c r="W163"/>
  <c r="U163"/>
  <c r="S163"/>
  <c r="Q163"/>
  <c r="O163"/>
  <c r="M163"/>
  <c r="AQ163" s="1"/>
  <c r="AJ136"/>
  <c r="AH136"/>
  <c r="AF136"/>
  <c r="AD136"/>
  <c r="AB136"/>
  <c r="Z136"/>
  <c r="X136"/>
  <c r="V136"/>
  <c r="T136"/>
  <c r="R136"/>
  <c r="P136"/>
  <c r="N136"/>
  <c r="AK136"/>
  <c r="AI136"/>
  <c r="AG136"/>
  <c r="AE136"/>
  <c r="AC136"/>
  <c r="AA136"/>
  <c r="Y136"/>
  <c r="W136"/>
  <c r="U136"/>
  <c r="S136"/>
  <c r="Q136"/>
  <c r="O136"/>
  <c r="M136"/>
  <c r="K39"/>
  <c r="AL165"/>
  <c r="AJ165"/>
  <c r="AH165"/>
  <c r="AF165"/>
  <c r="AD165"/>
  <c r="AB165"/>
  <c r="Z165"/>
  <c r="X165"/>
  <c r="V165"/>
  <c r="T165"/>
  <c r="R165"/>
  <c r="P165"/>
  <c r="AM165"/>
  <c r="AK165"/>
  <c r="AI165"/>
  <c r="AG165"/>
  <c r="AE165"/>
  <c r="AC165"/>
  <c r="AA165"/>
  <c r="Y165"/>
  <c r="W165"/>
  <c r="U165"/>
  <c r="S165"/>
  <c r="Q165"/>
  <c r="O165"/>
  <c r="AL138"/>
  <c r="AJ138"/>
  <c r="AH138"/>
  <c r="AF138"/>
  <c r="AD138"/>
  <c r="AB138"/>
  <c r="Z138"/>
  <c r="X138"/>
  <c r="V138"/>
  <c r="T138"/>
  <c r="R138"/>
  <c r="P138"/>
  <c r="AM138"/>
  <c r="AK138"/>
  <c r="AI138"/>
  <c r="AG138"/>
  <c r="AE138"/>
  <c r="AC138"/>
  <c r="AA138"/>
  <c r="Y138"/>
  <c r="W138"/>
  <c r="U138"/>
  <c r="S138"/>
  <c r="Q138"/>
  <c r="O138"/>
  <c r="AQ138" s="1"/>
  <c r="M39"/>
  <c r="AN167"/>
  <c r="AL167"/>
  <c r="AJ167"/>
  <c r="AH167"/>
  <c r="AF167"/>
  <c r="AD167"/>
  <c r="AB167"/>
  <c r="Z167"/>
  <c r="X167"/>
  <c r="V167"/>
  <c r="T167"/>
  <c r="R167"/>
  <c r="AO167"/>
  <c r="AO170" s="1"/>
  <c r="AO172" s="1"/>
  <c r="AM167"/>
  <c r="AK167"/>
  <c r="AI167"/>
  <c r="AG167"/>
  <c r="AE167"/>
  <c r="AC167"/>
  <c r="AA167"/>
  <c r="Y167"/>
  <c r="W167"/>
  <c r="U167"/>
  <c r="S167"/>
  <c r="Q167"/>
  <c r="AQ167" s="1"/>
  <c r="AO140"/>
  <c r="AO143" s="1"/>
  <c r="AO145" s="1"/>
  <c r="AM140"/>
  <c r="AK140"/>
  <c r="AI140"/>
  <c r="AG140"/>
  <c r="AE140"/>
  <c r="AC140"/>
  <c r="AA140"/>
  <c r="Y140"/>
  <c r="W140"/>
  <c r="U140"/>
  <c r="S140"/>
  <c r="Q140"/>
  <c r="AL140"/>
  <c r="AH140"/>
  <c r="AD140"/>
  <c r="Z140"/>
  <c r="V140"/>
  <c r="R140"/>
  <c r="AN140"/>
  <c r="AJ140"/>
  <c r="AF140"/>
  <c r="AB140"/>
  <c r="X140"/>
  <c r="T140"/>
  <c r="O39"/>
  <c r="H68"/>
  <c r="AP113"/>
  <c r="AP115" s="1"/>
  <c r="AP117" s="1"/>
  <c r="AN113"/>
  <c r="AL113"/>
  <c r="AJ113"/>
  <c r="AH113"/>
  <c r="AF113"/>
  <c r="AD113"/>
  <c r="AB113"/>
  <c r="Z113"/>
  <c r="X113"/>
  <c r="V113"/>
  <c r="T113"/>
  <c r="R113"/>
  <c r="AO112"/>
  <c r="AM112"/>
  <c r="AK112"/>
  <c r="AI112"/>
  <c r="AG112"/>
  <c r="AE112"/>
  <c r="AC112"/>
  <c r="AA112"/>
  <c r="Y112"/>
  <c r="W112"/>
  <c r="U112"/>
  <c r="S112"/>
  <c r="Q112"/>
  <c r="AN111"/>
  <c r="AL111"/>
  <c r="AJ111"/>
  <c r="AH111"/>
  <c r="AF111"/>
  <c r="AD111"/>
  <c r="AB111"/>
  <c r="Z111"/>
  <c r="X111"/>
  <c r="V111"/>
  <c r="T111"/>
  <c r="R111"/>
  <c r="P111"/>
  <c r="AM110"/>
  <c r="AK110"/>
  <c r="AI110"/>
  <c r="AG110"/>
  <c r="AE110"/>
  <c r="AC110"/>
  <c r="AA110"/>
  <c r="Y110"/>
  <c r="W110"/>
  <c r="U110"/>
  <c r="S110"/>
  <c r="Q110"/>
  <c r="O110"/>
  <c r="AL109"/>
  <c r="AJ109"/>
  <c r="AH109"/>
  <c r="AF109"/>
  <c r="AD109"/>
  <c r="AB109"/>
  <c r="Z109"/>
  <c r="X109"/>
  <c r="V109"/>
  <c r="T109"/>
  <c r="R109"/>
  <c r="P109"/>
  <c r="N109"/>
  <c r="AK108"/>
  <c r="AI108"/>
  <c r="AG108"/>
  <c r="AE108"/>
  <c r="AC108"/>
  <c r="AA108"/>
  <c r="Y108"/>
  <c r="W108"/>
  <c r="AO113"/>
  <c r="AM113"/>
  <c r="AK113"/>
  <c r="AI113"/>
  <c r="AG113"/>
  <c r="AE113"/>
  <c r="AC113"/>
  <c r="AA113"/>
  <c r="Y113"/>
  <c r="W113"/>
  <c r="U113"/>
  <c r="S113"/>
  <c r="AN112"/>
  <c r="AL112"/>
  <c r="AJ112"/>
  <c r="AH112"/>
  <c r="AF112"/>
  <c r="AD112"/>
  <c r="AB112"/>
  <c r="Z112"/>
  <c r="X112"/>
  <c r="V112"/>
  <c r="T112"/>
  <c r="R112"/>
  <c r="AM111"/>
  <c r="AK111"/>
  <c r="AI111"/>
  <c r="AG111"/>
  <c r="AE111"/>
  <c r="AC111"/>
  <c r="AA111"/>
  <c r="Y111"/>
  <c r="W111"/>
  <c r="U111"/>
  <c r="S111"/>
  <c r="Q111"/>
  <c r="AL110"/>
  <c r="AJ110"/>
  <c r="AH110"/>
  <c r="AF110"/>
  <c r="AD110"/>
  <c r="AB110"/>
  <c r="Z110"/>
  <c r="X110"/>
  <c r="V110"/>
  <c r="T110"/>
  <c r="R110"/>
  <c r="P110"/>
  <c r="AK109"/>
  <c r="AI109"/>
  <c r="AG109"/>
  <c r="AE109"/>
  <c r="AC109"/>
  <c r="AA109"/>
  <c r="Y109"/>
  <c r="W109"/>
  <c r="U109"/>
  <c r="S109"/>
  <c r="Q109"/>
  <c r="O109"/>
  <c r="AJ108"/>
  <c r="AH108"/>
  <c r="AF108"/>
  <c r="AD108"/>
  <c r="AB108"/>
  <c r="Z108"/>
  <c r="X108"/>
  <c r="V108"/>
  <c r="T108"/>
  <c r="R108"/>
  <c r="P108"/>
  <c r="N108"/>
  <c r="AI107"/>
  <c r="AG107"/>
  <c r="AE107"/>
  <c r="AC107"/>
  <c r="AA107"/>
  <c r="Y107"/>
  <c r="W107"/>
  <c r="U107"/>
  <c r="S107"/>
  <c r="Q107"/>
  <c r="O107"/>
  <c r="M107"/>
  <c r="AH106"/>
  <c r="AF106"/>
  <c r="AD106"/>
  <c r="AB106"/>
  <c r="Z106"/>
  <c r="X106"/>
  <c r="V106"/>
  <c r="T106"/>
  <c r="R106"/>
  <c r="P106"/>
  <c r="N106"/>
  <c r="L106"/>
  <c r="AG105"/>
  <c r="AE105"/>
  <c r="AC105"/>
  <c r="AA105"/>
  <c r="Y105"/>
  <c r="W105"/>
  <c r="U105"/>
  <c r="S105"/>
  <c r="Q105"/>
  <c r="O105"/>
  <c r="M105"/>
  <c r="K105"/>
  <c r="AF104"/>
  <c r="AD104"/>
  <c r="AB104"/>
  <c r="Z104"/>
  <c r="X104"/>
  <c r="V104"/>
  <c r="T104"/>
  <c r="R104"/>
  <c r="P104"/>
  <c r="N104"/>
  <c r="L104"/>
  <c r="J104"/>
  <c r="AE103"/>
  <c r="AC103"/>
  <c r="AA103"/>
  <c r="Y103"/>
  <c r="W103"/>
  <c r="U103"/>
  <c r="S103"/>
  <c r="Q103"/>
  <c r="O103"/>
  <c r="M103"/>
  <c r="K103"/>
  <c r="I103"/>
  <c r="G65"/>
  <c r="G85" s="1"/>
  <c r="G87" s="1"/>
  <c r="H66"/>
  <c r="G68"/>
  <c r="I69"/>
  <c r="H103"/>
  <c r="L103"/>
  <c r="P103"/>
  <c r="P115" s="1"/>
  <c r="P117" s="1"/>
  <c r="T103"/>
  <c r="X103"/>
  <c r="X115" s="1"/>
  <c r="X117" s="1"/>
  <c r="AB103"/>
  <c r="AF103"/>
  <c r="AF115" s="1"/>
  <c r="AF117" s="1"/>
  <c r="K104"/>
  <c r="O104"/>
  <c r="S104"/>
  <c r="W104"/>
  <c r="AA104"/>
  <c r="AE104"/>
  <c r="J105"/>
  <c r="N105"/>
  <c r="R105"/>
  <c r="V105"/>
  <c r="Z105"/>
  <c r="AD105"/>
  <c r="AH105"/>
  <c r="M106"/>
  <c r="Q106"/>
  <c r="U106"/>
  <c r="Y106"/>
  <c r="AC106"/>
  <c r="AG106"/>
  <c r="L107"/>
  <c r="P107"/>
  <c r="T107"/>
  <c r="X107"/>
  <c r="AB107"/>
  <c r="AF107"/>
  <c r="AJ107"/>
  <c r="AJ115" s="1"/>
  <c r="AJ117" s="1"/>
  <c r="O108"/>
  <c r="S108"/>
  <c r="I63"/>
  <c r="H65"/>
  <c r="I66"/>
  <c r="J103"/>
  <c r="J115" s="1"/>
  <c r="J117" s="1"/>
  <c r="N103"/>
  <c r="N115" s="1"/>
  <c r="N117" s="1"/>
  <c r="R103"/>
  <c r="V103"/>
  <c r="V115" s="1"/>
  <c r="V117" s="1"/>
  <c r="Z103"/>
  <c r="AD103"/>
  <c r="AD115" s="1"/>
  <c r="AD117" s="1"/>
  <c r="I104"/>
  <c r="M104"/>
  <c r="Q104"/>
  <c r="U104"/>
  <c r="Y104"/>
  <c r="AC104"/>
  <c r="AG104"/>
  <c r="L105"/>
  <c r="P105"/>
  <c r="T105"/>
  <c r="X105"/>
  <c r="AB105"/>
  <c r="AF105"/>
  <c r="K106"/>
  <c r="O106"/>
  <c r="S106"/>
  <c r="W106"/>
  <c r="AA106"/>
  <c r="AE106"/>
  <c r="AI106"/>
  <c r="AI115" s="1"/>
  <c r="AI117" s="1"/>
  <c r="N107"/>
  <c r="R107"/>
  <c r="V107"/>
  <c r="Z107"/>
  <c r="AD107"/>
  <c r="AH107"/>
  <c r="M108"/>
  <c r="Q108"/>
  <c r="U108"/>
  <c r="F145"/>
  <c r="D8" i="30"/>
  <c r="O18" i="1"/>
  <c r="P18"/>
  <c r="Q18"/>
  <c r="R18"/>
  <c r="S18"/>
  <c r="T18"/>
  <c r="U18"/>
  <c r="V18"/>
  <c r="W18"/>
  <c r="X18"/>
  <c r="Y18"/>
  <c r="Z18"/>
  <c r="AA18"/>
  <c r="AB18"/>
  <c r="AC18"/>
  <c r="AD18"/>
  <c r="AE18"/>
  <c r="AF18"/>
  <c r="AG18"/>
  <c r="AH18"/>
  <c r="AI18"/>
  <c r="AJ18"/>
  <c r="AK18"/>
  <c r="AL18"/>
  <c r="AM18"/>
  <c r="AN18"/>
  <c r="AO18"/>
  <c r="AP18"/>
  <c r="O25"/>
  <c r="P25"/>
  <c r="Q25"/>
  <c r="R25"/>
  <c r="S25"/>
  <c r="T25"/>
  <c r="U25"/>
  <c r="V25"/>
  <c r="W25"/>
  <c r="X25"/>
  <c r="Y25"/>
  <c r="Z25"/>
  <c r="AA25"/>
  <c r="AB25"/>
  <c r="AC25"/>
  <c r="AD25"/>
  <c r="AE25"/>
  <c r="AF25"/>
  <c r="AG25"/>
  <c r="AH25"/>
  <c r="AI25"/>
  <c r="AJ25"/>
  <c r="AK25"/>
  <c r="AL25"/>
  <c r="AM25"/>
  <c r="AN25"/>
  <c r="AO25"/>
  <c r="AP25"/>
  <c r="O32"/>
  <c r="P32"/>
  <c r="Q32"/>
  <c r="R32"/>
  <c r="S32"/>
  <c r="T32"/>
  <c r="U32"/>
  <c r="V32"/>
  <c r="W32"/>
  <c r="X32"/>
  <c r="Y32"/>
  <c r="Z32"/>
  <c r="AA32"/>
  <c r="AB32"/>
  <c r="AC32"/>
  <c r="AD32"/>
  <c r="AE32"/>
  <c r="AF32"/>
  <c r="AG32"/>
  <c r="AH32"/>
  <c r="AI32"/>
  <c r="AJ32"/>
  <c r="AK32"/>
  <c r="AL32"/>
  <c r="AM32"/>
  <c r="AN32"/>
  <c r="AO32"/>
  <c r="AP32"/>
  <c r="O39"/>
  <c r="P39"/>
  <c r="Q39"/>
  <c r="R39"/>
  <c r="S39"/>
  <c r="T39"/>
  <c r="U39"/>
  <c r="V39"/>
  <c r="W39"/>
  <c r="X39"/>
  <c r="Y39"/>
  <c r="Z39"/>
  <c r="AA39"/>
  <c r="AB39"/>
  <c r="AC39"/>
  <c r="AD39"/>
  <c r="AE39"/>
  <c r="AF39"/>
  <c r="AG39"/>
  <c r="AH39"/>
  <c r="AI39"/>
  <c r="AJ39"/>
  <c r="AK39"/>
  <c r="AL39"/>
  <c r="AM39"/>
  <c r="AN39"/>
  <c r="AO39"/>
  <c r="AP39"/>
  <c r="O46"/>
  <c r="P46"/>
  <c r="Q46"/>
  <c r="R46"/>
  <c r="S46"/>
  <c r="T46"/>
  <c r="U46"/>
  <c r="V46"/>
  <c r="W46"/>
  <c r="X46"/>
  <c r="Y46"/>
  <c r="Z46"/>
  <c r="AA46"/>
  <c r="AB46"/>
  <c r="AC46"/>
  <c r="AD46"/>
  <c r="AE46"/>
  <c r="AF46"/>
  <c r="AG46"/>
  <c r="AH46"/>
  <c r="AI46"/>
  <c r="AJ46"/>
  <c r="AK46"/>
  <c r="AL46"/>
  <c r="AM46"/>
  <c r="AN46"/>
  <c r="AO46"/>
  <c r="AP46"/>
  <c r="O53"/>
  <c r="P53"/>
  <c r="Q53"/>
  <c r="R53"/>
  <c r="S53"/>
  <c r="T53"/>
  <c r="U53"/>
  <c r="V53"/>
  <c r="W53"/>
  <c r="X53"/>
  <c r="Y53"/>
  <c r="Z53"/>
  <c r="AA53"/>
  <c r="AB53"/>
  <c r="AC53"/>
  <c r="AD53"/>
  <c r="AE53"/>
  <c r="AF53"/>
  <c r="AG53"/>
  <c r="AH53"/>
  <c r="AI53"/>
  <c r="AJ53"/>
  <c r="AK53"/>
  <c r="AL53"/>
  <c r="AM53"/>
  <c r="AN53"/>
  <c r="AO53"/>
  <c r="AP53"/>
  <c r="O60"/>
  <c r="P60"/>
  <c r="Q60"/>
  <c r="R60"/>
  <c r="S60"/>
  <c r="T60"/>
  <c r="U60"/>
  <c r="V60"/>
  <c r="W60"/>
  <c r="X60"/>
  <c r="Y60"/>
  <c r="Z60"/>
  <c r="AA60"/>
  <c r="AB60"/>
  <c r="AC60"/>
  <c r="AD60"/>
  <c r="AE60"/>
  <c r="AF60"/>
  <c r="AG60"/>
  <c r="AH60"/>
  <c r="AI60"/>
  <c r="AJ60"/>
  <c r="AK60"/>
  <c r="AL60"/>
  <c r="AM60"/>
  <c r="AN60"/>
  <c r="AO60"/>
  <c r="AP60"/>
  <c r="O67"/>
  <c r="P67"/>
  <c r="Q67"/>
  <c r="R67"/>
  <c r="S67"/>
  <c r="T67"/>
  <c r="U67"/>
  <c r="V67"/>
  <c r="W67"/>
  <c r="X67"/>
  <c r="Y67"/>
  <c r="Z67"/>
  <c r="AA67"/>
  <c r="AB67"/>
  <c r="AC67"/>
  <c r="AD67"/>
  <c r="AE67"/>
  <c r="AF67"/>
  <c r="AG67"/>
  <c r="AH67"/>
  <c r="AI67"/>
  <c r="AJ67"/>
  <c r="AK67"/>
  <c r="AL67"/>
  <c r="AM67"/>
  <c r="AN67"/>
  <c r="AO67"/>
  <c r="AP67"/>
  <c r="O74"/>
  <c r="P74"/>
  <c r="Q74"/>
  <c r="R74"/>
  <c r="S74"/>
  <c r="T74"/>
  <c r="U74"/>
  <c r="V74"/>
  <c r="W74"/>
  <c r="X74"/>
  <c r="Y74"/>
  <c r="Z74"/>
  <c r="AA74"/>
  <c r="AB74"/>
  <c r="AC74"/>
  <c r="AD74"/>
  <c r="AE74"/>
  <c r="AF74"/>
  <c r="AG74"/>
  <c r="AH74"/>
  <c r="AI74"/>
  <c r="AJ74"/>
  <c r="AK74"/>
  <c r="AL74"/>
  <c r="AM74"/>
  <c r="AN74"/>
  <c r="AO74"/>
  <c r="AP74"/>
  <c r="O81"/>
  <c r="P81"/>
  <c r="Q81"/>
  <c r="R81"/>
  <c r="S81"/>
  <c r="T81"/>
  <c r="U81"/>
  <c r="V81"/>
  <c r="W81"/>
  <c r="X81"/>
  <c r="Y81"/>
  <c r="Z81"/>
  <c r="AA81"/>
  <c r="AB81"/>
  <c r="AC81"/>
  <c r="AD81"/>
  <c r="AE81"/>
  <c r="AF81"/>
  <c r="AG81"/>
  <c r="AH81"/>
  <c r="AI81"/>
  <c r="AJ81"/>
  <c r="AK81"/>
  <c r="AL81"/>
  <c r="AM81"/>
  <c r="AN81"/>
  <c r="AO81"/>
  <c r="AP81"/>
  <c r="O88"/>
  <c r="P88"/>
  <c r="Q88"/>
  <c r="R88"/>
  <c r="S88"/>
  <c r="T88"/>
  <c r="U88"/>
  <c r="V88"/>
  <c r="W88"/>
  <c r="X88"/>
  <c r="Y88"/>
  <c r="Z88"/>
  <c r="AA88"/>
  <c r="AB88"/>
  <c r="AC88"/>
  <c r="AD88"/>
  <c r="AE88"/>
  <c r="AF88"/>
  <c r="AG88"/>
  <c r="AH88"/>
  <c r="AI88"/>
  <c r="AJ88"/>
  <c r="AK88"/>
  <c r="AL88"/>
  <c r="AM88"/>
  <c r="AN88"/>
  <c r="AO88"/>
  <c r="AP88"/>
  <c r="O95"/>
  <c r="P95"/>
  <c r="Q95"/>
  <c r="R95"/>
  <c r="S95"/>
  <c r="T95"/>
  <c r="U95"/>
  <c r="V95"/>
  <c r="W95"/>
  <c r="X95"/>
  <c r="Y95"/>
  <c r="Z95"/>
  <c r="AA95"/>
  <c r="AB95"/>
  <c r="AC95"/>
  <c r="AD95"/>
  <c r="AE95"/>
  <c r="AF95"/>
  <c r="AG95"/>
  <c r="AH95"/>
  <c r="AI95"/>
  <c r="AJ95"/>
  <c r="AK95"/>
  <c r="AL95"/>
  <c r="AM95"/>
  <c r="AN95"/>
  <c r="AO95"/>
  <c r="AP95"/>
  <c r="O102"/>
  <c r="P102"/>
  <c r="Q102"/>
  <c r="R102"/>
  <c r="S102"/>
  <c r="T102"/>
  <c r="U102"/>
  <c r="V102"/>
  <c r="W102"/>
  <c r="X102"/>
  <c r="Y102"/>
  <c r="Z102"/>
  <c r="AA102"/>
  <c r="AB102"/>
  <c r="AC102"/>
  <c r="AD102"/>
  <c r="AE102"/>
  <c r="AF102"/>
  <c r="AG102"/>
  <c r="AH102"/>
  <c r="AI102"/>
  <c r="AJ102"/>
  <c r="AK102"/>
  <c r="AL102"/>
  <c r="AM102"/>
  <c r="AN102"/>
  <c r="AO102"/>
  <c r="AP102"/>
  <c r="O109"/>
  <c r="P109"/>
  <c r="Q109"/>
  <c r="R109"/>
  <c r="S109"/>
  <c r="T109"/>
  <c r="U109"/>
  <c r="V109"/>
  <c r="W109"/>
  <c r="X109"/>
  <c r="Y109"/>
  <c r="Z109"/>
  <c r="AA109"/>
  <c r="AB109"/>
  <c r="AC109"/>
  <c r="AD109"/>
  <c r="AE109"/>
  <c r="AF109"/>
  <c r="AG109"/>
  <c r="AH109"/>
  <c r="AI109"/>
  <c r="AJ109"/>
  <c r="AK109"/>
  <c r="AL109"/>
  <c r="AM109"/>
  <c r="AN109"/>
  <c r="AO109"/>
  <c r="AP109"/>
  <c r="O116"/>
  <c r="P116"/>
  <c r="Q116"/>
  <c r="R116"/>
  <c r="S116"/>
  <c r="T116"/>
  <c r="U116"/>
  <c r="V116"/>
  <c r="W116"/>
  <c r="X116"/>
  <c r="Y116"/>
  <c r="Z116"/>
  <c r="AA116"/>
  <c r="AB116"/>
  <c r="AC116"/>
  <c r="AD116"/>
  <c r="AE116"/>
  <c r="AF116"/>
  <c r="AG116"/>
  <c r="AH116"/>
  <c r="AI116"/>
  <c r="AJ116"/>
  <c r="AK116"/>
  <c r="AL116"/>
  <c r="AM116"/>
  <c r="AN116"/>
  <c r="AO116"/>
  <c r="AP116"/>
  <c r="O123"/>
  <c r="P123"/>
  <c r="Q123"/>
  <c r="R123"/>
  <c r="S123"/>
  <c r="T123"/>
  <c r="U123"/>
  <c r="V123"/>
  <c r="W123"/>
  <c r="X123"/>
  <c r="Y123"/>
  <c r="Z123"/>
  <c r="AA123"/>
  <c r="AB123"/>
  <c r="AC123"/>
  <c r="AD123"/>
  <c r="AE123"/>
  <c r="AF123"/>
  <c r="AG123"/>
  <c r="AH123"/>
  <c r="AI123"/>
  <c r="AJ123"/>
  <c r="AK123"/>
  <c r="AL123"/>
  <c r="AM123"/>
  <c r="AN123"/>
  <c r="AO123"/>
  <c r="AP123"/>
  <c r="O130"/>
  <c r="P130"/>
  <c r="Q130"/>
  <c r="R130"/>
  <c r="S130"/>
  <c r="T130"/>
  <c r="U130"/>
  <c r="V130"/>
  <c r="W130"/>
  <c r="X130"/>
  <c r="Y130"/>
  <c r="Z130"/>
  <c r="AA130"/>
  <c r="AB130"/>
  <c r="AC130"/>
  <c r="AD130"/>
  <c r="AE130"/>
  <c r="AF130"/>
  <c r="AG130"/>
  <c r="AH130"/>
  <c r="AI130"/>
  <c r="AJ130"/>
  <c r="AK130"/>
  <c r="AL130"/>
  <c r="AM130"/>
  <c r="AN130"/>
  <c r="AO130"/>
  <c r="AP130"/>
  <c r="O137"/>
  <c r="P137"/>
  <c r="Q137"/>
  <c r="R137"/>
  <c r="S137"/>
  <c r="T137"/>
  <c r="U137"/>
  <c r="V137"/>
  <c r="W137"/>
  <c r="X137"/>
  <c r="Y137"/>
  <c r="Z137"/>
  <c r="AA137"/>
  <c r="AB137"/>
  <c r="AC137"/>
  <c r="AD137"/>
  <c r="AE137"/>
  <c r="AF137"/>
  <c r="AG137"/>
  <c r="AH137"/>
  <c r="AI137"/>
  <c r="AJ137"/>
  <c r="AK137"/>
  <c r="AL137"/>
  <c r="AM137"/>
  <c r="AN137"/>
  <c r="AO137"/>
  <c r="AP137"/>
  <c r="O144"/>
  <c r="P144"/>
  <c r="Q144"/>
  <c r="R144"/>
  <c r="S144"/>
  <c r="T144"/>
  <c r="U144"/>
  <c r="V144"/>
  <c r="W144"/>
  <c r="X144"/>
  <c r="Y144"/>
  <c r="Z144"/>
  <c r="AA144"/>
  <c r="AB144"/>
  <c r="AC144"/>
  <c r="AD144"/>
  <c r="AE144"/>
  <c r="AF144"/>
  <c r="AG144"/>
  <c r="AH144"/>
  <c r="AI144"/>
  <c r="AJ144"/>
  <c r="AK144"/>
  <c r="AL144"/>
  <c r="AM144"/>
  <c r="AN144"/>
  <c r="AO144"/>
  <c r="AP144"/>
  <c r="O172"/>
  <c r="P172"/>
  <c r="Q172"/>
  <c r="R172"/>
  <c r="S172"/>
  <c r="T172"/>
  <c r="U172"/>
  <c r="V172"/>
  <c r="W172"/>
  <c r="X172"/>
  <c r="Y172"/>
  <c r="Z172"/>
  <c r="AA172"/>
  <c r="AB172"/>
  <c r="AC172"/>
  <c r="AD172"/>
  <c r="AE172"/>
  <c r="AF172"/>
  <c r="AG172"/>
  <c r="AH172"/>
  <c r="AI172"/>
  <c r="AJ172"/>
  <c r="AK172"/>
  <c r="AL172"/>
  <c r="AM172"/>
  <c r="AN172"/>
  <c r="AO172"/>
  <c r="AP172"/>
  <c r="O179"/>
  <c r="P179"/>
  <c r="Q179"/>
  <c r="R179"/>
  <c r="S179"/>
  <c r="T179"/>
  <c r="U179"/>
  <c r="V179"/>
  <c r="W179"/>
  <c r="X179"/>
  <c r="Y179"/>
  <c r="Z179"/>
  <c r="AA179"/>
  <c r="AB179"/>
  <c r="AC179"/>
  <c r="AD179"/>
  <c r="AE179"/>
  <c r="AF179"/>
  <c r="AG179"/>
  <c r="AH179"/>
  <c r="AI179"/>
  <c r="AJ179"/>
  <c r="AK179"/>
  <c r="AL179"/>
  <c r="AM179"/>
  <c r="AN179"/>
  <c r="AO179"/>
  <c r="AP179"/>
  <c r="O186"/>
  <c r="P186"/>
  <c r="Q186"/>
  <c r="R186"/>
  <c r="S186"/>
  <c r="T186"/>
  <c r="U186"/>
  <c r="V186"/>
  <c r="W186"/>
  <c r="X186"/>
  <c r="Y186"/>
  <c r="Z186"/>
  <c r="AA186"/>
  <c r="AB186"/>
  <c r="AC186"/>
  <c r="AD186"/>
  <c r="AE186"/>
  <c r="AF186"/>
  <c r="AG186"/>
  <c r="AH186"/>
  <c r="AI186"/>
  <c r="AJ186"/>
  <c r="AK186"/>
  <c r="AL186"/>
  <c r="AM186"/>
  <c r="AN186"/>
  <c r="AO186"/>
  <c r="AP186"/>
  <c r="O193"/>
  <c r="P193"/>
  <c r="Q193"/>
  <c r="R193"/>
  <c r="S193"/>
  <c r="T193"/>
  <c r="U193"/>
  <c r="V193"/>
  <c r="W193"/>
  <c r="X193"/>
  <c r="Y193"/>
  <c r="Z193"/>
  <c r="AA193"/>
  <c r="AB193"/>
  <c r="AC193"/>
  <c r="AD193"/>
  <c r="AE193"/>
  <c r="AF193"/>
  <c r="AG193"/>
  <c r="AH193"/>
  <c r="AI193"/>
  <c r="AJ193"/>
  <c r="AK193"/>
  <c r="AL193"/>
  <c r="AM193"/>
  <c r="AN193"/>
  <c r="AO193"/>
  <c r="AP193"/>
  <c r="O200"/>
  <c r="P200"/>
  <c r="Q200"/>
  <c r="R200"/>
  <c r="S200"/>
  <c r="T200"/>
  <c r="U200"/>
  <c r="V200"/>
  <c r="W200"/>
  <c r="X200"/>
  <c r="Y200"/>
  <c r="Z200"/>
  <c r="AA200"/>
  <c r="AB200"/>
  <c r="AC200"/>
  <c r="AD200"/>
  <c r="AE200"/>
  <c r="AF200"/>
  <c r="AG200"/>
  <c r="AH200"/>
  <c r="AI200"/>
  <c r="AJ200"/>
  <c r="AK200"/>
  <c r="AL200"/>
  <c r="AM200"/>
  <c r="AN200"/>
  <c r="AO200"/>
  <c r="AP200"/>
  <c r="O207"/>
  <c r="P207"/>
  <c r="Q207"/>
  <c r="R207"/>
  <c r="S207"/>
  <c r="T207"/>
  <c r="U207"/>
  <c r="V207"/>
  <c r="W207"/>
  <c r="X207"/>
  <c r="Y207"/>
  <c r="Z207"/>
  <c r="AA207"/>
  <c r="AB207"/>
  <c r="AC207"/>
  <c r="AD207"/>
  <c r="AE207"/>
  <c r="AF207"/>
  <c r="AG207"/>
  <c r="AH207"/>
  <c r="AI207"/>
  <c r="AJ207"/>
  <c r="AK207"/>
  <c r="AL207"/>
  <c r="AM207"/>
  <c r="AN207"/>
  <c r="AO207"/>
  <c r="AP207"/>
  <c r="O214"/>
  <c r="P214"/>
  <c r="Q214"/>
  <c r="R214"/>
  <c r="S214"/>
  <c r="T214"/>
  <c r="U214"/>
  <c r="V214"/>
  <c r="W214"/>
  <c r="X214"/>
  <c r="Y214"/>
  <c r="Z214"/>
  <c r="AA214"/>
  <c r="AB214"/>
  <c r="AC214"/>
  <c r="AD214"/>
  <c r="AE214"/>
  <c r="AF214"/>
  <c r="AG214"/>
  <c r="AH214"/>
  <c r="AI214"/>
  <c r="AJ214"/>
  <c r="AK214"/>
  <c r="AL214"/>
  <c r="AM214"/>
  <c r="AN214"/>
  <c r="AO214"/>
  <c r="AP214"/>
  <c r="O221"/>
  <c r="P221"/>
  <c r="Q221"/>
  <c r="R221"/>
  <c r="S221"/>
  <c r="T221"/>
  <c r="U221"/>
  <c r="V221"/>
  <c r="W221"/>
  <c r="X221"/>
  <c r="Y221"/>
  <c r="Z221"/>
  <c r="AA221"/>
  <c r="AB221"/>
  <c r="AC221"/>
  <c r="AD221"/>
  <c r="AE221"/>
  <c r="AF221"/>
  <c r="AG221"/>
  <c r="AH221"/>
  <c r="AI221"/>
  <c r="AJ221"/>
  <c r="AK221"/>
  <c r="AL221"/>
  <c r="AM221"/>
  <c r="AN221"/>
  <c r="AO221"/>
  <c r="AP221"/>
  <c r="O228"/>
  <c r="P228"/>
  <c r="Q228"/>
  <c r="R228"/>
  <c r="S228"/>
  <c r="T228"/>
  <c r="U228"/>
  <c r="V228"/>
  <c r="W228"/>
  <c r="X228"/>
  <c r="Y228"/>
  <c r="Z228"/>
  <c r="AA228"/>
  <c r="AB228"/>
  <c r="AC228"/>
  <c r="AD228"/>
  <c r="AE228"/>
  <c r="AF228"/>
  <c r="AG228"/>
  <c r="AH228"/>
  <c r="AI228"/>
  <c r="AJ228"/>
  <c r="AK228"/>
  <c r="AL228"/>
  <c r="AM228"/>
  <c r="AN228"/>
  <c r="AO228"/>
  <c r="AP228"/>
  <c r="AE232"/>
  <c r="AF232"/>
  <c r="AG232"/>
  <c r="AH232"/>
  <c r="AI232"/>
  <c r="AJ232"/>
  <c r="O235"/>
  <c r="P235"/>
  <c r="Q235"/>
  <c r="R235"/>
  <c r="S235"/>
  <c r="T235"/>
  <c r="U235"/>
  <c r="V235"/>
  <c r="W235"/>
  <c r="X235"/>
  <c r="Y235"/>
  <c r="Z235"/>
  <c r="AA235"/>
  <c r="AB235"/>
  <c r="AC235"/>
  <c r="AD235"/>
  <c r="AE235"/>
  <c r="AF235"/>
  <c r="AG235"/>
  <c r="AH235"/>
  <c r="AI235"/>
  <c r="AJ235"/>
  <c r="AK235"/>
  <c r="AL235"/>
  <c r="AM235"/>
  <c r="AN235"/>
  <c r="AO235"/>
  <c r="AP235"/>
  <c r="O249"/>
  <c r="P249"/>
  <c r="Q249"/>
  <c r="R249"/>
  <c r="S249"/>
  <c r="T249"/>
  <c r="U249"/>
  <c r="V249"/>
  <c r="W249"/>
  <c r="X249"/>
  <c r="Y249"/>
  <c r="Z249"/>
  <c r="AA249"/>
  <c r="AB249"/>
  <c r="AC249"/>
  <c r="AD249"/>
  <c r="AE249"/>
  <c r="AF249"/>
  <c r="AG249"/>
  <c r="AH249"/>
  <c r="AI249"/>
  <c r="AJ249"/>
  <c r="AK249"/>
  <c r="AL249"/>
  <c r="AM249"/>
  <c r="AN249"/>
  <c r="AO249"/>
  <c r="AP249"/>
  <c r="O256"/>
  <c r="P256"/>
  <c r="Q256"/>
  <c r="R256"/>
  <c r="S256"/>
  <c r="T256"/>
  <c r="U256"/>
  <c r="V256"/>
  <c r="W256"/>
  <c r="X256"/>
  <c r="Y256"/>
  <c r="Z256"/>
  <c r="AA256"/>
  <c r="AB256"/>
  <c r="AC256"/>
  <c r="AD256"/>
  <c r="AE256"/>
  <c r="AF256"/>
  <c r="AG256"/>
  <c r="AH256"/>
  <c r="AI256"/>
  <c r="AJ256"/>
  <c r="AK256"/>
  <c r="AL256"/>
  <c r="AM256"/>
  <c r="AN256"/>
  <c r="AO256"/>
  <c r="AP256"/>
  <c r="O263"/>
  <c r="P263"/>
  <c r="Q263"/>
  <c r="R263"/>
  <c r="S263"/>
  <c r="T263"/>
  <c r="U263"/>
  <c r="V263"/>
  <c r="W263"/>
  <c r="X263"/>
  <c r="Y263"/>
  <c r="Z263"/>
  <c r="AA263"/>
  <c r="AB263"/>
  <c r="AC263"/>
  <c r="AD263"/>
  <c r="AE263"/>
  <c r="AF263"/>
  <c r="AG263"/>
  <c r="AH263"/>
  <c r="AI263"/>
  <c r="AJ263"/>
  <c r="AK263"/>
  <c r="AL263"/>
  <c r="AM263"/>
  <c r="AN263"/>
  <c r="AO263"/>
  <c r="AP263"/>
  <c r="O270"/>
  <c r="P270"/>
  <c r="Q270"/>
  <c r="R270"/>
  <c r="S270"/>
  <c r="T270"/>
  <c r="U270"/>
  <c r="V270"/>
  <c r="W270"/>
  <c r="X270"/>
  <c r="Y270"/>
  <c r="Z270"/>
  <c r="AA270"/>
  <c r="AB270"/>
  <c r="AC270"/>
  <c r="AD270"/>
  <c r="AE270"/>
  <c r="AF270"/>
  <c r="AG270"/>
  <c r="AH270"/>
  <c r="AI270"/>
  <c r="AJ270"/>
  <c r="AK270"/>
  <c r="AL270"/>
  <c r="AM270"/>
  <c r="AN270"/>
  <c r="AO270"/>
  <c r="AP270"/>
  <c r="O277"/>
  <c r="P277"/>
  <c r="Q277"/>
  <c r="R277"/>
  <c r="S277"/>
  <c r="T277"/>
  <c r="U277"/>
  <c r="V277"/>
  <c r="W277"/>
  <c r="X277"/>
  <c r="Y277"/>
  <c r="Z277"/>
  <c r="AA277"/>
  <c r="AB277"/>
  <c r="AC277"/>
  <c r="AD277"/>
  <c r="AE277"/>
  <c r="AF277"/>
  <c r="AG277"/>
  <c r="AH277"/>
  <c r="AI277"/>
  <c r="AJ277"/>
  <c r="AK277"/>
  <c r="AL277"/>
  <c r="AM277"/>
  <c r="AN277"/>
  <c r="AO277"/>
  <c r="AP277"/>
  <c r="O284"/>
  <c r="P284"/>
  <c r="Q284"/>
  <c r="R284"/>
  <c r="S284"/>
  <c r="T284"/>
  <c r="U284"/>
  <c r="V284"/>
  <c r="W284"/>
  <c r="X284"/>
  <c r="Y284"/>
  <c r="Z284"/>
  <c r="AA284"/>
  <c r="AB284"/>
  <c r="AC284"/>
  <c r="AD284"/>
  <c r="AE284"/>
  <c r="AF284"/>
  <c r="AG284"/>
  <c r="AH284"/>
  <c r="AI284"/>
  <c r="AJ284"/>
  <c r="AK284"/>
  <c r="AL284"/>
  <c r="AM284"/>
  <c r="AN284"/>
  <c r="AO284"/>
  <c r="AP284"/>
  <c r="O291"/>
  <c r="P291"/>
  <c r="Q291"/>
  <c r="R291"/>
  <c r="S291"/>
  <c r="T291"/>
  <c r="U291"/>
  <c r="V291"/>
  <c r="W291"/>
  <c r="X291"/>
  <c r="Y291"/>
  <c r="Z291"/>
  <c r="AA291"/>
  <c r="AB291"/>
  <c r="AC291"/>
  <c r="AD291"/>
  <c r="AE291"/>
  <c r="AF291"/>
  <c r="AG291"/>
  <c r="AH291"/>
  <c r="AI291"/>
  <c r="AJ291"/>
  <c r="AK291"/>
  <c r="AL291"/>
  <c r="AM291"/>
  <c r="AN291"/>
  <c r="AO291"/>
  <c r="AP291"/>
  <c r="O298"/>
  <c r="P298"/>
  <c r="Q298"/>
  <c r="R298"/>
  <c r="S298"/>
  <c r="T298"/>
  <c r="U298"/>
  <c r="V298"/>
  <c r="W298"/>
  <c r="X298"/>
  <c r="Y298"/>
  <c r="Z298"/>
  <c r="AA298"/>
  <c r="AB298"/>
  <c r="AC298"/>
  <c r="AD298"/>
  <c r="AE298"/>
  <c r="AF298"/>
  <c r="AG298"/>
  <c r="AH298"/>
  <c r="AI298"/>
  <c r="AJ298"/>
  <c r="AK298"/>
  <c r="AL298"/>
  <c r="AM298"/>
  <c r="AN298"/>
  <c r="AO298"/>
  <c r="AP298"/>
  <c r="O305"/>
  <c r="P305"/>
  <c r="Q305"/>
  <c r="R305"/>
  <c r="S305"/>
  <c r="T305"/>
  <c r="U305"/>
  <c r="V305"/>
  <c r="W305"/>
  <c r="X305"/>
  <c r="Y305"/>
  <c r="Z305"/>
  <c r="AA305"/>
  <c r="AB305"/>
  <c r="AC305"/>
  <c r="AD305"/>
  <c r="AE305"/>
  <c r="AF305"/>
  <c r="AG305"/>
  <c r="AH305"/>
  <c r="AI305"/>
  <c r="AJ305"/>
  <c r="AK305"/>
  <c r="AL305"/>
  <c r="AM305"/>
  <c r="AN305"/>
  <c r="AO305"/>
  <c r="AP305"/>
  <c r="O312"/>
  <c r="P312"/>
  <c r="Q312"/>
  <c r="R312"/>
  <c r="S312"/>
  <c r="T312"/>
  <c r="U312"/>
  <c r="V312"/>
  <c r="W312"/>
  <c r="X312"/>
  <c r="Y312"/>
  <c r="Z312"/>
  <c r="AA312"/>
  <c r="AB312"/>
  <c r="AC312"/>
  <c r="AD312"/>
  <c r="AE312"/>
  <c r="AF312"/>
  <c r="AG312"/>
  <c r="AH312"/>
  <c r="AI312"/>
  <c r="AJ312"/>
  <c r="AK312"/>
  <c r="AL312"/>
  <c r="AM312"/>
  <c r="AN312"/>
  <c r="AO312"/>
  <c r="AP312"/>
  <c r="O319"/>
  <c r="P319"/>
  <c r="Q319"/>
  <c r="R319"/>
  <c r="S319"/>
  <c r="T319"/>
  <c r="U319"/>
  <c r="V319"/>
  <c r="W319"/>
  <c r="X319"/>
  <c r="Y319"/>
  <c r="Z319"/>
  <c r="AA319"/>
  <c r="AB319"/>
  <c r="AC319"/>
  <c r="AD319"/>
  <c r="AE319"/>
  <c r="AF319"/>
  <c r="AG319"/>
  <c r="AH319"/>
  <c r="AI319"/>
  <c r="AJ319"/>
  <c r="AK319"/>
  <c r="AL319"/>
  <c r="AM319"/>
  <c r="AN319"/>
  <c r="AO319"/>
  <c r="AP319"/>
  <c r="O326"/>
  <c r="P326"/>
  <c r="Q326"/>
  <c r="R326"/>
  <c r="S326"/>
  <c r="T326"/>
  <c r="U326"/>
  <c r="V326"/>
  <c r="W326"/>
  <c r="X326"/>
  <c r="Y326"/>
  <c r="Z326"/>
  <c r="AA326"/>
  <c r="AB326"/>
  <c r="AC326"/>
  <c r="AD326"/>
  <c r="AE326"/>
  <c r="AF326"/>
  <c r="AG326"/>
  <c r="AH326"/>
  <c r="AI326"/>
  <c r="AJ326"/>
  <c r="AK326"/>
  <c r="AL326"/>
  <c r="AM326"/>
  <c r="AN326"/>
  <c r="AO326"/>
  <c r="AP326"/>
  <c r="O333"/>
  <c r="P333"/>
  <c r="Q333"/>
  <c r="R333"/>
  <c r="S333"/>
  <c r="T333"/>
  <c r="U333"/>
  <c r="V333"/>
  <c r="W333"/>
  <c r="X333"/>
  <c r="Y333"/>
  <c r="Z333"/>
  <c r="AA333"/>
  <c r="AB333"/>
  <c r="AC333"/>
  <c r="AD333"/>
  <c r="AE333"/>
  <c r="AF333"/>
  <c r="AG333"/>
  <c r="AH333"/>
  <c r="AI333"/>
  <c r="AJ333"/>
  <c r="AK333"/>
  <c r="AL333"/>
  <c r="AM333"/>
  <c r="AN333"/>
  <c r="AO333"/>
  <c r="AP333"/>
  <c r="O340"/>
  <c r="P340"/>
  <c r="Q340"/>
  <c r="R340"/>
  <c r="S340"/>
  <c r="T340"/>
  <c r="U340"/>
  <c r="V340"/>
  <c r="W340"/>
  <c r="X340"/>
  <c r="Y340"/>
  <c r="Z340"/>
  <c r="AA340"/>
  <c r="AB340"/>
  <c r="AC340"/>
  <c r="AD340"/>
  <c r="AE340"/>
  <c r="AF340"/>
  <c r="AG340"/>
  <c r="AH340"/>
  <c r="AI340"/>
  <c r="AJ340"/>
  <c r="AK340"/>
  <c r="AL340"/>
  <c r="AM340"/>
  <c r="AN340"/>
  <c r="AO340"/>
  <c r="AP340"/>
  <c r="O347"/>
  <c r="P347"/>
  <c r="Q347"/>
  <c r="R347"/>
  <c r="S347"/>
  <c r="T347"/>
  <c r="U347"/>
  <c r="V347"/>
  <c r="W347"/>
  <c r="X347"/>
  <c r="Y347"/>
  <c r="Z347"/>
  <c r="AA347"/>
  <c r="AB347"/>
  <c r="AC347"/>
  <c r="AD347"/>
  <c r="AE347"/>
  <c r="AF347"/>
  <c r="AG347"/>
  <c r="AH347"/>
  <c r="AI347"/>
  <c r="AJ347"/>
  <c r="AK347"/>
  <c r="AL347"/>
  <c r="AM347"/>
  <c r="AN347"/>
  <c r="AO347"/>
  <c r="AP347"/>
  <c r="O354"/>
  <c r="P354"/>
  <c r="Q354"/>
  <c r="R354"/>
  <c r="S354"/>
  <c r="T354"/>
  <c r="U354"/>
  <c r="V354"/>
  <c r="W354"/>
  <c r="X354"/>
  <c r="Y354"/>
  <c r="Z354"/>
  <c r="AA354"/>
  <c r="AB354"/>
  <c r="AC354"/>
  <c r="AD354"/>
  <c r="AE354"/>
  <c r="AF354"/>
  <c r="AG354"/>
  <c r="AH354"/>
  <c r="AI354"/>
  <c r="AJ354"/>
  <c r="AK354"/>
  <c r="AL354"/>
  <c r="AM354"/>
  <c r="AN354"/>
  <c r="AO354"/>
  <c r="AP354"/>
  <c r="O361"/>
  <c r="P361"/>
  <c r="Q361"/>
  <c r="R361"/>
  <c r="S361"/>
  <c r="T361"/>
  <c r="U361"/>
  <c r="V361"/>
  <c r="W361"/>
  <c r="X361"/>
  <c r="Y361"/>
  <c r="Z361"/>
  <c r="AA361"/>
  <c r="AB361"/>
  <c r="AC361"/>
  <c r="AD361"/>
  <c r="AE361"/>
  <c r="AF361"/>
  <c r="AG361"/>
  <c r="AH361"/>
  <c r="AI361"/>
  <c r="AJ361"/>
  <c r="AK361"/>
  <c r="AL361"/>
  <c r="AM361"/>
  <c r="AN361"/>
  <c r="AO361"/>
  <c r="AP361"/>
  <c r="O368"/>
  <c r="P368"/>
  <c r="Q368"/>
  <c r="R368"/>
  <c r="S368"/>
  <c r="T368"/>
  <c r="U368"/>
  <c r="V368"/>
  <c r="W368"/>
  <c r="X368"/>
  <c r="Y368"/>
  <c r="Z368"/>
  <c r="AA368"/>
  <c r="AB368"/>
  <c r="AC368"/>
  <c r="AD368"/>
  <c r="AE368"/>
  <c r="AF368"/>
  <c r="AG368"/>
  <c r="AH368"/>
  <c r="AI368"/>
  <c r="AJ368"/>
  <c r="AK368"/>
  <c r="AL368"/>
  <c r="AM368"/>
  <c r="AN368"/>
  <c r="AO368"/>
  <c r="AP368"/>
  <c r="O375"/>
  <c r="P375"/>
  <c r="Q375"/>
  <c r="R375"/>
  <c r="S375"/>
  <c r="T375"/>
  <c r="U375"/>
  <c r="V375"/>
  <c r="W375"/>
  <c r="X375"/>
  <c r="Y375"/>
  <c r="Z375"/>
  <c r="AA375"/>
  <c r="AB375"/>
  <c r="AC375"/>
  <c r="AD375"/>
  <c r="AE375"/>
  <c r="AF375"/>
  <c r="AG375"/>
  <c r="AH375"/>
  <c r="AI375"/>
  <c r="AJ375"/>
  <c r="AK375"/>
  <c r="AL375"/>
  <c r="AM375"/>
  <c r="AN375"/>
  <c r="AO375"/>
  <c r="AP375"/>
  <c r="M73" i="100"/>
  <c r="N73"/>
  <c r="O73"/>
  <c r="P73"/>
  <c r="Q73"/>
  <c r="R73"/>
  <c r="S73"/>
  <c r="T73"/>
  <c r="U73"/>
  <c r="V73"/>
  <c r="W73"/>
  <c r="X73"/>
  <c r="Y73"/>
  <c r="Z73"/>
  <c r="AK72"/>
  <c r="J71"/>
  <c r="J73" s="1"/>
  <c r="K71"/>
  <c r="K73" s="1"/>
  <c r="L71"/>
  <c r="L73" s="1"/>
  <c r="I71"/>
  <c r="AK71" s="1"/>
  <c r="C371" i="1"/>
  <c r="D371" s="1"/>
  <c r="N375"/>
  <c r="M375"/>
  <c r="L375"/>
  <c r="K375"/>
  <c r="J375"/>
  <c r="I375"/>
  <c r="H375"/>
  <c r="G375"/>
  <c r="D375"/>
  <c r="C374"/>
  <c r="C364"/>
  <c r="F65" i="2"/>
  <c r="C65"/>
  <c r="B65"/>
  <c r="K76" i="98"/>
  <c r="J76"/>
  <c r="I76"/>
  <c r="P75"/>
  <c r="O75"/>
  <c r="N75"/>
  <c r="N76" s="1"/>
  <c r="M75"/>
  <c r="M76" s="1"/>
  <c r="L75"/>
  <c r="L76" s="1"/>
  <c r="AR76"/>
  <c r="B61" i="2"/>
  <c r="H8" i="113" l="1"/>
  <c r="I8" i="112"/>
  <c r="H60" i="104"/>
  <c r="V60" s="1"/>
  <c r="C274" i="113"/>
  <c r="C275"/>
  <c r="C267"/>
  <c r="C268"/>
  <c r="C261" i="114"/>
  <c r="C260"/>
  <c r="C253" i="112"/>
  <c r="C254"/>
  <c r="C253" i="114"/>
  <c r="C254"/>
  <c r="C247" i="113"/>
  <c r="F8"/>
  <c r="C246"/>
  <c r="H8" i="112"/>
  <c r="G8" i="113"/>
  <c r="C274" i="112"/>
  <c r="C275"/>
  <c r="C274" i="114"/>
  <c r="C275"/>
  <c r="C267" i="112"/>
  <c r="C268"/>
  <c r="C268" i="114"/>
  <c r="C267"/>
  <c r="C260" i="112"/>
  <c r="C261"/>
  <c r="C261" i="113"/>
  <c r="C260"/>
  <c r="C254"/>
  <c r="C253"/>
  <c r="C247" i="112"/>
  <c r="C246"/>
  <c r="G8"/>
  <c r="C246" i="114"/>
  <c r="C247"/>
  <c r="F8"/>
  <c r="H8"/>
  <c r="G8"/>
  <c r="AP11" i="1"/>
  <c r="AN11"/>
  <c r="AL11"/>
  <c r="AJ11"/>
  <c r="AH11"/>
  <c r="AF11"/>
  <c r="AD11"/>
  <c r="AB11"/>
  <c r="Z11"/>
  <c r="X11"/>
  <c r="V11"/>
  <c r="T11"/>
  <c r="R11"/>
  <c r="P11"/>
  <c r="AO11"/>
  <c r="AM11"/>
  <c r="AK11"/>
  <c r="AI11"/>
  <c r="AG11"/>
  <c r="AE11"/>
  <c r="AC11"/>
  <c r="AA11"/>
  <c r="Y11"/>
  <c r="W11"/>
  <c r="U11"/>
  <c r="S11"/>
  <c r="Q11"/>
  <c r="O11"/>
  <c r="C363" i="114"/>
  <c r="C363" i="113"/>
  <c r="C363" i="112"/>
  <c r="D363" i="114"/>
  <c r="D363" i="113"/>
  <c r="E363" i="112"/>
  <c r="C335" i="113"/>
  <c r="C335" i="114"/>
  <c r="C335" i="112"/>
  <c r="Z83" i="110"/>
  <c r="X84"/>
  <c r="W87"/>
  <c r="C58" i="104"/>
  <c r="T42" i="95"/>
  <c r="R42"/>
  <c r="P42"/>
  <c r="U42"/>
  <c r="S42"/>
  <c r="Q42"/>
  <c r="O42"/>
  <c r="V42"/>
  <c r="W42"/>
  <c r="X42"/>
  <c r="Z42"/>
  <c r="AA41"/>
  <c r="AE75" i="94"/>
  <c r="AF73"/>
  <c r="AF75" s="1"/>
  <c r="AB372" i="1"/>
  <c r="AD372"/>
  <c r="AF372"/>
  <c r="AH372"/>
  <c r="AJ372"/>
  <c r="AL372"/>
  <c r="AN372"/>
  <c r="AP372"/>
  <c r="Y372"/>
  <c r="AA372"/>
  <c r="AC372"/>
  <c r="AE372"/>
  <c r="AG372"/>
  <c r="AI372"/>
  <c r="AK372"/>
  <c r="AM372"/>
  <c r="AO372"/>
  <c r="X372"/>
  <c r="Z372"/>
  <c r="D18" i="30"/>
  <c r="D20" s="1"/>
  <c r="D27"/>
  <c r="I73" i="100"/>
  <c r="D363" i="1"/>
  <c r="O372"/>
  <c r="Q372"/>
  <c r="S372"/>
  <c r="U372"/>
  <c r="W372"/>
  <c r="P372"/>
  <c r="R372"/>
  <c r="T372"/>
  <c r="V372"/>
  <c r="AL49" i="29"/>
  <c r="AJ49"/>
  <c r="AH49"/>
  <c r="AF49"/>
  <c r="AD49"/>
  <c r="AB49"/>
  <c r="Z49"/>
  <c r="X49"/>
  <c r="V49"/>
  <c r="T49"/>
  <c r="R49"/>
  <c r="P49"/>
  <c r="AM49"/>
  <c r="AK49"/>
  <c r="AI49"/>
  <c r="AG49"/>
  <c r="AE49"/>
  <c r="AC49"/>
  <c r="AA49"/>
  <c r="Y49"/>
  <c r="W49"/>
  <c r="U49"/>
  <c r="S49"/>
  <c r="Q49"/>
  <c r="O49"/>
  <c r="AH45"/>
  <c r="AF45"/>
  <c r="AD45"/>
  <c r="AB45"/>
  <c r="Z45"/>
  <c r="X45"/>
  <c r="V45"/>
  <c r="T45"/>
  <c r="R45"/>
  <c r="P45"/>
  <c r="N45"/>
  <c r="L45"/>
  <c r="AI45"/>
  <c r="AG45"/>
  <c r="AE45"/>
  <c r="AC45"/>
  <c r="AA45"/>
  <c r="Y45"/>
  <c r="W45"/>
  <c r="U45"/>
  <c r="S45"/>
  <c r="Q45"/>
  <c r="O45"/>
  <c r="M45"/>
  <c r="K45"/>
  <c r="AQ45" s="1"/>
  <c r="AM50"/>
  <c r="AK50"/>
  <c r="AI50"/>
  <c r="AG50"/>
  <c r="AE50"/>
  <c r="AC50"/>
  <c r="AA50"/>
  <c r="Y50"/>
  <c r="W50"/>
  <c r="U50"/>
  <c r="S50"/>
  <c r="Q50"/>
  <c r="AN50"/>
  <c r="AL50"/>
  <c r="AJ50"/>
  <c r="AH50"/>
  <c r="AF50"/>
  <c r="AD50"/>
  <c r="AB50"/>
  <c r="Z50"/>
  <c r="X50"/>
  <c r="V50"/>
  <c r="T50"/>
  <c r="R50"/>
  <c r="P50"/>
  <c r="AI46"/>
  <c r="AG46"/>
  <c r="AE46"/>
  <c r="AC46"/>
  <c r="AA46"/>
  <c r="Y46"/>
  <c r="W46"/>
  <c r="U46"/>
  <c r="S46"/>
  <c r="Q46"/>
  <c r="O46"/>
  <c r="M46"/>
  <c r="AJ46"/>
  <c r="AH46"/>
  <c r="AF46"/>
  <c r="AD46"/>
  <c r="AB46"/>
  <c r="Z46"/>
  <c r="X46"/>
  <c r="V46"/>
  <c r="T46"/>
  <c r="R46"/>
  <c r="P46"/>
  <c r="N46"/>
  <c r="L46"/>
  <c r="AQ46" s="1"/>
  <c r="AE42"/>
  <c r="AC42"/>
  <c r="AA42"/>
  <c r="Y42"/>
  <c r="W42"/>
  <c r="U42"/>
  <c r="S42"/>
  <c r="Q42"/>
  <c r="O42"/>
  <c r="M42"/>
  <c r="K42"/>
  <c r="I42"/>
  <c r="AF42"/>
  <c r="AD42"/>
  <c r="AB42"/>
  <c r="Z42"/>
  <c r="X42"/>
  <c r="V42"/>
  <c r="T42"/>
  <c r="R42"/>
  <c r="P42"/>
  <c r="N42"/>
  <c r="L42"/>
  <c r="J42"/>
  <c r="H42"/>
  <c r="H143"/>
  <c r="AQ131"/>
  <c r="AQ108"/>
  <c r="AG115"/>
  <c r="AG117" s="1"/>
  <c r="AQ104"/>
  <c r="Z115"/>
  <c r="Z117" s="1"/>
  <c r="R115"/>
  <c r="R117" s="1"/>
  <c r="AH115"/>
  <c r="AH117" s="1"/>
  <c r="AQ105"/>
  <c r="AB115"/>
  <c r="AB117" s="1"/>
  <c r="T115"/>
  <c r="T117" s="1"/>
  <c r="L115"/>
  <c r="L117" s="1"/>
  <c r="I115"/>
  <c r="I117" s="1"/>
  <c r="M115"/>
  <c r="M117" s="1"/>
  <c r="Q115"/>
  <c r="Q117" s="1"/>
  <c r="U115"/>
  <c r="U117" s="1"/>
  <c r="Y115"/>
  <c r="Y117" s="1"/>
  <c r="AC115"/>
  <c r="AC117" s="1"/>
  <c r="AQ109"/>
  <c r="AL115"/>
  <c r="AL117" s="1"/>
  <c r="AQ111"/>
  <c r="AN115"/>
  <c r="AN117" s="1"/>
  <c r="AQ113"/>
  <c r="AQ140"/>
  <c r="AQ165"/>
  <c r="AM170"/>
  <c r="AM172" s="1"/>
  <c r="AQ136"/>
  <c r="AK143"/>
  <c r="AK145" s="1"/>
  <c r="AQ161"/>
  <c r="AI170"/>
  <c r="AI172" s="1"/>
  <c r="AQ132"/>
  <c r="AG143"/>
  <c r="AG145" s="1"/>
  <c r="AQ141"/>
  <c r="AQ166"/>
  <c r="AN170"/>
  <c r="AN172" s="1"/>
  <c r="AQ137"/>
  <c r="AL143"/>
  <c r="AL145" s="1"/>
  <c r="AQ162"/>
  <c r="AJ170"/>
  <c r="AJ172" s="1"/>
  <c r="AQ133"/>
  <c r="AH143"/>
  <c r="AH145" s="1"/>
  <c r="L143"/>
  <c r="L145" s="1"/>
  <c r="P143"/>
  <c r="P145" s="1"/>
  <c r="T143"/>
  <c r="T145" s="1"/>
  <c r="X143"/>
  <c r="X145" s="1"/>
  <c r="AB143"/>
  <c r="AB145" s="1"/>
  <c r="AF143"/>
  <c r="AF145" s="1"/>
  <c r="K143"/>
  <c r="K145" s="1"/>
  <c r="O143"/>
  <c r="O145" s="1"/>
  <c r="S143"/>
  <c r="S145" s="1"/>
  <c r="W143"/>
  <c r="W145" s="1"/>
  <c r="AA143"/>
  <c r="AA145" s="1"/>
  <c r="AE143"/>
  <c r="AE145" s="1"/>
  <c r="J170"/>
  <c r="J172" s="1"/>
  <c r="N170"/>
  <c r="N172" s="1"/>
  <c r="R170"/>
  <c r="R172" s="1"/>
  <c r="V170"/>
  <c r="V172" s="1"/>
  <c r="Z170"/>
  <c r="Z172" s="1"/>
  <c r="AD170"/>
  <c r="AD172" s="1"/>
  <c r="I170"/>
  <c r="I172" s="1"/>
  <c r="M170"/>
  <c r="M172" s="1"/>
  <c r="Q170"/>
  <c r="Q172" s="1"/>
  <c r="U170"/>
  <c r="U172" s="1"/>
  <c r="Y170"/>
  <c r="Y172" s="1"/>
  <c r="AC170"/>
  <c r="AC172" s="1"/>
  <c r="J69"/>
  <c r="I68"/>
  <c r="J66"/>
  <c r="I65"/>
  <c r="J63"/>
  <c r="H115"/>
  <c r="AQ103"/>
  <c r="AF72"/>
  <c r="AD72"/>
  <c r="AB72"/>
  <c r="Z72"/>
  <c r="X72"/>
  <c r="V72"/>
  <c r="T72"/>
  <c r="R72"/>
  <c r="P72"/>
  <c r="N72"/>
  <c r="L72"/>
  <c r="J72"/>
  <c r="AG72"/>
  <c r="AE72"/>
  <c r="AC72"/>
  <c r="AA72"/>
  <c r="Y72"/>
  <c r="W72"/>
  <c r="U72"/>
  <c r="S72"/>
  <c r="Q72"/>
  <c r="O72"/>
  <c r="M72"/>
  <c r="K72"/>
  <c r="I72"/>
  <c r="AQ72" s="1"/>
  <c r="AG73"/>
  <c r="AE73"/>
  <c r="AC73"/>
  <c r="AA73"/>
  <c r="Y73"/>
  <c r="W73"/>
  <c r="U73"/>
  <c r="S73"/>
  <c r="Q73"/>
  <c r="O73"/>
  <c r="M73"/>
  <c r="K73"/>
  <c r="AH73"/>
  <c r="AF73"/>
  <c r="AD73"/>
  <c r="AB73"/>
  <c r="Z73"/>
  <c r="X73"/>
  <c r="V73"/>
  <c r="T73"/>
  <c r="R73"/>
  <c r="P73"/>
  <c r="N73"/>
  <c r="L73"/>
  <c r="J73"/>
  <c r="AN51"/>
  <c r="AL51"/>
  <c r="AJ51"/>
  <c r="AH51"/>
  <c r="AF51"/>
  <c r="AD51"/>
  <c r="AB51"/>
  <c r="Z51"/>
  <c r="X51"/>
  <c r="V51"/>
  <c r="T51"/>
  <c r="R51"/>
  <c r="AO51"/>
  <c r="AO54" s="1"/>
  <c r="AO56" s="1"/>
  <c r="AM51"/>
  <c r="AK51"/>
  <c r="AI51"/>
  <c r="AG51"/>
  <c r="AE51"/>
  <c r="AC51"/>
  <c r="AA51"/>
  <c r="Y51"/>
  <c r="W51"/>
  <c r="U51"/>
  <c r="S51"/>
  <c r="Q51"/>
  <c r="AQ51" s="1"/>
  <c r="AJ47"/>
  <c r="AH47"/>
  <c r="AF47"/>
  <c r="AD47"/>
  <c r="AB47"/>
  <c r="Z47"/>
  <c r="X47"/>
  <c r="V47"/>
  <c r="T47"/>
  <c r="R47"/>
  <c r="P47"/>
  <c r="N47"/>
  <c r="AK47"/>
  <c r="AI47"/>
  <c r="AG47"/>
  <c r="AE47"/>
  <c r="AC47"/>
  <c r="AA47"/>
  <c r="Y47"/>
  <c r="W47"/>
  <c r="U47"/>
  <c r="S47"/>
  <c r="Q47"/>
  <c r="O47"/>
  <c r="M47"/>
  <c r="AF43"/>
  <c r="AD43"/>
  <c r="AB43"/>
  <c r="Z43"/>
  <c r="X43"/>
  <c r="V43"/>
  <c r="T43"/>
  <c r="R43"/>
  <c r="P43"/>
  <c r="N43"/>
  <c r="L43"/>
  <c r="J43"/>
  <c r="AG43"/>
  <c r="AE43"/>
  <c r="AC43"/>
  <c r="AA43"/>
  <c r="Y43"/>
  <c r="W43"/>
  <c r="U43"/>
  <c r="S43"/>
  <c r="Q43"/>
  <c r="O43"/>
  <c r="M43"/>
  <c r="K43"/>
  <c r="I43"/>
  <c r="AQ43" s="1"/>
  <c r="F56"/>
  <c r="AO52"/>
  <c r="AM52"/>
  <c r="AK52"/>
  <c r="AI52"/>
  <c r="AG52"/>
  <c r="AE52"/>
  <c r="AC52"/>
  <c r="AA52"/>
  <c r="Y52"/>
  <c r="W52"/>
  <c r="U52"/>
  <c r="S52"/>
  <c r="AP52"/>
  <c r="AP54" s="1"/>
  <c r="AP56" s="1"/>
  <c r="AN52"/>
  <c r="AL52"/>
  <c r="AJ52"/>
  <c r="AH52"/>
  <c r="AF52"/>
  <c r="AD52"/>
  <c r="AB52"/>
  <c r="Z52"/>
  <c r="X52"/>
  <c r="V52"/>
  <c r="T52"/>
  <c r="R52"/>
  <c r="AK48"/>
  <c r="AI48"/>
  <c r="AG48"/>
  <c r="AE48"/>
  <c r="AC48"/>
  <c r="AA48"/>
  <c r="Y48"/>
  <c r="W48"/>
  <c r="U48"/>
  <c r="S48"/>
  <c r="Q48"/>
  <c r="O48"/>
  <c r="AL48"/>
  <c r="AL54" s="1"/>
  <c r="AL56" s="1"/>
  <c r="AJ48"/>
  <c r="AH48"/>
  <c r="AF48"/>
  <c r="AD48"/>
  <c r="AB48"/>
  <c r="Z48"/>
  <c r="X48"/>
  <c r="V48"/>
  <c r="T48"/>
  <c r="R48"/>
  <c r="P48"/>
  <c r="N48"/>
  <c r="AQ48" s="1"/>
  <c r="AG44"/>
  <c r="AE44"/>
  <c r="AC44"/>
  <c r="AA44"/>
  <c r="Y44"/>
  <c r="W44"/>
  <c r="U44"/>
  <c r="S44"/>
  <c r="Q44"/>
  <c r="O44"/>
  <c r="M44"/>
  <c r="K44"/>
  <c r="AH44"/>
  <c r="AF44"/>
  <c r="AD44"/>
  <c r="AB44"/>
  <c r="Z44"/>
  <c r="X44"/>
  <c r="V44"/>
  <c r="T44"/>
  <c r="R44"/>
  <c r="P44"/>
  <c r="N44"/>
  <c r="L44"/>
  <c r="J44"/>
  <c r="AE71"/>
  <c r="AC71"/>
  <c r="AA71"/>
  <c r="Y71"/>
  <c r="W71"/>
  <c r="U71"/>
  <c r="S71"/>
  <c r="Q71"/>
  <c r="O71"/>
  <c r="M71"/>
  <c r="K71"/>
  <c r="I71"/>
  <c r="AF71"/>
  <c r="AD71"/>
  <c r="AB71"/>
  <c r="Z71"/>
  <c r="X71"/>
  <c r="V71"/>
  <c r="T71"/>
  <c r="R71"/>
  <c r="P71"/>
  <c r="N71"/>
  <c r="L71"/>
  <c r="J71"/>
  <c r="H71"/>
  <c r="AQ71" s="1"/>
  <c r="H170"/>
  <c r="AQ158"/>
  <c r="AQ169" s="1"/>
  <c r="F87"/>
  <c r="AQ106"/>
  <c r="AQ107"/>
  <c r="K115"/>
  <c r="K117" s="1"/>
  <c r="O115"/>
  <c r="O117" s="1"/>
  <c r="S115"/>
  <c r="S117" s="1"/>
  <c r="W115"/>
  <c r="W117" s="1"/>
  <c r="AA115"/>
  <c r="AA117" s="1"/>
  <c r="AE115"/>
  <c r="AE117" s="1"/>
  <c r="AK115"/>
  <c r="AK117" s="1"/>
  <c r="AQ110"/>
  <c r="AM115"/>
  <c r="AM117" s="1"/>
  <c r="AQ112"/>
  <c r="AO115"/>
  <c r="AO117" s="1"/>
  <c r="AM143"/>
  <c r="AM145" s="1"/>
  <c r="AK170"/>
  <c r="AK172" s="1"/>
  <c r="AI143"/>
  <c r="AI145" s="1"/>
  <c r="AG170"/>
  <c r="AG172" s="1"/>
  <c r="AN54"/>
  <c r="AN56" s="1"/>
  <c r="AJ54"/>
  <c r="AJ56" s="1"/>
  <c r="AN143"/>
  <c r="AN145" s="1"/>
  <c r="AL170"/>
  <c r="AL172" s="1"/>
  <c r="AJ143"/>
  <c r="AJ145" s="1"/>
  <c r="AH170"/>
  <c r="AH172" s="1"/>
  <c r="J143"/>
  <c r="J145" s="1"/>
  <c r="N143"/>
  <c r="N145" s="1"/>
  <c r="R143"/>
  <c r="R145" s="1"/>
  <c r="V143"/>
  <c r="V145" s="1"/>
  <c r="Z143"/>
  <c r="Z145" s="1"/>
  <c r="AD143"/>
  <c r="AD145" s="1"/>
  <c r="I143"/>
  <c r="I145" s="1"/>
  <c r="M143"/>
  <c r="M145" s="1"/>
  <c r="Q143"/>
  <c r="Q145" s="1"/>
  <c r="U143"/>
  <c r="U145" s="1"/>
  <c r="Y143"/>
  <c r="Y145" s="1"/>
  <c r="AC143"/>
  <c r="AC145" s="1"/>
  <c r="L170"/>
  <c r="L172" s="1"/>
  <c r="P170"/>
  <c r="P172" s="1"/>
  <c r="T170"/>
  <c r="T172" s="1"/>
  <c r="X170"/>
  <c r="X172" s="1"/>
  <c r="AB170"/>
  <c r="AB172" s="1"/>
  <c r="AF170"/>
  <c r="AF172" s="1"/>
  <c r="K170"/>
  <c r="K172" s="1"/>
  <c r="O170"/>
  <c r="O172" s="1"/>
  <c r="S170"/>
  <c r="S172" s="1"/>
  <c r="W170"/>
  <c r="W172" s="1"/>
  <c r="AA170"/>
  <c r="AA172" s="1"/>
  <c r="AE170"/>
  <c r="AE172" s="1"/>
  <c r="C363" i="1"/>
  <c r="M372"/>
  <c r="K372"/>
  <c r="I372"/>
  <c r="G372"/>
  <c r="F372"/>
  <c r="N372"/>
  <c r="L372"/>
  <c r="J372"/>
  <c r="H372"/>
  <c r="Q76" i="98"/>
  <c r="Y76"/>
  <c r="AC76"/>
  <c r="AG76"/>
  <c r="AM76"/>
  <c r="O76"/>
  <c r="S76"/>
  <c r="U76"/>
  <c r="W76"/>
  <c r="AA76"/>
  <c r="AE76"/>
  <c r="AI76"/>
  <c r="AK76"/>
  <c r="AO76"/>
  <c r="AQ76"/>
  <c r="P76"/>
  <c r="R76"/>
  <c r="T76"/>
  <c r="V76"/>
  <c r="X76"/>
  <c r="Z76"/>
  <c r="AB76"/>
  <c r="AD76"/>
  <c r="AF76"/>
  <c r="AH76"/>
  <c r="AJ76"/>
  <c r="AL76"/>
  <c r="AN76"/>
  <c r="AP76"/>
  <c r="N225" i="113" l="1"/>
  <c r="N8" s="1"/>
  <c r="O225" i="112"/>
  <c r="O8" s="1"/>
  <c r="N225" i="114"/>
  <c r="N8" s="1"/>
  <c r="J232"/>
  <c r="J232" i="113"/>
  <c r="K232" i="112"/>
  <c r="K225"/>
  <c r="J225" i="114"/>
  <c r="J8" s="1"/>
  <c r="J225" i="113"/>
  <c r="J8" s="1"/>
  <c r="L225" i="112"/>
  <c r="L8" s="1"/>
  <c r="K225" i="114"/>
  <c r="K8" s="1"/>
  <c r="K225" i="113"/>
  <c r="K8" s="1"/>
  <c r="G263" i="112"/>
  <c r="F263"/>
  <c r="E263"/>
  <c r="H263"/>
  <c r="F270"/>
  <c r="G270"/>
  <c r="E270"/>
  <c r="H270"/>
  <c r="D277" i="114"/>
  <c r="E277"/>
  <c r="F277"/>
  <c r="G277"/>
  <c r="G277" i="112"/>
  <c r="H277"/>
  <c r="E277"/>
  <c r="F277"/>
  <c r="E249" i="113"/>
  <c r="D249"/>
  <c r="G249"/>
  <c r="F249"/>
  <c r="F263" i="114"/>
  <c r="D263"/>
  <c r="G263"/>
  <c r="E263"/>
  <c r="M225"/>
  <c r="M8" s="1"/>
  <c r="M225" i="113"/>
  <c r="M8" s="1"/>
  <c r="N225" i="112"/>
  <c r="N8" s="1"/>
  <c r="L225" i="114"/>
  <c r="L8" s="1"/>
  <c r="L225" i="113"/>
  <c r="L8" s="1"/>
  <c r="M225" i="112"/>
  <c r="M8" s="1"/>
  <c r="I225" i="114"/>
  <c r="I225" i="113"/>
  <c r="I232" i="114"/>
  <c r="I232" i="113"/>
  <c r="J232" i="112"/>
  <c r="J225"/>
  <c r="F249" i="114"/>
  <c r="D249"/>
  <c r="E249"/>
  <c r="G249"/>
  <c r="G249" i="112"/>
  <c r="F249"/>
  <c r="E249"/>
  <c r="H249"/>
  <c r="G256" i="113"/>
  <c r="F256"/>
  <c r="E256"/>
  <c r="D256"/>
  <c r="E263"/>
  <c r="D263"/>
  <c r="G263"/>
  <c r="F263"/>
  <c r="G270" i="114"/>
  <c r="E270"/>
  <c r="D270"/>
  <c r="F270"/>
  <c r="E256"/>
  <c r="G256"/>
  <c r="F256"/>
  <c r="D256"/>
  <c r="E256" i="112"/>
  <c r="H256"/>
  <c r="G256"/>
  <c r="F256"/>
  <c r="E270" i="113"/>
  <c r="D270"/>
  <c r="G270"/>
  <c r="F270"/>
  <c r="G277"/>
  <c r="F277"/>
  <c r="E277"/>
  <c r="D277"/>
  <c r="Y84" i="110"/>
  <c r="X87"/>
  <c r="AA83"/>
  <c r="C373" i="1"/>
  <c r="F375" s="1"/>
  <c r="D70" i="98"/>
  <c r="O43" i="95"/>
  <c r="AA42"/>
  <c r="AB41"/>
  <c r="L76" i="94"/>
  <c r="G242" i="1"/>
  <c r="F242"/>
  <c r="H117" i="29"/>
  <c r="AQ117" s="1"/>
  <c r="AQ115"/>
  <c r="AH74"/>
  <c r="AF74"/>
  <c r="AD74"/>
  <c r="AB74"/>
  <c r="Z74"/>
  <c r="X74"/>
  <c r="V74"/>
  <c r="T74"/>
  <c r="R74"/>
  <c r="P74"/>
  <c r="N74"/>
  <c r="L74"/>
  <c r="AI74"/>
  <c r="AG74"/>
  <c r="AE74"/>
  <c r="AC74"/>
  <c r="AA74"/>
  <c r="Y74"/>
  <c r="W74"/>
  <c r="U74"/>
  <c r="S74"/>
  <c r="Q74"/>
  <c r="O74"/>
  <c r="M74"/>
  <c r="K74"/>
  <c r="AQ74" s="1"/>
  <c r="H145"/>
  <c r="AQ145" s="1"/>
  <c r="AQ143"/>
  <c r="AG54"/>
  <c r="AG56" s="1"/>
  <c r="I85"/>
  <c r="I87" s="1"/>
  <c r="J54"/>
  <c r="J56" s="1"/>
  <c r="N54"/>
  <c r="N56" s="1"/>
  <c r="R54"/>
  <c r="R56" s="1"/>
  <c r="V54"/>
  <c r="V56" s="1"/>
  <c r="Z54"/>
  <c r="Z56" s="1"/>
  <c r="AD54"/>
  <c r="AD56" s="1"/>
  <c r="I54"/>
  <c r="I56" s="1"/>
  <c r="M54"/>
  <c r="M56" s="1"/>
  <c r="Q54"/>
  <c r="Q56" s="1"/>
  <c r="U54"/>
  <c r="U56" s="1"/>
  <c r="Y54"/>
  <c r="Y56" s="1"/>
  <c r="AC54"/>
  <c r="AC56" s="1"/>
  <c r="AI54"/>
  <c r="AI56" s="1"/>
  <c r="H172"/>
  <c r="AQ172" s="1"/>
  <c r="AQ170"/>
  <c r="J68"/>
  <c r="K66"/>
  <c r="J65"/>
  <c r="J85" s="1"/>
  <c r="J87" s="1"/>
  <c r="K63"/>
  <c r="K69"/>
  <c r="AQ42"/>
  <c r="H54"/>
  <c r="AQ44"/>
  <c r="AH54"/>
  <c r="AH56" s="1"/>
  <c r="AQ52"/>
  <c r="AQ47"/>
  <c r="AK54"/>
  <c r="AK56" s="1"/>
  <c r="AQ73"/>
  <c r="AQ114"/>
  <c r="H85"/>
  <c r="AQ142"/>
  <c r="L54"/>
  <c r="L56" s="1"/>
  <c r="P54"/>
  <c r="P56" s="1"/>
  <c r="T54"/>
  <c r="T56" s="1"/>
  <c r="X54"/>
  <c r="X56" s="1"/>
  <c r="AB54"/>
  <c r="AB56" s="1"/>
  <c r="AF54"/>
  <c r="AF56" s="1"/>
  <c r="K54"/>
  <c r="K56" s="1"/>
  <c r="O54"/>
  <c r="O56" s="1"/>
  <c r="S54"/>
  <c r="S56" s="1"/>
  <c r="W54"/>
  <c r="W56" s="1"/>
  <c r="AA54"/>
  <c r="AA56" s="1"/>
  <c r="AE54"/>
  <c r="AE56" s="1"/>
  <c r="AQ50"/>
  <c r="AQ49"/>
  <c r="AM54"/>
  <c r="AM56" s="1"/>
  <c r="C372" i="1"/>
  <c r="K76" i="19"/>
  <c r="J76"/>
  <c r="I76"/>
  <c r="H75"/>
  <c r="O75" s="1"/>
  <c r="AM72"/>
  <c r="AM76" s="1"/>
  <c r="AK72"/>
  <c r="AK76" s="1"/>
  <c r="AI72"/>
  <c r="AI76" s="1"/>
  <c r="AG72"/>
  <c r="AG76" s="1"/>
  <c r="AE72"/>
  <c r="AE76" s="1"/>
  <c r="AC72"/>
  <c r="AC76" s="1"/>
  <c r="AA72"/>
  <c r="AA76" s="1"/>
  <c r="Y72"/>
  <c r="Y76" s="1"/>
  <c r="W72"/>
  <c r="W76" s="1"/>
  <c r="U72"/>
  <c r="U76" s="1"/>
  <c r="S72"/>
  <c r="S76" s="1"/>
  <c r="Q72"/>
  <c r="Q76" s="1"/>
  <c r="O72"/>
  <c r="H71"/>
  <c r="AQ72" s="1"/>
  <c r="AQ76" s="1"/>
  <c r="D69"/>
  <c r="N51" i="2" l="1"/>
  <c r="Q51" s="1"/>
  <c r="N49"/>
  <c r="Q49" s="1"/>
  <c r="N52"/>
  <c r="Q52" s="1"/>
  <c r="N50"/>
  <c r="Q50" s="1"/>
  <c r="K8" i="112"/>
  <c r="E11"/>
  <c r="F3" s="1"/>
  <c r="N48" i="2"/>
  <c r="C233" i="112"/>
  <c r="C232"/>
  <c r="C232" i="114"/>
  <c r="C233"/>
  <c r="C226"/>
  <c r="C225"/>
  <c r="I8"/>
  <c r="C225" i="112"/>
  <c r="C226"/>
  <c r="J8"/>
  <c r="C233" i="113"/>
  <c r="C232"/>
  <c r="I8"/>
  <c r="C226"/>
  <c r="C225"/>
  <c r="S48" i="2"/>
  <c r="V48" s="1"/>
  <c r="D11" i="113"/>
  <c r="S52" i="2"/>
  <c r="V52" s="1"/>
  <c r="S51"/>
  <c r="V51" s="1"/>
  <c r="S50"/>
  <c r="V50" s="1"/>
  <c r="S49"/>
  <c r="V49" s="1"/>
  <c r="D11" i="114"/>
  <c r="AB83" i="110"/>
  <c r="Z84"/>
  <c r="Y87"/>
  <c r="AB42" i="95"/>
  <c r="AC41"/>
  <c r="O45"/>
  <c r="O44"/>
  <c r="H56" i="29"/>
  <c r="AQ56" s="1"/>
  <c r="AQ54"/>
  <c r="AI75"/>
  <c r="AG75"/>
  <c r="AE75"/>
  <c r="AC75"/>
  <c r="AA75"/>
  <c r="Y75"/>
  <c r="W75"/>
  <c r="U75"/>
  <c r="S75"/>
  <c r="Q75"/>
  <c r="O75"/>
  <c r="M75"/>
  <c r="AJ75"/>
  <c r="AH75"/>
  <c r="AF75"/>
  <c r="AD75"/>
  <c r="AB75"/>
  <c r="Z75"/>
  <c r="X75"/>
  <c r="V75"/>
  <c r="T75"/>
  <c r="R75"/>
  <c r="P75"/>
  <c r="N75"/>
  <c r="L75"/>
  <c r="AQ75" s="1"/>
  <c r="H87"/>
  <c r="L69"/>
  <c r="K68"/>
  <c r="L66"/>
  <c r="K65"/>
  <c r="K85" s="1"/>
  <c r="K87" s="1"/>
  <c r="L63"/>
  <c r="AQ53"/>
  <c r="E375" i="1"/>
  <c r="I66" i="2" s="1"/>
  <c r="L66" s="1"/>
  <c r="O76" i="19"/>
  <c r="P72"/>
  <c r="P76" s="1"/>
  <c r="R72"/>
  <c r="R76" s="1"/>
  <c r="T72"/>
  <c r="T76" s="1"/>
  <c r="V72"/>
  <c r="V76" s="1"/>
  <c r="X72"/>
  <c r="X76" s="1"/>
  <c r="Z72"/>
  <c r="Z76" s="1"/>
  <c r="AB72"/>
  <c r="AB76" s="1"/>
  <c r="AD72"/>
  <c r="AD76" s="1"/>
  <c r="AF72"/>
  <c r="AF76" s="1"/>
  <c r="AH72"/>
  <c r="AH76" s="1"/>
  <c r="AJ72"/>
  <c r="AJ76" s="1"/>
  <c r="AL72"/>
  <c r="AL76" s="1"/>
  <c r="AN72"/>
  <c r="AN76" s="1"/>
  <c r="AP72"/>
  <c r="AP76" s="1"/>
  <c r="AR72"/>
  <c r="AR76" s="1"/>
  <c r="L75"/>
  <c r="L76" s="1"/>
  <c r="N75"/>
  <c r="N76" s="1"/>
  <c r="P75"/>
  <c r="AO72"/>
  <c r="AO76" s="1"/>
  <c r="M75"/>
  <c r="M76" s="1"/>
  <c r="F45" i="104" l="1"/>
  <c r="R45" s="1"/>
  <c r="V45" s="1"/>
  <c r="G19" i="73"/>
  <c r="F44" i="104"/>
  <c r="R44" s="1"/>
  <c r="V44" s="1"/>
  <c r="G23" i="73"/>
  <c r="F43" i="104"/>
  <c r="R43" s="1"/>
  <c r="V43" s="1"/>
  <c r="G18" i="73"/>
  <c r="F42" i="104"/>
  <c r="G13" i="73"/>
  <c r="U57" i="2"/>
  <c r="M57"/>
  <c r="N79" s="1"/>
  <c r="Q48"/>
  <c r="G14" i="73" s="1"/>
  <c r="E3" i="113"/>
  <c r="F235"/>
  <c r="E235"/>
  <c r="S46" i="2" s="1"/>
  <c r="V46" s="1"/>
  <c r="G235" i="113"/>
  <c r="G11" s="1"/>
  <c r="F228" i="112"/>
  <c r="G228"/>
  <c r="C9"/>
  <c r="E228" i="114"/>
  <c r="F228"/>
  <c r="C9"/>
  <c r="G235" i="112"/>
  <c r="F235"/>
  <c r="H235"/>
  <c r="H11" s="1"/>
  <c r="E3" i="114"/>
  <c r="E228" i="113"/>
  <c r="F228"/>
  <c r="C9"/>
  <c r="F235" i="114"/>
  <c r="E235"/>
  <c r="G235"/>
  <c r="G11" s="1"/>
  <c r="AA84" i="110"/>
  <c r="Z87"/>
  <c r="AC83"/>
  <c r="R42" i="104"/>
  <c r="V42" s="1"/>
  <c r="AC42" i="95"/>
  <c r="AD41"/>
  <c r="L68" i="29"/>
  <c r="M66"/>
  <c r="L65"/>
  <c r="L85" s="1"/>
  <c r="L87" s="1"/>
  <c r="M63"/>
  <c r="M69"/>
  <c r="AJ76"/>
  <c r="AH76"/>
  <c r="AF76"/>
  <c r="AD76"/>
  <c r="AB76"/>
  <c r="Z76"/>
  <c r="X76"/>
  <c r="V76"/>
  <c r="T76"/>
  <c r="R76"/>
  <c r="P76"/>
  <c r="N76"/>
  <c r="AK76"/>
  <c r="AI76"/>
  <c r="AG76"/>
  <c r="AE76"/>
  <c r="AC76"/>
  <c r="AA76"/>
  <c r="Y76"/>
  <c r="W76"/>
  <c r="U76"/>
  <c r="S76"/>
  <c r="Q76"/>
  <c r="O76"/>
  <c r="M76"/>
  <c r="D70" i="19"/>
  <c r="C231" i="1"/>
  <c r="D231" s="1"/>
  <c r="N235"/>
  <c r="M235"/>
  <c r="L235"/>
  <c r="K235"/>
  <c r="J235"/>
  <c r="I235"/>
  <c r="H235"/>
  <c r="G45" i="2"/>
  <c r="C45"/>
  <c r="B45"/>
  <c r="D70" i="99"/>
  <c r="H70"/>
  <c r="Q74"/>
  <c r="P74"/>
  <c r="O74"/>
  <c r="N74"/>
  <c r="M74"/>
  <c r="AK73"/>
  <c r="AJ73"/>
  <c r="AI73"/>
  <c r="AH73"/>
  <c r="AG73"/>
  <c r="AF73"/>
  <c r="AE73"/>
  <c r="AD73"/>
  <c r="AC73"/>
  <c r="AB73"/>
  <c r="AA73"/>
  <c r="Z73"/>
  <c r="Y73"/>
  <c r="X73"/>
  <c r="W73"/>
  <c r="V73"/>
  <c r="U73"/>
  <c r="T73"/>
  <c r="S73"/>
  <c r="AK72"/>
  <c r="AK74" s="1"/>
  <c r="AJ72"/>
  <c r="AJ74" s="1"/>
  <c r="AI72"/>
  <c r="AI74" s="1"/>
  <c r="AH72"/>
  <c r="AH74" s="1"/>
  <c r="AG72"/>
  <c r="AG74" s="1"/>
  <c r="AF72"/>
  <c r="AF74" s="1"/>
  <c r="AE72"/>
  <c r="AE74" s="1"/>
  <c r="AD72"/>
  <c r="AD74" s="1"/>
  <c r="AC72"/>
  <c r="AC74" s="1"/>
  <c r="AB72"/>
  <c r="AB74" s="1"/>
  <c r="AA72"/>
  <c r="AA74" s="1"/>
  <c r="Z72"/>
  <c r="Z74" s="1"/>
  <c r="Y72"/>
  <c r="Y74" s="1"/>
  <c r="X72"/>
  <c r="X74" s="1"/>
  <c r="W72"/>
  <c r="W74" s="1"/>
  <c r="V72"/>
  <c r="V74" s="1"/>
  <c r="U72"/>
  <c r="U74" s="1"/>
  <c r="T72"/>
  <c r="T74" s="1"/>
  <c r="S72"/>
  <c r="S74" s="1"/>
  <c r="R72"/>
  <c r="R74" s="1"/>
  <c r="N340" i="1"/>
  <c r="M340"/>
  <c r="L340"/>
  <c r="K340"/>
  <c r="J340"/>
  <c r="I340"/>
  <c r="H340"/>
  <c r="G340"/>
  <c r="F61" i="2"/>
  <c r="C61"/>
  <c r="C335" i="1"/>
  <c r="G60" i="2"/>
  <c r="F60"/>
  <c r="D60"/>
  <c r="C60"/>
  <c r="B60"/>
  <c r="N228" i="1"/>
  <c r="M228"/>
  <c r="L228"/>
  <c r="K228"/>
  <c r="J228"/>
  <c r="I228"/>
  <c r="H228"/>
  <c r="G228"/>
  <c r="N221"/>
  <c r="M221"/>
  <c r="L221"/>
  <c r="K221"/>
  <c r="J221"/>
  <c r="I221"/>
  <c r="H221"/>
  <c r="G221"/>
  <c r="C308"/>
  <c r="D308" s="1"/>
  <c r="N312"/>
  <c r="M312"/>
  <c r="L312"/>
  <c r="K312"/>
  <c r="J312"/>
  <c r="I312"/>
  <c r="G57" i="2"/>
  <c r="F57"/>
  <c r="D57"/>
  <c r="C57"/>
  <c r="B57"/>
  <c r="G56"/>
  <c r="F56"/>
  <c r="D56"/>
  <c r="C56"/>
  <c r="B56"/>
  <c r="C140" i="1"/>
  <c r="D140" s="1"/>
  <c r="N144"/>
  <c r="M144"/>
  <c r="L144"/>
  <c r="K144"/>
  <c r="J144"/>
  <c r="I144"/>
  <c r="H144"/>
  <c r="G144"/>
  <c r="F144"/>
  <c r="G32" i="2"/>
  <c r="C32"/>
  <c r="B32"/>
  <c r="F11" i="112" l="1"/>
  <c r="F11" i="113"/>
  <c r="F41" i="104"/>
  <c r="P57" i="2"/>
  <c r="P79" s="1"/>
  <c r="N45"/>
  <c r="Q45" s="1"/>
  <c r="G21" i="73" s="1"/>
  <c r="F11" i="114"/>
  <c r="S45" i="2"/>
  <c r="V45" s="1"/>
  <c r="U47" s="1"/>
  <c r="E11" i="113"/>
  <c r="N46" i="2"/>
  <c r="Q46" s="1"/>
  <c r="E11" i="114"/>
  <c r="G11" i="112"/>
  <c r="C132" i="114"/>
  <c r="C132" i="112"/>
  <c r="C132" i="113"/>
  <c r="D300" i="114"/>
  <c r="D300" i="113"/>
  <c r="E300" i="112"/>
  <c r="D335" i="114"/>
  <c r="E335" i="112"/>
  <c r="D335" i="113"/>
  <c r="C223" i="114"/>
  <c r="C223" i="113"/>
  <c r="C223" i="112"/>
  <c r="D132" i="113"/>
  <c r="D132" i="114"/>
  <c r="E132" i="112"/>
  <c r="C300" i="113"/>
  <c r="C300" i="112"/>
  <c r="C300" i="114"/>
  <c r="D307"/>
  <c r="D307" i="113"/>
  <c r="E307" i="112"/>
  <c r="D328" i="113"/>
  <c r="D328" i="114"/>
  <c r="E328" i="112"/>
  <c r="E223"/>
  <c r="D223" i="114"/>
  <c r="D223" i="113"/>
  <c r="C307"/>
  <c r="C307" i="112"/>
  <c r="C307" i="114"/>
  <c r="C328"/>
  <c r="C328" i="112"/>
  <c r="C328" i="113"/>
  <c r="AD83" i="110"/>
  <c r="AB84"/>
  <c r="AA87"/>
  <c r="C25" i="104"/>
  <c r="C50"/>
  <c r="C49"/>
  <c r="C54"/>
  <c r="C53"/>
  <c r="C38"/>
  <c r="D132" i="1"/>
  <c r="D300"/>
  <c r="D335"/>
  <c r="D307"/>
  <c r="D328"/>
  <c r="D223"/>
  <c r="AD42" i="95"/>
  <c r="AE41"/>
  <c r="N69" i="29"/>
  <c r="M68"/>
  <c r="N66"/>
  <c r="M65"/>
  <c r="M85" s="1"/>
  <c r="N63"/>
  <c r="AQ76"/>
  <c r="AK77"/>
  <c r="AI77"/>
  <c r="AG77"/>
  <c r="AE77"/>
  <c r="AC77"/>
  <c r="AA77"/>
  <c r="Y77"/>
  <c r="W77"/>
  <c r="U77"/>
  <c r="S77"/>
  <c r="Q77"/>
  <c r="O77"/>
  <c r="AL77"/>
  <c r="AJ77"/>
  <c r="AH77"/>
  <c r="AF77"/>
  <c r="AD77"/>
  <c r="AB77"/>
  <c r="Z77"/>
  <c r="X77"/>
  <c r="V77"/>
  <c r="T77"/>
  <c r="R77"/>
  <c r="P77"/>
  <c r="N77"/>
  <c r="C307" i="1"/>
  <c r="C328"/>
  <c r="C223"/>
  <c r="C132"/>
  <c r="C300"/>
  <c r="L75" i="99"/>
  <c r="G312" i="1"/>
  <c r="H312"/>
  <c r="F312"/>
  <c r="F39" i="104" l="1"/>
  <c r="G25" i="73"/>
  <c r="F38" i="104"/>
  <c r="P47" i="2"/>
  <c r="P78" s="1"/>
  <c r="G3" i="112"/>
  <c r="H3" s="1"/>
  <c r="L3" s="1"/>
  <c r="P3" s="1"/>
  <c r="C10"/>
  <c r="F10"/>
  <c r="G10" s="1"/>
  <c r="F3" i="114"/>
  <c r="G3" s="1"/>
  <c r="K3" s="1"/>
  <c r="O3" s="1"/>
  <c r="C10"/>
  <c r="E10"/>
  <c r="F10" s="1"/>
  <c r="F3" i="113"/>
  <c r="G3" s="1"/>
  <c r="K3" s="1"/>
  <c r="R3" s="1"/>
  <c r="E10"/>
  <c r="F10" s="1"/>
  <c r="C10"/>
  <c r="M47" i="2"/>
  <c r="N71" s="1"/>
  <c r="AC84" i="110"/>
  <c r="AB87"/>
  <c r="AE83"/>
  <c r="AE42" i="95"/>
  <c r="AF41"/>
  <c r="N68" i="29"/>
  <c r="O66"/>
  <c r="N65"/>
  <c r="N85" s="1"/>
  <c r="N87" s="1"/>
  <c r="O63"/>
  <c r="O69"/>
  <c r="AQ77"/>
  <c r="M87"/>
  <c r="AL78"/>
  <c r="AJ78"/>
  <c r="AH78"/>
  <c r="AF78"/>
  <c r="AD78"/>
  <c r="AB78"/>
  <c r="Z78"/>
  <c r="X78"/>
  <c r="V78"/>
  <c r="T78"/>
  <c r="R78"/>
  <c r="P78"/>
  <c r="AM78"/>
  <c r="AK78"/>
  <c r="AI78"/>
  <c r="AG78"/>
  <c r="AE78"/>
  <c r="AC78"/>
  <c r="AA78"/>
  <c r="Y78"/>
  <c r="W78"/>
  <c r="U78"/>
  <c r="S78"/>
  <c r="Q78"/>
  <c r="O78"/>
  <c r="AF83" i="110" l="1"/>
  <c r="AD84"/>
  <c r="AC87"/>
  <c r="R57" i="2"/>
  <c r="T79" s="1"/>
  <c r="X79" s="1"/>
  <c r="AF42" i="95"/>
  <c r="AG41"/>
  <c r="AM79" i="29"/>
  <c r="AK79"/>
  <c r="AI79"/>
  <c r="AG79"/>
  <c r="AE79"/>
  <c r="AC79"/>
  <c r="AA79"/>
  <c r="Y79"/>
  <c r="W79"/>
  <c r="U79"/>
  <c r="S79"/>
  <c r="Q79"/>
  <c r="AN79"/>
  <c r="AL79"/>
  <c r="AJ79"/>
  <c r="AH79"/>
  <c r="AF79"/>
  <c r="AD79"/>
  <c r="AB79"/>
  <c r="Z79"/>
  <c r="X79"/>
  <c r="V79"/>
  <c r="T79"/>
  <c r="R79"/>
  <c r="P79"/>
  <c r="AQ78"/>
  <c r="P69"/>
  <c r="O68"/>
  <c r="P66"/>
  <c r="O65"/>
  <c r="O85" s="1"/>
  <c r="P63"/>
  <c r="AE84" i="110" l="1"/>
  <c r="AD87"/>
  <c r="AG83"/>
  <c r="L26" i="104"/>
  <c r="J26"/>
  <c r="AG42" i="95"/>
  <c r="AH41"/>
  <c r="O87" i="29"/>
  <c r="AN80"/>
  <c r="AL80"/>
  <c r="AJ80"/>
  <c r="AH80"/>
  <c r="AF80"/>
  <c r="AD80"/>
  <c r="AB80"/>
  <c r="Z80"/>
  <c r="X80"/>
  <c r="V80"/>
  <c r="T80"/>
  <c r="R80"/>
  <c r="AO80"/>
  <c r="AM80"/>
  <c r="AK80"/>
  <c r="AI80"/>
  <c r="AG80"/>
  <c r="AE80"/>
  <c r="AC80"/>
  <c r="AA80"/>
  <c r="Y80"/>
  <c r="W80"/>
  <c r="U80"/>
  <c r="S80"/>
  <c r="Q80"/>
  <c r="AQ79"/>
  <c r="P68"/>
  <c r="Q66"/>
  <c r="P65"/>
  <c r="P85" s="1"/>
  <c r="P87" s="1"/>
  <c r="Q63"/>
  <c r="Q69"/>
  <c r="C224" i="1"/>
  <c r="D224" s="1"/>
  <c r="G44" i="2"/>
  <c r="F44"/>
  <c r="C44"/>
  <c r="B44"/>
  <c r="R59" i="17"/>
  <c r="S59"/>
  <c r="T59"/>
  <c r="U59"/>
  <c r="V59"/>
  <c r="W59"/>
  <c r="X59"/>
  <c r="Y59"/>
  <c r="Z59"/>
  <c r="AA59"/>
  <c r="AB59"/>
  <c r="AC59"/>
  <c r="AD59"/>
  <c r="AE59"/>
  <c r="AF59"/>
  <c r="AG59"/>
  <c r="AH59"/>
  <c r="AI59"/>
  <c r="AJ59"/>
  <c r="AK59"/>
  <c r="AL59"/>
  <c r="O59"/>
  <c r="P59"/>
  <c r="Q59"/>
  <c r="N59"/>
  <c r="D70"/>
  <c r="O79" i="9"/>
  <c r="O72"/>
  <c r="D70"/>
  <c r="D70" i="92"/>
  <c r="W78"/>
  <c r="X78"/>
  <c r="Y78"/>
  <c r="Z78"/>
  <c r="AA78"/>
  <c r="U78"/>
  <c r="AB78"/>
  <c r="AC78"/>
  <c r="AD78"/>
  <c r="AE78"/>
  <c r="AF78"/>
  <c r="AG78"/>
  <c r="AH78"/>
  <c r="AI78"/>
  <c r="AJ78"/>
  <c r="AK78"/>
  <c r="AL78"/>
  <c r="AM78"/>
  <c r="AN78"/>
  <c r="O78"/>
  <c r="P78"/>
  <c r="Q78"/>
  <c r="R78"/>
  <c r="S78"/>
  <c r="T78"/>
  <c r="N78"/>
  <c r="C217" i="1"/>
  <c r="D217" s="1"/>
  <c r="G43" i="2"/>
  <c r="F43"/>
  <c r="C43"/>
  <c r="B43"/>
  <c r="D21"/>
  <c r="J75" i="93"/>
  <c r="L73"/>
  <c r="L72"/>
  <c r="L71"/>
  <c r="L75" s="1"/>
  <c r="C133" i="1"/>
  <c r="D133" s="1"/>
  <c r="N137"/>
  <c r="M137"/>
  <c r="L137"/>
  <c r="K137"/>
  <c r="J137"/>
  <c r="I137"/>
  <c r="H137"/>
  <c r="G137"/>
  <c r="F137"/>
  <c r="G31" i="2"/>
  <c r="F31"/>
  <c r="C31"/>
  <c r="B31"/>
  <c r="C210" i="1"/>
  <c r="D210" s="1"/>
  <c r="N214"/>
  <c r="M214"/>
  <c r="L214"/>
  <c r="K214"/>
  <c r="J214"/>
  <c r="I214"/>
  <c r="H214"/>
  <c r="G42" i="2"/>
  <c r="F42"/>
  <c r="C42"/>
  <c r="B42"/>
  <c r="C182" i="1"/>
  <c r="D182" s="1"/>
  <c r="C196"/>
  <c r="D196" s="1"/>
  <c r="C189"/>
  <c r="D70" i="18"/>
  <c r="M78" i="9"/>
  <c r="M77"/>
  <c r="M79" s="1"/>
  <c r="M71"/>
  <c r="M70"/>
  <c r="M72" s="1"/>
  <c r="C126" i="1"/>
  <c r="D126" s="1"/>
  <c r="N130"/>
  <c r="M130"/>
  <c r="L130"/>
  <c r="K130"/>
  <c r="J130"/>
  <c r="I130"/>
  <c r="H130"/>
  <c r="G130"/>
  <c r="F30" i="2"/>
  <c r="C30"/>
  <c r="B30"/>
  <c r="H73" i="91"/>
  <c r="C119" i="1"/>
  <c r="D119" s="1"/>
  <c r="N123"/>
  <c r="M123"/>
  <c r="L123"/>
  <c r="K123"/>
  <c r="J123"/>
  <c r="I123"/>
  <c r="H123"/>
  <c r="G123"/>
  <c r="F123"/>
  <c r="G29" i="2"/>
  <c r="F29"/>
  <c r="C29"/>
  <c r="B29"/>
  <c r="C112" i="1"/>
  <c r="D112" s="1"/>
  <c r="N116"/>
  <c r="M116"/>
  <c r="L116"/>
  <c r="K116"/>
  <c r="J116"/>
  <c r="I116"/>
  <c r="H116"/>
  <c r="C28" i="2"/>
  <c r="G28"/>
  <c r="F28"/>
  <c r="B28"/>
  <c r="C105" i="1"/>
  <c r="D105" s="1"/>
  <c r="N109"/>
  <c r="M109"/>
  <c r="L109"/>
  <c r="K109"/>
  <c r="J109"/>
  <c r="I109"/>
  <c r="H109"/>
  <c r="G27" i="2"/>
  <c r="F27"/>
  <c r="C27"/>
  <c r="B27"/>
  <c r="C98" i="1"/>
  <c r="D98" s="1"/>
  <c r="C97"/>
  <c r="N102"/>
  <c r="M102"/>
  <c r="L102"/>
  <c r="K102"/>
  <c r="J102"/>
  <c r="I102"/>
  <c r="H102"/>
  <c r="G26" i="2"/>
  <c r="F26"/>
  <c r="C26"/>
  <c r="B26"/>
  <c r="C91" i="1"/>
  <c r="D91" s="1"/>
  <c r="N95"/>
  <c r="M95"/>
  <c r="L95"/>
  <c r="K95"/>
  <c r="J95"/>
  <c r="I95"/>
  <c r="H95"/>
  <c r="G95"/>
  <c r="F95"/>
  <c r="G25" i="2"/>
  <c r="F25"/>
  <c r="C25"/>
  <c r="B25"/>
  <c r="D364" i="1"/>
  <c r="N368"/>
  <c r="M368"/>
  <c r="L368"/>
  <c r="K368"/>
  <c r="J368"/>
  <c r="I368"/>
  <c r="H368"/>
  <c r="C367"/>
  <c r="G64" i="2"/>
  <c r="F64"/>
  <c r="C64"/>
  <c r="B64"/>
  <c r="I74" i="37"/>
  <c r="C203" i="1"/>
  <c r="D203" s="1"/>
  <c r="N207"/>
  <c r="M207"/>
  <c r="L207"/>
  <c r="K207"/>
  <c r="J207"/>
  <c r="I207"/>
  <c r="H207"/>
  <c r="G207"/>
  <c r="F207"/>
  <c r="G41" i="2"/>
  <c r="F41"/>
  <c r="C41"/>
  <c r="B41"/>
  <c r="C84" i="1"/>
  <c r="D84" s="1"/>
  <c r="N88"/>
  <c r="M88"/>
  <c r="L88"/>
  <c r="K88"/>
  <c r="J88"/>
  <c r="I88"/>
  <c r="H88"/>
  <c r="G88"/>
  <c r="F88"/>
  <c r="G23" i="2"/>
  <c r="G24"/>
  <c r="F24"/>
  <c r="C24"/>
  <c r="B24"/>
  <c r="N81" i="1"/>
  <c r="M81"/>
  <c r="L81"/>
  <c r="K81"/>
  <c r="J81"/>
  <c r="I81"/>
  <c r="H81"/>
  <c r="G81"/>
  <c r="F81"/>
  <c r="C329"/>
  <c r="D329" s="1"/>
  <c r="N333"/>
  <c r="M333"/>
  <c r="L333"/>
  <c r="K333"/>
  <c r="J333"/>
  <c r="I333"/>
  <c r="H333"/>
  <c r="G333"/>
  <c r="F333"/>
  <c r="G59" i="2"/>
  <c r="F59"/>
  <c r="C59"/>
  <c r="B59"/>
  <c r="C77" i="1"/>
  <c r="D77" s="1"/>
  <c r="C168"/>
  <c r="D168" s="1"/>
  <c r="B23" i="2"/>
  <c r="C23"/>
  <c r="F23"/>
  <c r="D69" i="114" l="1"/>
  <c r="D69" i="113"/>
  <c r="E69" i="112"/>
  <c r="C321" i="114"/>
  <c r="C321" i="113"/>
  <c r="C321" i="112"/>
  <c r="D76" i="113"/>
  <c r="D76" i="114"/>
  <c r="E76" i="112"/>
  <c r="C195" i="114"/>
  <c r="C195" i="113"/>
  <c r="C195" i="112"/>
  <c r="D356" i="114"/>
  <c r="D356" i="113"/>
  <c r="E356" i="112"/>
  <c r="C83" i="114"/>
  <c r="C83" i="112"/>
  <c r="C83" i="113"/>
  <c r="C69" i="114"/>
  <c r="C69" i="113"/>
  <c r="C69" i="112"/>
  <c r="D321" i="113"/>
  <c r="E321" i="112"/>
  <c r="D321" i="114"/>
  <c r="C76"/>
  <c r="C76" i="112"/>
  <c r="C76" i="113"/>
  <c r="D195"/>
  <c r="E195" i="112"/>
  <c r="D195" i="114"/>
  <c r="C356" i="113"/>
  <c r="C356" i="112"/>
  <c r="C356" i="114"/>
  <c r="D83" i="113"/>
  <c r="D83" i="114"/>
  <c r="E83" i="112"/>
  <c r="D90" i="114"/>
  <c r="D90" i="113"/>
  <c r="E90" i="112"/>
  <c r="C104" i="113"/>
  <c r="C104" i="114"/>
  <c r="C104" i="112"/>
  <c r="C111" i="114"/>
  <c r="C111" i="112"/>
  <c r="C111" i="113"/>
  <c r="D118" i="114"/>
  <c r="D118" i="113"/>
  <c r="E118" i="112"/>
  <c r="D125" i="114"/>
  <c r="D125" i="113"/>
  <c r="E125" i="112"/>
  <c r="C209" i="113"/>
  <c r="C209" i="112"/>
  <c r="C209" i="114"/>
  <c r="D216"/>
  <c r="D216" i="113"/>
  <c r="E216" i="112"/>
  <c r="C90" i="114"/>
  <c r="C90" i="113"/>
  <c r="C90" i="112"/>
  <c r="D97" i="114"/>
  <c r="D97" i="113"/>
  <c r="E97" i="112"/>
  <c r="D104" i="114"/>
  <c r="E104" i="112"/>
  <c r="D104" i="113"/>
  <c r="D111"/>
  <c r="D111" i="114"/>
  <c r="E111" i="112"/>
  <c r="C118"/>
  <c r="C118" i="114"/>
  <c r="C118" i="113"/>
  <c r="C202" i="114"/>
  <c r="C202" i="113"/>
  <c r="C202" i="112"/>
  <c r="C125"/>
  <c r="C125" i="114"/>
  <c r="C125" i="113"/>
  <c r="D209" i="114"/>
  <c r="D209" i="113"/>
  <c r="E209" i="112"/>
  <c r="C216"/>
  <c r="C216" i="114"/>
  <c r="C216" i="113"/>
  <c r="D202" i="114"/>
  <c r="D202" i="113"/>
  <c r="E202" i="112"/>
  <c r="AH83" i="110"/>
  <c r="AF84"/>
  <c r="AE87"/>
  <c r="R41" i="104"/>
  <c r="V41" s="1"/>
  <c r="AD330" i="1"/>
  <c r="G40" i="2"/>
  <c r="D189" i="1"/>
  <c r="V26" i="104"/>
  <c r="C34"/>
  <c r="C18"/>
  <c r="C19"/>
  <c r="C16"/>
  <c r="C17"/>
  <c r="C57"/>
  <c r="C20"/>
  <c r="C21"/>
  <c r="C22"/>
  <c r="C36"/>
  <c r="C52"/>
  <c r="C23"/>
  <c r="C35"/>
  <c r="C24"/>
  <c r="C37"/>
  <c r="D321" i="1"/>
  <c r="D195"/>
  <c r="D83"/>
  <c r="D90"/>
  <c r="D118"/>
  <c r="D202"/>
  <c r="D125"/>
  <c r="D216"/>
  <c r="D69"/>
  <c r="D76"/>
  <c r="D97"/>
  <c r="D104"/>
  <c r="D111"/>
  <c r="D209"/>
  <c r="D68" i="37"/>
  <c r="AH42" i="95"/>
  <c r="AI41"/>
  <c r="T365" i="1"/>
  <c r="V365"/>
  <c r="AO81" i="29"/>
  <c r="AM81"/>
  <c r="AK81"/>
  <c r="AI81"/>
  <c r="AG81"/>
  <c r="AE81"/>
  <c r="AC81"/>
  <c r="AA81"/>
  <c r="Y81"/>
  <c r="W81"/>
  <c r="U81"/>
  <c r="S81"/>
  <c r="AP81"/>
  <c r="AN81"/>
  <c r="AL81"/>
  <c r="AJ81"/>
  <c r="AH81"/>
  <c r="AF81"/>
  <c r="AD81"/>
  <c r="AB81"/>
  <c r="Z81"/>
  <c r="X81"/>
  <c r="V81"/>
  <c r="T81"/>
  <c r="R81"/>
  <c r="AQ80"/>
  <c r="R69"/>
  <c r="Q68"/>
  <c r="R66"/>
  <c r="Q65"/>
  <c r="Q85" s="1"/>
  <c r="Q87" s="1"/>
  <c r="R63"/>
  <c r="K365" i="1"/>
  <c r="M365"/>
  <c r="O365"/>
  <c r="Q365"/>
  <c r="S365"/>
  <c r="X365"/>
  <c r="Z365"/>
  <c r="AB365"/>
  <c r="AD365"/>
  <c r="AF365"/>
  <c r="AH365"/>
  <c r="AJ365"/>
  <c r="AL365"/>
  <c r="AN365"/>
  <c r="AP365"/>
  <c r="J365"/>
  <c r="L365"/>
  <c r="N365"/>
  <c r="P365"/>
  <c r="R365"/>
  <c r="W365"/>
  <c r="Y365"/>
  <c r="AA365"/>
  <c r="AC365"/>
  <c r="AE365"/>
  <c r="AG365"/>
  <c r="AI365"/>
  <c r="AK365"/>
  <c r="AM365"/>
  <c r="AO365"/>
  <c r="I365"/>
  <c r="C195"/>
  <c r="C69"/>
  <c r="C76"/>
  <c r="D356"/>
  <c r="C83"/>
  <c r="C104"/>
  <c r="C111"/>
  <c r="C118"/>
  <c r="C202"/>
  <c r="C209"/>
  <c r="C216"/>
  <c r="C321"/>
  <c r="C356"/>
  <c r="C90"/>
  <c r="C125"/>
  <c r="D70" i="43"/>
  <c r="C37" i="2"/>
  <c r="B37"/>
  <c r="L103" i="79"/>
  <c r="K103"/>
  <c r="J103"/>
  <c r="I103"/>
  <c r="H103"/>
  <c r="G103"/>
  <c r="F103"/>
  <c r="E103"/>
  <c r="D103"/>
  <c r="M104" s="1"/>
  <c r="M102"/>
  <c r="M101"/>
  <c r="M100"/>
  <c r="M103" s="1"/>
  <c r="M105" s="1"/>
  <c r="D75"/>
  <c r="D70"/>
  <c r="F37" i="2"/>
  <c r="C70" i="1"/>
  <c r="D70" s="1"/>
  <c r="N74"/>
  <c r="M74"/>
  <c r="L74"/>
  <c r="K74"/>
  <c r="J74"/>
  <c r="I74"/>
  <c r="H74"/>
  <c r="G74"/>
  <c r="F74"/>
  <c r="M70" i="78"/>
  <c r="D70" s="1"/>
  <c r="F22" i="2"/>
  <c r="C167" i="112" l="1"/>
  <c r="C167" i="114"/>
  <c r="C167" i="113"/>
  <c r="D167" i="114"/>
  <c r="D167" i="113"/>
  <c r="E167" i="112"/>
  <c r="AG84" i="110"/>
  <c r="AF87"/>
  <c r="AI83"/>
  <c r="C366" i="1"/>
  <c r="V18" i="104"/>
  <c r="T17"/>
  <c r="C30"/>
  <c r="D167" i="1"/>
  <c r="M73" i="11"/>
  <c r="M72" i="12"/>
  <c r="AI42" i="95"/>
  <c r="AJ41"/>
  <c r="R68" i="29"/>
  <c r="S66"/>
  <c r="R65"/>
  <c r="R85" s="1"/>
  <c r="R87" s="1"/>
  <c r="S63"/>
  <c r="S69"/>
  <c r="AQ81"/>
  <c r="AQ82" s="1"/>
  <c r="C167" i="1"/>
  <c r="C365"/>
  <c r="N18"/>
  <c r="N25"/>
  <c r="N32"/>
  <c r="N39"/>
  <c r="N46"/>
  <c r="N53"/>
  <c r="N60"/>
  <c r="N67"/>
  <c r="N172"/>
  <c r="N179"/>
  <c r="N186"/>
  <c r="N193"/>
  <c r="N200"/>
  <c r="N249"/>
  <c r="N256"/>
  <c r="N263"/>
  <c r="N270"/>
  <c r="N277"/>
  <c r="N284"/>
  <c r="N291"/>
  <c r="N298"/>
  <c r="N305"/>
  <c r="N319"/>
  <c r="N326"/>
  <c r="N347"/>
  <c r="N354"/>
  <c r="N361"/>
  <c r="F28" i="76"/>
  <c r="G26"/>
  <c r="F29"/>
  <c r="G29" s="1"/>
  <c r="G30" s="1"/>
  <c r="G28"/>
  <c r="F24"/>
  <c r="G36"/>
  <c r="G35"/>
  <c r="G11"/>
  <c r="G10"/>
  <c r="G8"/>
  <c r="G7"/>
  <c r="F37"/>
  <c r="D45" s="1"/>
  <c r="F20"/>
  <c r="F12"/>
  <c r="D43" s="1"/>
  <c r="G12"/>
  <c r="G37"/>
  <c r="F30"/>
  <c r="D44" s="1"/>
  <c r="D68" i="42"/>
  <c r="F51" i="2"/>
  <c r="F50"/>
  <c r="F49"/>
  <c r="F48"/>
  <c r="F63"/>
  <c r="C51"/>
  <c r="C50"/>
  <c r="B51"/>
  <c r="B50"/>
  <c r="B49"/>
  <c r="B48"/>
  <c r="C266" i="1"/>
  <c r="D266" s="1"/>
  <c r="D267" s="1"/>
  <c r="C259"/>
  <c r="C357"/>
  <c r="D357" s="1"/>
  <c r="C350"/>
  <c r="D350" s="1"/>
  <c r="C63" i="2"/>
  <c r="B63"/>
  <c r="M361" i="1"/>
  <c r="L361"/>
  <c r="K361"/>
  <c r="J361"/>
  <c r="I361"/>
  <c r="H361"/>
  <c r="C360"/>
  <c r="C14"/>
  <c r="D14" s="1"/>
  <c r="C21"/>
  <c r="D21" s="1"/>
  <c r="C28"/>
  <c r="D28" s="1"/>
  <c r="C35"/>
  <c r="D35" s="1"/>
  <c r="C49"/>
  <c r="D49" s="1"/>
  <c r="C56"/>
  <c r="D56" s="1"/>
  <c r="C63"/>
  <c r="D63" s="1"/>
  <c r="C42"/>
  <c r="D42" s="1"/>
  <c r="C245"/>
  <c r="D245" s="1"/>
  <c r="D246" s="1"/>
  <c r="C273"/>
  <c r="D273" s="1"/>
  <c r="D274" s="1"/>
  <c r="C280"/>
  <c r="D280" s="1"/>
  <c r="C287"/>
  <c r="D287" s="1"/>
  <c r="C252"/>
  <c r="D252" s="1"/>
  <c r="D253" s="1"/>
  <c r="C294"/>
  <c r="C301"/>
  <c r="D301" s="1"/>
  <c r="C315"/>
  <c r="D315" s="1"/>
  <c r="C322"/>
  <c r="D322" s="1"/>
  <c r="C343"/>
  <c r="D343" s="1"/>
  <c r="C175"/>
  <c r="D175" s="1"/>
  <c r="I18"/>
  <c r="J18"/>
  <c r="K18"/>
  <c r="L18"/>
  <c r="M18"/>
  <c r="I25"/>
  <c r="J25"/>
  <c r="K25"/>
  <c r="L25"/>
  <c r="M25"/>
  <c r="I32"/>
  <c r="J32"/>
  <c r="K32"/>
  <c r="L32"/>
  <c r="M32"/>
  <c r="I39"/>
  <c r="J39"/>
  <c r="K39"/>
  <c r="L39"/>
  <c r="M39"/>
  <c r="I53"/>
  <c r="J53"/>
  <c r="K53"/>
  <c r="L53"/>
  <c r="M53"/>
  <c r="I60"/>
  <c r="J60"/>
  <c r="K60"/>
  <c r="L60"/>
  <c r="M60"/>
  <c r="I67"/>
  <c r="J67"/>
  <c r="K67"/>
  <c r="L67"/>
  <c r="M67"/>
  <c r="I46"/>
  <c r="J46"/>
  <c r="K46"/>
  <c r="L46"/>
  <c r="M46"/>
  <c r="I172"/>
  <c r="J172"/>
  <c r="K172"/>
  <c r="L172"/>
  <c r="M172"/>
  <c r="I179"/>
  <c r="J179"/>
  <c r="K179"/>
  <c r="L179"/>
  <c r="M179"/>
  <c r="I186"/>
  <c r="J186"/>
  <c r="K186"/>
  <c r="L186"/>
  <c r="M186"/>
  <c r="I193"/>
  <c r="J193"/>
  <c r="K193"/>
  <c r="L193"/>
  <c r="M193"/>
  <c r="I200"/>
  <c r="J200"/>
  <c r="K200"/>
  <c r="L200"/>
  <c r="M200"/>
  <c r="I249"/>
  <c r="J249"/>
  <c r="K249"/>
  <c r="L249"/>
  <c r="M249"/>
  <c r="I256"/>
  <c r="J256"/>
  <c r="K256"/>
  <c r="L256"/>
  <c r="M256"/>
  <c r="I263"/>
  <c r="J263"/>
  <c r="K263"/>
  <c r="L263"/>
  <c r="M263"/>
  <c r="I270"/>
  <c r="J270"/>
  <c r="K270"/>
  <c r="L270"/>
  <c r="M270"/>
  <c r="I277"/>
  <c r="J277"/>
  <c r="K277"/>
  <c r="L277"/>
  <c r="M277"/>
  <c r="I284"/>
  <c r="J284"/>
  <c r="K284"/>
  <c r="L284"/>
  <c r="M284"/>
  <c r="I291"/>
  <c r="J291"/>
  <c r="K291"/>
  <c r="L291"/>
  <c r="M291"/>
  <c r="I298"/>
  <c r="J298"/>
  <c r="K298"/>
  <c r="L298"/>
  <c r="M298"/>
  <c r="I305"/>
  <c r="J305"/>
  <c r="K305"/>
  <c r="L305"/>
  <c r="M305"/>
  <c r="I319"/>
  <c r="J319"/>
  <c r="K319"/>
  <c r="L319"/>
  <c r="M319"/>
  <c r="I326"/>
  <c r="J326"/>
  <c r="K326"/>
  <c r="L326"/>
  <c r="M326"/>
  <c r="I347"/>
  <c r="J347"/>
  <c r="K347"/>
  <c r="L347"/>
  <c r="M347"/>
  <c r="I354"/>
  <c r="J354"/>
  <c r="K354"/>
  <c r="L354"/>
  <c r="M354"/>
  <c r="F55" i="2"/>
  <c r="F54"/>
  <c r="C55"/>
  <c r="C54"/>
  <c r="B55"/>
  <c r="B54"/>
  <c r="E269" i="1"/>
  <c r="F269"/>
  <c r="G269"/>
  <c r="H269"/>
  <c r="H270" s="1"/>
  <c r="E262"/>
  <c r="F262"/>
  <c r="G262"/>
  <c r="H262"/>
  <c r="H263" s="1"/>
  <c r="E255"/>
  <c r="F255"/>
  <c r="G255"/>
  <c r="H255"/>
  <c r="H256" s="1"/>
  <c r="E248"/>
  <c r="F248"/>
  <c r="G248"/>
  <c r="H248"/>
  <c r="H249" s="1"/>
  <c r="F62" i="2"/>
  <c r="F53"/>
  <c r="F52"/>
  <c r="C62"/>
  <c r="C53"/>
  <c r="C52"/>
  <c r="B62"/>
  <c r="B53"/>
  <c r="B52"/>
  <c r="C48"/>
  <c r="C49"/>
  <c r="F19"/>
  <c r="F58"/>
  <c r="C19"/>
  <c r="C58"/>
  <c r="B19"/>
  <c r="B58"/>
  <c r="F40"/>
  <c r="F39"/>
  <c r="C40"/>
  <c r="C39"/>
  <c r="B40"/>
  <c r="B39"/>
  <c r="B38"/>
  <c r="B22"/>
  <c r="B21"/>
  <c r="B20"/>
  <c r="F21"/>
  <c r="C21"/>
  <c r="F38"/>
  <c r="F20"/>
  <c r="C38"/>
  <c r="C22"/>
  <c r="C20"/>
  <c r="C18"/>
  <c r="C17"/>
  <c r="C16"/>
  <c r="C15"/>
  <c r="F18"/>
  <c r="F17"/>
  <c r="F16"/>
  <c r="F15"/>
  <c r="B18"/>
  <c r="B17"/>
  <c r="B16"/>
  <c r="B15"/>
  <c r="C39" i="73" s="1"/>
  <c r="H46" i="1"/>
  <c r="G46"/>
  <c r="F46"/>
  <c r="H319"/>
  <c r="G319"/>
  <c r="H200"/>
  <c r="G200"/>
  <c r="F200"/>
  <c r="H326"/>
  <c r="G326"/>
  <c r="H354"/>
  <c r="C353"/>
  <c r="H298"/>
  <c r="G298"/>
  <c r="F298"/>
  <c r="E298"/>
  <c r="H291"/>
  <c r="G291"/>
  <c r="F291"/>
  <c r="H347"/>
  <c r="C346"/>
  <c r="G193"/>
  <c r="H284"/>
  <c r="G284"/>
  <c r="F284"/>
  <c r="H193"/>
  <c r="H186"/>
  <c r="G186"/>
  <c r="H179"/>
  <c r="G179"/>
  <c r="H172"/>
  <c r="G172"/>
  <c r="H67"/>
  <c r="G67"/>
  <c r="F67"/>
  <c r="H60"/>
  <c r="G60"/>
  <c r="F60"/>
  <c r="H53"/>
  <c r="G53"/>
  <c r="F53"/>
  <c r="H39"/>
  <c r="G39"/>
  <c r="F39"/>
  <c r="H32"/>
  <c r="G32"/>
  <c r="F32"/>
  <c r="H277"/>
  <c r="F193"/>
  <c r="H25"/>
  <c r="F18"/>
  <c r="G18"/>
  <c r="H18"/>
  <c r="F319"/>
  <c r="G25"/>
  <c r="F25"/>
  <c r="M11" l="1"/>
  <c r="K11"/>
  <c r="I11"/>
  <c r="N11"/>
  <c r="L11"/>
  <c r="J11"/>
  <c r="C20" i="114"/>
  <c r="C20" i="113"/>
  <c r="C20" i="112"/>
  <c r="C34" i="114"/>
  <c r="C34" i="113"/>
  <c r="C34" i="112"/>
  <c r="D20" i="114"/>
  <c r="D20" i="113"/>
  <c r="E20" i="112"/>
  <c r="D34" i="114"/>
  <c r="D34" i="113"/>
  <c r="E34" i="112"/>
  <c r="D62" i="114"/>
  <c r="D62" i="113"/>
  <c r="E62" i="112"/>
  <c r="D55" i="114"/>
  <c r="D55" i="113"/>
  <c r="E55" i="112"/>
  <c r="C48" i="114"/>
  <c r="C48" i="113"/>
  <c r="C48" i="112"/>
  <c r="C62" i="114"/>
  <c r="C62" i="113"/>
  <c r="C62" i="112"/>
  <c r="C181" i="114"/>
  <c r="C181" i="113"/>
  <c r="C181" i="112"/>
  <c r="D181" i="114"/>
  <c r="D181" i="113"/>
  <c r="E181" i="112"/>
  <c r="C314" i="113"/>
  <c r="C314" i="112"/>
  <c r="C314" i="114"/>
  <c r="D314"/>
  <c r="D314" i="113"/>
  <c r="E314" i="112"/>
  <c r="E251"/>
  <c r="D251" i="114"/>
  <c r="D251" i="113"/>
  <c r="C272" i="114"/>
  <c r="C272" i="113"/>
  <c r="C272" i="112"/>
  <c r="C342" i="114"/>
  <c r="C342" i="113"/>
  <c r="C342" i="112"/>
  <c r="D279" i="114"/>
  <c r="D279" i="113"/>
  <c r="E279" i="112"/>
  <c r="C293" i="113"/>
  <c r="C293" i="112"/>
  <c r="C293" i="114"/>
  <c r="D293"/>
  <c r="D293" i="113"/>
  <c r="E293" i="112"/>
  <c r="D349" i="114"/>
  <c r="E349" i="112"/>
  <c r="D349" i="113"/>
  <c r="C251" i="114"/>
  <c r="C251" i="113"/>
  <c r="C251" i="112"/>
  <c r="C265" i="113"/>
  <c r="C265" i="112"/>
  <c r="C265" i="114"/>
  <c r="D265"/>
  <c r="D265" i="113"/>
  <c r="E265" i="112"/>
  <c r="C13" i="114"/>
  <c r="C13" i="112"/>
  <c r="C13" i="113"/>
  <c r="C27" i="114"/>
  <c r="C27" i="112"/>
  <c r="C27" i="113"/>
  <c r="D13"/>
  <c r="D13" i="114"/>
  <c r="E13" i="112"/>
  <c r="D27" i="113"/>
  <c r="D27" i="114"/>
  <c r="E27" i="112"/>
  <c r="D48" i="114"/>
  <c r="D48" i="113"/>
  <c r="E48" i="112"/>
  <c r="D174" i="114"/>
  <c r="D174" i="113"/>
  <c r="E174" i="112"/>
  <c r="C55" i="114"/>
  <c r="C55" i="113"/>
  <c r="C55" i="112"/>
  <c r="C174" i="114"/>
  <c r="C174" i="113"/>
  <c r="C174" i="112"/>
  <c r="C188" i="113"/>
  <c r="C188" i="112"/>
  <c r="C188" i="114"/>
  <c r="D188"/>
  <c r="D188" i="113"/>
  <c r="E188" i="112"/>
  <c r="C41" i="114"/>
  <c r="C41" i="112"/>
  <c r="C41" i="113"/>
  <c r="D41"/>
  <c r="D41" i="114"/>
  <c r="E41" i="112"/>
  <c r="D244" i="114"/>
  <c r="D244" i="113"/>
  <c r="E244" i="112"/>
  <c r="C279"/>
  <c r="C279" i="114"/>
  <c r="C279" i="113"/>
  <c r="E272" i="112"/>
  <c r="D272" i="114"/>
  <c r="D272" i="113"/>
  <c r="D342"/>
  <c r="E342" i="112"/>
  <c r="D342" i="114"/>
  <c r="C286"/>
  <c r="C286" i="113"/>
  <c r="C286" i="112"/>
  <c r="E286"/>
  <c r="D286" i="114"/>
  <c r="D286" i="113"/>
  <c r="C349"/>
  <c r="C349" i="114"/>
  <c r="C349" i="112"/>
  <c r="C244" i="114"/>
  <c r="C244" i="113"/>
  <c r="C244" i="112"/>
  <c r="C258" i="114"/>
  <c r="C258" i="113"/>
  <c r="C258" i="112"/>
  <c r="E258"/>
  <c r="D258" i="114"/>
  <c r="D258" i="113"/>
  <c r="AJ83" i="110"/>
  <c r="AH84"/>
  <c r="AG87"/>
  <c r="V16" i="104"/>
  <c r="R40"/>
  <c r="V40" s="1"/>
  <c r="H39"/>
  <c r="V39" s="1"/>
  <c r="G55" i="2"/>
  <c r="D294" i="1"/>
  <c r="D43"/>
  <c r="D57"/>
  <c r="D36"/>
  <c r="D22"/>
  <c r="V25" i="104"/>
  <c r="P23"/>
  <c r="V23" s="1"/>
  <c r="G176" i="1"/>
  <c r="F176"/>
  <c r="H176"/>
  <c r="J176"/>
  <c r="L176"/>
  <c r="N176"/>
  <c r="K176"/>
  <c r="I176"/>
  <c r="M176"/>
  <c r="D323"/>
  <c r="G302"/>
  <c r="I302"/>
  <c r="K302"/>
  <c r="M302"/>
  <c r="O302"/>
  <c r="Q302"/>
  <c r="S302"/>
  <c r="U302"/>
  <c r="W302"/>
  <c r="Y302"/>
  <c r="AA302"/>
  <c r="AC302"/>
  <c r="AE302"/>
  <c r="AG302"/>
  <c r="AI302"/>
  <c r="E302"/>
  <c r="F302"/>
  <c r="J302"/>
  <c r="N302"/>
  <c r="R302"/>
  <c r="V302"/>
  <c r="Z302"/>
  <c r="AD302"/>
  <c r="AH302"/>
  <c r="H302"/>
  <c r="L302"/>
  <c r="P302"/>
  <c r="T302"/>
  <c r="X302"/>
  <c r="AB302"/>
  <c r="AF302"/>
  <c r="AJ302"/>
  <c r="D64"/>
  <c r="D50"/>
  <c r="E29"/>
  <c r="D29"/>
  <c r="D15"/>
  <c r="G50" i="2"/>
  <c r="D259" i="1"/>
  <c r="D260" s="1"/>
  <c r="V17" i="104"/>
  <c r="J19"/>
  <c r="C8"/>
  <c r="C10"/>
  <c r="C13"/>
  <c r="C31"/>
  <c r="C33"/>
  <c r="C12"/>
  <c r="C41"/>
  <c r="C45"/>
  <c r="C55"/>
  <c r="C47"/>
  <c r="C43"/>
  <c r="C9"/>
  <c r="C11"/>
  <c r="C15"/>
  <c r="C14"/>
  <c r="C32"/>
  <c r="C51"/>
  <c r="C42"/>
  <c r="C46"/>
  <c r="C48"/>
  <c r="C56"/>
  <c r="C44"/>
  <c r="D34" i="1"/>
  <c r="D55"/>
  <c r="D181"/>
  <c r="D314"/>
  <c r="D251"/>
  <c r="D279"/>
  <c r="D13"/>
  <c r="D27"/>
  <c r="D48"/>
  <c r="D174"/>
  <c r="D188"/>
  <c r="D41"/>
  <c r="D244"/>
  <c r="D272"/>
  <c r="D342"/>
  <c r="D286"/>
  <c r="D258"/>
  <c r="D20"/>
  <c r="D62"/>
  <c r="D293"/>
  <c r="D265"/>
  <c r="L351"/>
  <c r="I351"/>
  <c r="Y358"/>
  <c r="AA358"/>
  <c r="AC358"/>
  <c r="AE358"/>
  <c r="AG358"/>
  <c r="AI358"/>
  <c r="AK358"/>
  <c r="AM358"/>
  <c r="AO358"/>
  <c r="L358"/>
  <c r="N358"/>
  <c r="P358"/>
  <c r="R358"/>
  <c r="T358"/>
  <c r="V358"/>
  <c r="J358"/>
  <c r="I358"/>
  <c r="X358"/>
  <c r="Z358"/>
  <c r="AB358"/>
  <c r="AD358"/>
  <c r="AF358"/>
  <c r="AH358"/>
  <c r="AJ358"/>
  <c r="AL358"/>
  <c r="AN358"/>
  <c r="AP358"/>
  <c r="M358"/>
  <c r="O358"/>
  <c r="Q358"/>
  <c r="S358"/>
  <c r="U358"/>
  <c r="W358"/>
  <c r="K358"/>
  <c r="AJ42" i="95"/>
  <c r="AK41"/>
  <c r="G368" i="1"/>
  <c r="F368"/>
  <c r="T69" i="29"/>
  <c r="S68"/>
  <c r="T66"/>
  <c r="S65"/>
  <c r="S85" s="1"/>
  <c r="S87" s="1"/>
  <c r="T63"/>
  <c r="C13" i="1"/>
  <c r="C48"/>
  <c r="C62"/>
  <c r="C188"/>
  <c r="C41"/>
  <c r="C342"/>
  <c r="C293"/>
  <c r="C181"/>
  <c r="C279"/>
  <c r="C286"/>
  <c r="D349"/>
  <c r="C251"/>
  <c r="G52" i="2"/>
  <c r="E368" i="1"/>
  <c r="D368"/>
  <c r="G53" i="2"/>
  <c r="G17"/>
  <c r="G62"/>
  <c r="G20"/>
  <c r="G58"/>
  <c r="G48"/>
  <c r="G22"/>
  <c r="G49"/>
  <c r="G39"/>
  <c r="G54"/>
  <c r="C174" i="1"/>
  <c r="C55"/>
  <c r="C314"/>
  <c r="C265"/>
  <c r="G51" i="2"/>
  <c r="G21"/>
  <c r="G16"/>
  <c r="C27" i="1"/>
  <c r="C258"/>
  <c r="C272"/>
  <c r="C244"/>
  <c r="G63" i="2"/>
  <c r="G19"/>
  <c r="G15"/>
  <c r="G18"/>
  <c r="C349" i="1"/>
  <c r="C34"/>
  <c r="C20"/>
  <c r="E57" i="76"/>
  <c r="C57"/>
  <c r="I57"/>
  <c r="D46"/>
  <c r="C52" s="1"/>
  <c r="H57"/>
  <c r="D57"/>
  <c r="G57"/>
  <c r="J57"/>
  <c r="F57"/>
  <c r="E59"/>
  <c r="J59"/>
  <c r="H59"/>
  <c r="F59"/>
  <c r="D59"/>
  <c r="C59"/>
  <c r="I59"/>
  <c r="G59"/>
  <c r="D8" i="1" l="1"/>
  <c r="V19" i="104"/>
  <c r="AI84" i="110"/>
  <c r="AH87"/>
  <c r="AK83"/>
  <c r="V34" i="104"/>
  <c r="C352" i="1"/>
  <c r="C359"/>
  <c r="C30"/>
  <c r="C303"/>
  <c r="C177"/>
  <c r="I65" i="2"/>
  <c r="L65" s="1"/>
  <c r="V37" i="104"/>
  <c r="V38"/>
  <c r="J20"/>
  <c r="V20" s="1"/>
  <c r="AK42" i="95"/>
  <c r="AL41"/>
  <c r="T68" i="29"/>
  <c r="U66"/>
  <c r="T65"/>
  <c r="T85" s="1"/>
  <c r="T87" s="1"/>
  <c r="U63"/>
  <c r="U69"/>
  <c r="H60" i="76"/>
  <c r="I60"/>
  <c r="E60"/>
  <c r="C358" i="1"/>
  <c r="C351"/>
  <c r="G52" i="76"/>
  <c r="F52"/>
  <c r="J52"/>
  <c r="E52"/>
  <c r="I52"/>
  <c r="D52"/>
  <c r="H52"/>
  <c r="C60"/>
  <c r="K57"/>
  <c r="J60"/>
  <c r="D60"/>
  <c r="K59"/>
  <c r="F60"/>
  <c r="G60"/>
  <c r="AL83" i="110" l="1"/>
  <c r="AJ84"/>
  <c r="AI87"/>
  <c r="V35" i="104"/>
  <c r="R36" i="2"/>
  <c r="T76" s="1"/>
  <c r="R47"/>
  <c r="T78" s="1"/>
  <c r="X78" s="1"/>
  <c r="V33" i="104"/>
  <c r="J24"/>
  <c r="V24" s="1"/>
  <c r="J32"/>
  <c r="V32" s="1"/>
  <c r="P22"/>
  <c r="J22"/>
  <c r="L36"/>
  <c r="L62" s="1"/>
  <c r="J21"/>
  <c r="P21"/>
  <c r="AL42" i="95"/>
  <c r="AM41"/>
  <c r="AM42" s="1"/>
  <c r="AN42" s="1"/>
  <c r="F361" i="1"/>
  <c r="G361"/>
  <c r="F354"/>
  <c r="G354"/>
  <c r="V69" i="29"/>
  <c r="U68"/>
  <c r="V66"/>
  <c r="U65"/>
  <c r="U85" s="1"/>
  <c r="U87" s="1"/>
  <c r="V63"/>
  <c r="E200" i="1"/>
  <c r="D361"/>
  <c r="E361"/>
  <c r="K60" i="76"/>
  <c r="E354" i="1"/>
  <c r="D354"/>
  <c r="K52" i="76"/>
  <c r="D70" i="44" s="1"/>
  <c r="X76" i="2" l="1"/>
  <c r="N78"/>
  <c r="S78" s="1"/>
  <c r="AK84" i="110"/>
  <c r="AJ87"/>
  <c r="AM83"/>
  <c r="N53" i="104"/>
  <c r="T53" s="1"/>
  <c r="N54"/>
  <c r="V54" s="1"/>
  <c r="V48"/>
  <c r="V36"/>
  <c r="V22"/>
  <c r="N77" i="2"/>
  <c r="S77" s="1"/>
  <c r="I63"/>
  <c r="L63" s="1"/>
  <c r="V10" i="104"/>
  <c r="V13"/>
  <c r="V15"/>
  <c r="J49"/>
  <c r="V49" s="1"/>
  <c r="R38" i="2"/>
  <c r="I64"/>
  <c r="L64" s="1"/>
  <c r="V21" i="104"/>
  <c r="V9"/>
  <c r="V11"/>
  <c r="V12"/>
  <c r="V14"/>
  <c r="D70" i="95"/>
  <c r="V68" i="29"/>
  <c r="W66"/>
  <c r="V65"/>
  <c r="V85" s="1"/>
  <c r="V87" s="1"/>
  <c r="W63"/>
  <c r="W69"/>
  <c r="S71" i="2" l="1"/>
  <c r="T77"/>
  <c r="N87"/>
  <c r="N86"/>
  <c r="S99"/>
  <c r="S87"/>
  <c r="AN83" i="110"/>
  <c r="AL84"/>
  <c r="AK87"/>
  <c r="V53" i="104"/>
  <c r="P58"/>
  <c r="P62" s="1"/>
  <c r="J58"/>
  <c r="S81" i="2"/>
  <c r="N90" s="1"/>
  <c r="N80"/>
  <c r="S80" s="1"/>
  <c r="N89" s="1"/>
  <c r="J47" i="104"/>
  <c r="V47" s="1"/>
  <c r="V8"/>
  <c r="N51"/>
  <c r="N62" s="1"/>
  <c r="T52"/>
  <c r="V52" s="1"/>
  <c r="T55"/>
  <c r="V55" s="1"/>
  <c r="J31"/>
  <c r="H31"/>
  <c r="H62" s="1"/>
  <c r="J57"/>
  <c r="V57" s="1"/>
  <c r="J56"/>
  <c r="V56" s="1"/>
  <c r="R46"/>
  <c r="R62" s="1"/>
  <c r="X69" i="29"/>
  <c r="W68"/>
  <c r="X66"/>
  <c r="W65"/>
  <c r="W85" s="1"/>
  <c r="W87" s="1"/>
  <c r="X63"/>
  <c r="X77" i="2" l="1"/>
  <c r="T82"/>
  <c r="X82" s="1"/>
  <c r="S79"/>
  <c r="S88" s="1"/>
  <c r="J62" i="104"/>
  <c r="V58"/>
  <c r="AM84" i="110"/>
  <c r="AL87"/>
  <c r="AO83"/>
  <c r="S90" i="2"/>
  <c r="S89"/>
  <c r="V46" i="104"/>
  <c r="V51"/>
  <c r="S86" i="2"/>
  <c r="V31" i="104"/>
  <c r="T62"/>
  <c r="X68" i="29"/>
  <c r="Y66"/>
  <c r="X65"/>
  <c r="X85" s="1"/>
  <c r="X87" s="1"/>
  <c r="Y63"/>
  <c r="Y69"/>
  <c r="S100" i="2" l="1"/>
  <c r="N88"/>
  <c r="AP83" i="110"/>
  <c r="AN84"/>
  <c r="AM87"/>
  <c r="Z69" i="29"/>
  <c r="Y68"/>
  <c r="Z66"/>
  <c r="Y65"/>
  <c r="Y85" s="1"/>
  <c r="Y87" s="1"/>
  <c r="Z63"/>
  <c r="AO84" i="110" l="1"/>
  <c r="AO87" s="1"/>
  <c r="AN87"/>
  <c r="AP87"/>
  <c r="AQ83"/>
  <c r="AQ87" s="1"/>
  <c r="J87" s="1"/>
  <c r="Z68" i="29"/>
  <c r="AA66"/>
  <c r="Z65"/>
  <c r="Z85" s="1"/>
  <c r="Z87" s="1"/>
  <c r="AA63"/>
  <c r="AA69"/>
  <c r="AB69" l="1"/>
  <c r="AA68"/>
  <c r="AB66"/>
  <c r="AA65"/>
  <c r="AA85" s="1"/>
  <c r="AA87" s="1"/>
  <c r="AB63"/>
  <c r="AB68" l="1"/>
  <c r="AC66"/>
  <c r="AB65"/>
  <c r="AB85" s="1"/>
  <c r="AB87" s="1"/>
  <c r="AC63"/>
  <c r="AC69"/>
  <c r="AD69" l="1"/>
  <c r="AC68"/>
  <c r="AD66"/>
  <c r="AC65"/>
  <c r="AC85" s="1"/>
  <c r="AC87" s="1"/>
  <c r="AD63"/>
  <c r="AD68" l="1"/>
  <c r="AE66"/>
  <c r="AD65"/>
  <c r="AD85" s="1"/>
  <c r="AD87" s="1"/>
  <c r="AE63"/>
  <c r="AE69"/>
  <c r="AF69" l="1"/>
  <c r="AE68"/>
  <c r="AF66"/>
  <c r="AE65"/>
  <c r="AE85" s="1"/>
  <c r="AE87" s="1"/>
  <c r="AF63"/>
  <c r="AF68" l="1"/>
  <c r="AG66"/>
  <c r="AF65"/>
  <c r="AF85" s="1"/>
  <c r="AF87" s="1"/>
  <c r="AG63"/>
  <c r="AG69"/>
  <c r="AH69" l="1"/>
  <c r="AG68"/>
  <c r="AH66"/>
  <c r="AG65"/>
  <c r="AG85" s="1"/>
  <c r="AG87" s="1"/>
  <c r="AH63"/>
  <c r="AH68" l="1"/>
  <c r="AI66"/>
  <c r="AH65"/>
  <c r="AH85" s="1"/>
  <c r="AH87" s="1"/>
  <c r="AI63"/>
  <c r="AI69"/>
  <c r="AJ69" l="1"/>
  <c r="AI68"/>
  <c r="AJ66"/>
  <c r="AI65"/>
  <c r="AI85" s="1"/>
  <c r="AI87" s="1"/>
  <c r="AJ63"/>
  <c r="AJ68" l="1"/>
  <c r="AK66"/>
  <c r="AJ65"/>
  <c r="AJ85" s="1"/>
  <c r="AJ87" s="1"/>
  <c r="AK63"/>
  <c r="AK69"/>
  <c r="AL69" l="1"/>
  <c r="AK68"/>
  <c r="AL66"/>
  <c r="AK65"/>
  <c r="AK85" s="1"/>
  <c r="AK87" s="1"/>
  <c r="AL63"/>
  <c r="AL68" l="1"/>
  <c r="AM66"/>
  <c r="AL65"/>
  <c r="AL85" s="1"/>
  <c r="AL87" s="1"/>
  <c r="AM63"/>
  <c r="AM69"/>
  <c r="AN69" l="1"/>
  <c r="AM68"/>
  <c r="AN66"/>
  <c r="AM65"/>
  <c r="AM85" s="1"/>
  <c r="AM87" s="1"/>
  <c r="AN63"/>
  <c r="AN68" l="1"/>
  <c r="AO66"/>
  <c r="AN65"/>
  <c r="AN85" s="1"/>
  <c r="AN87" s="1"/>
  <c r="AO63"/>
  <c r="AO69"/>
  <c r="AP69" l="1"/>
  <c r="AO68"/>
  <c r="AP66"/>
  <c r="AQ66" s="1"/>
  <c r="AO65"/>
  <c r="AO85" s="1"/>
  <c r="AO87" s="1"/>
  <c r="AP63"/>
  <c r="AP68" l="1"/>
  <c r="AP65"/>
  <c r="AP85" l="1"/>
  <c r="AQ65"/>
  <c r="AQ67" s="1"/>
  <c r="AP87" l="1"/>
  <c r="AQ87" s="1"/>
  <c r="AQ85"/>
  <c r="J73" i="103" l="1"/>
  <c r="K73"/>
  <c r="L73"/>
  <c r="M73"/>
  <c r="N73"/>
  <c r="I73"/>
  <c r="H73" l="1"/>
  <c r="F186" i="1"/>
  <c r="I113"/>
  <c r="F113"/>
  <c r="H113"/>
  <c r="L127"/>
  <c r="F127"/>
  <c r="H127"/>
  <c r="I127"/>
  <c r="AA225"/>
  <c r="AL225"/>
  <c r="AK225"/>
  <c r="AH225"/>
  <c r="L225"/>
  <c r="W225"/>
  <c r="X225"/>
  <c r="AB225"/>
  <c r="I225"/>
  <c r="Q225"/>
  <c r="N225"/>
  <c r="J225"/>
  <c r="AF225"/>
  <c r="AI225"/>
  <c r="AD225"/>
  <c r="G225"/>
  <c r="U225"/>
  <c r="R225"/>
  <c r="M225"/>
  <c r="F225"/>
  <c r="AJ225"/>
  <c r="O225"/>
  <c r="P225"/>
  <c r="AC225"/>
  <c r="Z225"/>
  <c r="Y225"/>
  <c r="V225"/>
  <c r="H225"/>
  <c r="AG225"/>
  <c r="K225"/>
  <c r="S225"/>
  <c r="T225"/>
  <c r="M253"/>
  <c r="H253"/>
  <c r="AB253"/>
  <c r="AM253"/>
  <c r="W253"/>
  <c r="F253"/>
  <c r="AD253"/>
  <c r="AO253"/>
  <c r="Y253"/>
  <c r="E253"/>
  <c r="L253"/>
  <c r="AN253"/>
  <c r="X253"/>
  <c r="AI253"/>
  <c r="S253"/>
  <c r="AP253"/>
  <c r="Z253"/>
  <c r="AK253"/>
  <c r="U253"/>
  <c r="K253"/>
  <c r="AJ253"/>
  <c r="T253"/>
  <c r="AE253"/>
  <c r="O253"/>
  <c r="AL253"/>
  <c r="V253"/>
  <c r="AG253"/>
  <c r="Q253"/>
  <c r="N253"/>
  <c r="J253"/>
  <c r="AF253"/>
  <c r="P253"/>
  <c r="AA253"/>
  <c r="I253"/>
  <c r="AH253"/>
  <c r="R253"/>
  <c r="AC253"/>
  <c r="F260"/>
  <c r="AJ260"/>
  <c r="T260"/>
  <c r="AE260"/>
  <c r="O260"/>
  <c r="AP260"/>
  <c r="Z260"/>
  <c r="AK260"/>
  <c r="U260"/>
  <c r="N260"/>
  <c r="H260"/>
  <c r="AF260"/>
  <c r="P260"/>
  <c r="AA260"/>
  <c r="M260"/>
  <c r="AL260"/>
  <c r="V260"/>
  <c r="AG260"/>
  <c r="J260"/>
  <c r="I260"/>
  <c r="AB260"/>
  <c r="AM260"/>
  <c r="W260"/>
  <c r="K260"/>
  <c r="AH260"/>
  <c r="R260"/>
  <c r="AC260"/>
  <c r="Q260"/>
  <c r="G260"/>
  <c r="AN260"/>
  <c r="X260"/>
  <c r="AI260"/>
  <c r="S260"/>
  <c r="L260"/>
  <c r="AD260"/>
  <c r="AO260"/>
  <c r="Y260"/>
  <c r="N190"/>
  <c r="W190"/>
  <c r="AF190"/>
  <c r="P190"/>
  <c r="AG190"/>
  <c r="Q190"/>
  <c r="V190"/>
  <c r="AI190"/>
  <c r="S190"/>
  <c r="AB190"/>
  <c r="M190"/>
  <c r="AH190"/>
  <c r="L190"/>
  <c r="Z190"/>
  <c r="AE190"/>
  <c r="O190"/>
  <c r="X190"/>
  <c r="J190"/>
  <c r="Y190"/>
  <c r="AD190"/>
  <c r="K190"/>
  <c r="AA190"/>
  <c r="AJ190"/>
  <c r="T190"/>
  <c r="AC190"/>
  <c r="R190"/>
  <c r="U190"/>
  <c r="J316"/>
  <c r="H316"/>
  <c r="K316"/>
  <c r="I316"/>
  <c r="G274"/>
  <c r="K274"/>
  <c r="N274"/>
  <c r="AB274"/>
  <c r="AM274"/>
  <c r="W274"/>
  <c r="M274"/>
  <c r="AH274"/>
  <c r="R274"/>
  <c r="AC274"/>
  <c r="Q274"/>
  <c r="L274"/>
  <c r="AN274"/>
  <c r="X274"/>
  <c r="AI274"/>
  <c r="S274"/>
  <c r="J274"/>
  <c r="AD274"/>
  <c r="AO274"/>
  <c r="Y274"/>
  <c r="T274"/>
  <c r="O274"/>
  <c r="Z274"/>
  <c r="U274"/>
  <c r="I274"/>
  <c r="P274"/>
  <c r="H274"/>
  <c r="V274"/>
  <c r="AJ274"/>
  <c r="AE274"/>
  <c r="AP274"/>
  <c r="AK274"/>
  <c r="F274"/>
  <c r="AF274"/>
  <c r="AA274"/>
  <c r="AL274"/>
  <c r="AG274"/>
  <c r="E225"/>
  <c r="L295"/>
  <c r="F295"/>
  <c r="K295"/>
  <c r="G295"/>
  <c r="H295"/>
  <c r="J295"/>
  <c r="E295"/>
  <c r="I295"/>
  <c r="AH323"/>
  <c r="R323"/>
  <c r="AG323"/>
  <c r="Q323"/>
  <c r="AF323"/>
  <c r="P323"/>
  <c r="AE323"/>
  <c r="O323"/>
  <c r="AD323"/>
  <c r="N323"/>
  <c r="AC323"/>
  <c r="M323"/>
  <c r="AB323"/>
  <c r="L323"/>
  <c r="AA323"/>
  <c r="K323"/>
  <c r="E323"/>
  <c r="Z323"/>
  <c r="J323"/>
  <c r="Y323"/>
  <c r="I323"/>
  <c r="X323"/>
  <c r="H323"/>
  <c r="W323"/>
  <c r="V323"/>
  <c r="F323"/>
  <c r="U323"/>
  <c r="AJ323"/>
  <c r="T323"/>
  <c r="AI323"/>
  <c r="S323"/>
  <c r="G323"/>
  <c r="J169"/>
  <c r="H169"/>
  <c r="N169"/>
  <c r="L169"/>
  <c r="I169"/>
  <c r="K169"/>
  <c r="M169"/>
  <c r="G169"/>
  <c r="N197"/>
  <c r="AB197"/>
  <c r="AI197"/>
  <c r="S197"/>
  <c r="AH197"/>
  <c r="R197"/>
  <c r="Y197"/>
  <c r="M197"/>
  <c r="AF197"/>
  <c r="P197"/>
  <c r="W197"/>
  <c r="AL197"/>
  <c r="V197"/>
  <c r="AC197"/>
  <c r="AJ197"/>
  <c r="T197"/>
  <c r="AA197"/>
  <c r="L197"/>
  <c r="Z197"/>
  <c r="AG197"/>
  <c r="Q197"/>
  <c r="J197"/>
  <c r="X197"/>
  <c r="AE197"/>
  <c r="O197"/>
  <c r="K197"/>
  <c r="AD197"/>
  <c r="AK197"/>
  <c r="U197"/>
  <c r="I183"/>
  <c r="U183"/>
  <c r="T183"/>
  <c r="N183"/>
  <c r="S183"/>
  <c r="V183"/>
  <c r="L183"/>
  <c r="Q183"/>
  <c r="P183"/>
  <c r="AE183"/>
  <c r="O183"/>
  <c r="R183"/>
  <c r="H183"/>
  <c r="AC183"/>
  <c r="AB183"/>
  <c r="J183"/>
  <c r="AA183"/>
  <c r="AD183"/>
  <c r="K183"/>
  <c r="Y183"/>
  <c r="X183"/>
  <c r="M183"/>
  <c r="W183"/>
  <c r="Z183"/>
  <c r="F281"/>
  <c r="H281"/>
  <c r="I281"/>
  <c r="J281"/>
  <c r="G281"/>
  <c r="F134"/>
  <c r="Z134"/>
  <c r="L134"/>
  <c r="V134"/>
  <c r="M134"/>
  <c r="S134"/>
  <c r="T134"/>
  <c r="K134"/>
  <c r="R134"/>
  <c r="AC134"/>
  <c r="J134"/>
  <c r="AE134"/>
  <c r="O134"/>
  <c r="P134"/>
  <c r="Y134"/>
  <c r="U134"/>
  <c r="N134"/>
  <c r="AA134"/>
  <c r="AB134"/>
  <c r="H134"/>
  <c r="Q134"/>
  <c r="AD134"/>
  <c r="I134"/>
  <c r="W134"/>
  <c r="X134"/>
  <c r="G288"/>
  <c r="F288"/>
  <c r="H288"/>
  <c r="H344"/>
  <c r="AB344"/>
  <c r="AE344"/>
  <c r="O344"/>
  <c r="G344"/>
  <c r="V344"/>
  <c r="Y344"/>
  <c r="M344"/>
  <c r="X344"/>
  <c r="AA344"/>
  <c r="N344"/>
  <c r="AH344"/>
  <c r="R344"/>
  <c r="U344"/>
  <c r="F344"/>
  <c r="I344"/>
  <c r="T344"/>
  <c r="W344"/>
  <c r="J344"/>
  <c r="AD344"/>
  <c r="AG344"/>
  <c r="Q344"/>
  <c r="L344"/>
  <c r="AF344"/>
  <c r="P344"/>
  <c r="S344"/>
  <c r="K344"/>
  <c r="Z344"/>
  <c r="AC344"/>
  <c r="O239"/>
  <c r="AE239"/>
  <c r="P239"/>
  <c r="AF239"/>
  <c r="U239"/>
  <c r="AK239"/>
  <c r="R239"/>
  <c r="AH239"/>
  <c r="F239"/>
  <c r="S239"/>
  <c r="AI239"/>
  <c r="T239"/>
  <c r="AJ239"/>
  <c r="Y239"/>
  <c r="AO239"/>
  <c r="V239"/>
  <c r="AL239"/>
  <c r="G239"/>
  <c r="H239"/>
  <c r="W239"/>
  <c r="AM239"/>
  <c r="X239"/>
  <c r="AN239"/>
  <c r="M239"/>
  <c r="AC239"/>
  <c r="K239"/>
  <c r="Z239"/>
  <c r="AP239"/>
  <c r="I239"/>
  <c r="J239"/>
  <c r="AA239"/>
  <c r="L239"/>
  <c r="AB239"/>
  <c r="Q239"/>
  <c r="AG239"/>
  <c r="N239"/>
  <c r="AD239"/>
  <c r="G253"/>
  <c r="G246"/>
  <c r="M246"/>
  <c r="J246"/>
  <c r="AF246"/>
  <c r="P246"/>
  <c r="AA246"/>
  <c r="H246"/>
  <c r="AH246"/>
  <c r="R246"/>
  <c r="AC246"/>
  <c r="Q246"/>
  <c r="I246"/>
  <c r="AJ246"/>
  <c r="T246"/>
  <c r="AE246"/>
  <c r="O246"/>
  <c r="AL246"/>
  <c r="V246"/>
  <c r="AG246"/>
  <c r="Y246"/>
  <c r="F246"/>
  <c r="N246"/>
  <c r="AN246"/>
  <c r="X246"/>
  <c r="AI246"/>
  <c r="S246"/>
  <c r="AP246"/>
  <c r="Z246"/>
  <c r="AK246"/>
  <c r="U246"/>
  <c r="K246"/>
  <c r="L246"/>
  <c r="AB246"/>
  <c r="AM246"/>
  <c r="W246"/>
  <c r="E246"/>
  <c r="AD246"/>
  <c r="AO246"/>
  <c r="E57"/>
  <c r="C58" s="1"/>
  <c r="X204"/>
  <c r="AC204"/>
  <c r="J204"/>
  <c r="N204"/>
  <c r="AH204"/>
  <c r="R204"/>
  <c r="W204"/>
  <c r="I204"/>
  <c r="T204"/>
  <c r="Y204"/>
  <c r="AF204"/>
  <c r="P204"/>
  <c r="U204"/>
  <c r="L204"/>
  <c r="Z204"/>
  <c r="AE204"/>
  <c r="O204"/>
  <c r="AB204"/>
  <c r="AG204"/>
  <c r="Q204"/>
  <c r="K204"/>
  <c r="V204"/>
  <c r="AA204"/>
  <c r="AD204"/>
  <c r="S204"/>
  <c r="M204"/>
  <c r="AI204"/>
  <c r="E239"/>
  <c r="E260"/>
  <c r="I190"/>
  <c r="E64"/>
  <c r="C65" s="1"/>
  <c r="H204"/>
  <c r="H267"/>
  <c r="AJ267"/>
  <c r="T267"/>
  <c r="AE267"/>
  <c r="O267"/>
  <c r="J267"/>
  <c r="AH267"/>
  <c r="R267"/>
  <c r="AC267"/>
  <c r="Q267"/>
  <c r="F267"/>
  <c r="AF267"/>
  <c r="P267"/>
  <c r="AA267"/>
  <c r="I267"/>
  <c r="M267"/>
  <c r="AD267"/>
  <c r="AO267"/>
  <c r="E267"/>
  <c r="AB267"/>
  <c r="W267"/>
  <c r="AP267"/>
  <c r="AK267"/>
  <c r="L267"/>
  <c r="X267"/>
  <c r="S267"/>
  <c r="AL267"/>
  <c r="AG267"/>
  <c r="N267"/>
  <c r="AM267"/>
  <c r="K267"/>
  <c r="Z267"/>
  <c r="U267"/>
  <c r="AN267"/>
  <c r="AI267"/>
  <c r="G267"/>
  <c r="V267"/>
  <c r="Y267"/>
  <c r="D305"/>
  <c r="G316"/>
  <c r="F169"/>
  <c r="C57"/>
  <c r="I197"/>
  <c r="C302"/>
  <c r="C29"/>
  <c r="C176"/>
  <c r="C255"/>
  <c r="E127"/>
  <c r="L232"/>
  <c r="R232"/>
  <c r="S232"/>
  <c r="M232"/>
  <c r="T232"/>
  <c r="U232"/>
  <c r="G232"/>
  <c r="F232"/>
  <c r="AD232"/>
  <c r="AK232"/>
  <c r="O232"/>
  <c r="AL232"/>
  <c r="P232"/>
  <c r="Q232"/>
  <c r="J232"/>
  <c r="Z232"/>
  <c r="AA232"/>
  <c r="K232"/>
  <c r="AB232"/>
  <c r="AC232"/>
  <c r="N232"/>
  <c r="H232"/>
  <c r="I232"/>
  <c r="V232"/>
  <c r="W232"/>
  <c r="X232"/>
  <c r="Y232"/>
  <c r="H330"/>
  <c r="R330"/>
  <c r="Q330"/>
  <c r="L330"/>
  <c r="AB330"/>
  <c r="AA330"/>
  <c r="G330"/>
  <c r="AC330"/>
  <c r="F330"/>
  <c r="X330"/>
  <c r="W330"/>
  <c r="Z330"/>
  <c r="Y330"/>
  <c r="N330"/>
  <c r="I330"/>
  <c r="T330"/>
  <c r="S330"/>
  <c r="J330"/>
  <c r="V330"/>
  <c r="U330"/>
  <c r="K330"/>
  <c r="M330"/>
  <c r="P330"/>
  <c r="O330"/>
  <c r="C262"/>
  <c r="C248"/>
  <c r="C269"/>
  <c r="AH211"/>
  <c r="R211"/>
  <c r="AG211"/>
  <c r="Q211"/>
  <c r="T211"/>
  <c r="AI211"/>
  <c r="S211"/>
  <c r="AD211"/>
  <c r="N211"/>
  <c r="AC211"/>
  <c r="M211"/>
  <c r="AF211"/>
  <c r="P211"/>
  <c r="AE211"/>
  <c r="O211"/>
  <c r="Z211"/>
  <c r="J211"/>
  <c r="Y211"/>
  <c r="AK211"/>
  <c r="AB211"/>
  <c r="L211"/>
  <c r="AA211"/>
  <c r="K211"/>
  <c r="AL211"/>
  <c r="V211"/>
  <c r="AM211"/>
  <c r="U211"/>
  <c r="X211"/>
  <c r="AJ211"/>
  <c r="W211"/>
  <c r="AL218"/>
  <c r="V218"/>
  <c r="G218"/>
  <c r="AA218"/>
  <c r="K218"/>
  <c r="AJ218"/>
  <c r="T218"/>
  <c r="AK218"/>
  <c r="U218"/>
  <c r="Z218"/>
  <c r="J218"/>
  <c r="AE218"/>
  <c r="O218"/>
  <c r="AN218"/>
  <c r="X218"/>
  <c r="H218"/>
  <c r="Y218"/>
  <c r="I218"/>
  <c r="E218"/>
  <c r="AD218"/>
  <c r="N218"/>
  <c r="AI218"/>
  <c r="S218"/>
  <c r="AB218"/>
  <c r="L218"/>
  <c r="AC218"/>
  <c r="M218"/>
  <c r="AH218"/>
  <c r="R218"/>
  <c r="AM218"/>
  <c r="W218"/>
  <c r="F218"/>
  <c r="AF218"/>
  <c r="P218"/>
  <c r="AG218"/>
  <c r="Q218"/>
  <c r="F106"/>
  <c r="I106"/>
  <c r="H106"/>
  <c r="E232"/>
  <c r="E113"/>
  <c r="C24"/>
  <c r="C59"/>
  <c r="C192"/>
  <c r="C17"/>
  <c r="C31"/>
  <c r="C52"/>
  <c r="C66"/>
  <c r="C185"/>
  <c r="C276"/>
  <c r="C283"/>
  <c r="C290"/>
  <c r="C297"/>
  <c r="C325"/>
  <c r="C45"/>
  <c r="E99"/>
  <c r="C178"/>
  <c r="C199"/>
  <c r="C171"/>
  <c r="C80"/>
  <c r="C332"/>
  <c r="C206"/>
  <c r="C94"/>
  <c r="C115"/>
  <c r="C129"/>
  <c r="C213"/>
  <c r="C87"/>
  <c r="C101"/>
  <c r="C108"/>
  <c r="C122"/>
  <c r="C136"/>
  <c r="C220"/>
  <c r="C227"/>
  <c r="C309"/>
  <c r="AB337"/>
  <c r="L337"/>
  <c r="AA337"/>
  <c r="K337"/>
  <c r="AD337"/>
  <c r="N337"/>
  <c r="AC337"/>
  <c r="AF337"/>
  <c r="P337"/>
  <c r="AE337"/>
  <c r="O337"/>
  <c r="AH337"/>
  <c r="R337"/>
  <c r="AG337"/>
  <c r="Q337"/>
  <c r="M337"/>
  <c r="I337"/>
  <c r="AJ337"/>
  <c r="T337"/>
  <c r="AI337"/>
  <c r="S337"/>
  <c r="G337"/>
  <c r="AL337"/>
  <c r="V337"/>
  <c r="AK337"/>
  <c r="U337"/>
  <c r="F337"/>
  <c r="J337"/>
  <c r="X337"/>
  <c r="AM337"/>
  <c r="W337"/>
  <c r="H337"/>
  <c r="Z337"/>
  <c r="AN337"/>
  <c r="Y337"/>
  <c r="L141"/>
  <c r="X141"/>
  <c r="Y141"/>
  <c r="AD141"/>
  <c r="AE141"/>
  <c r="O141"/>
  <c r="H141"/>
  <c r="AB141"/>
  <c r="AC141"/>
  <c r="K141"/>
  <c r="R141"/>
  <c r="S141"/>
  <c r="N141"/>
  <c r="M141"/>
  <c r="P141"/>
  <c r="Q141"/>
  <c r="J141"/>
  <c r="V141"/>
  <c r="W141"/>
  <c r="F141"/>
  <c r="I141"/>
  <c r="T141"/>
  <c r="U141"/>
  <c r="Z141"/>
  <c r="AA141"/>
  <c r="J148"/>
  <c r="Z148"/>
  <c r="S148"/>
  <c r="H148"/>
  <c r="T148"/>
  <c r="M148"/>
  <c r="AC148"/>
  <c r="N148"/>
  <c r="AD148"/>
  <c r="W148"/>
  <c r="X148"/>
  <c r="Q148"/>
  <c r="F148"/>
  <c r="R148"/>
  <c r="K148"/>
  <c r="AA148"/>
  <c r="L148"/>
  <c r="AB148"/>
  <c r="U148"/>
  <c r="V148"/>
  <c r="O148"/>
  <c r="AE148"/>
  <c r="P148"/>
  <c r="I148"/>
  <c r="Y148"/>
  <c r="C150"/>
  <c r="E15"/>
  <c r="C38"/>
  <c r="C304"/>
  <c r="C318"/>
  <c r="C73"/>
  <c r="E312"/>
  <c r="I57" i="2" s="1"/>
  <c r="L57" s="1"/>
  <c r="C241" i="1"/>
  <c r="L113"/>
  <c r="J127"/>
  <c r="H99"/>
  <c r="AP218"/>
  <c r="AI183"/>
  <c r="K127"/>
  <c r="E281"/>
  <c r="G183"/>
  <c r="E36"/>
  <c r="E274"/>
  <c r="E288"/>
  <c r="E22"/>
  <c r="C23" s="1"/>
  <c r="E50"/>
  <c r="E43"/>
  <c r="E134"/>
  <c r="I211"/>
  <c r="E106"/>
  <c r="E71"/>
  <c r="E120"/>
  <c r="E337"/>
  <c r="C339"/>
  <c r="C143"/>
  <c r="AN211"/>
  <c r="AL190"/>
  <c r="AJ183"/>
  <c r="AH183"/>
  <c r="AF183"/>
  <c r="AD127"/>
  <c r="AB127"/>
  <c r="Z127"/>
  <c r="X127"/>
  <c r="V127"/>
  <c r="T127"/>
  <c r="R127"/>
  <c r="P127"/>
  <c r="N127"/>
  <c r="AO218"/>
  <c r="AM190"/>
  <c r="AG183"/>
  <c r="AE127"/>
  <c r="AC127"/>
  <c r="AA127"/>
  <c r="Y127"/>
  <c r="W127"/>
  <c r="U127"/>
  <c r="S127"/>
  <c r="Q127"/>
  <c r="O127"/>
  <c r="M127"/>
  <c r="I99"/>
  <c r="E85"/>
  <c r="E78"/>
  <c r="E92"/>
  <c r="E141"/>
  <c r="C311"/>
  <c r="C234"/>
  <c r="E148"/>
  <c r="F99"/>
  <c r="AK190"/>
  <c r="G148"/>
  <c r="AK8" l="1"/>
  <c r="M8"/>
  <c r="Q8"/>
  <c r="U8"/>
  <c r="Y8"/>
  <c r="AC8"/>
  <c r="AG8"/>
  <c r="AO8"/>
  <c r="P8"/>
  <c r="T8"/>
  <c r="X8"/>
  <c r="AB8"/>
  <c r="AF8"/>
  <c r="AJ8"/>
  <c r="AN8"/>
  <c r="AI8"/>
  <c r="H8"/>
  <c r="L8"/>
  <c r="C317"/>
  <c r="D319" s="1"/>
  <c r="G8"/>
  <c r="F8"/>
  <c r="I8"/>
  <c r="O8"/>
  <c r="S8"/>
  <c r="W8"/>
  <c r="AA8"/>
  <c r="AE8"/>
  <c r="AM8"/>
  <c r="N8"/>
  <c r="R8"/>
  <c r="V8"/>
  <c r="Z8"/>
  <c r="AD8"/>
  <c r="AH8"/>
  <c r="AL8"/>
  <c r="K8"/>
  <c r="AP8"/>
  <c r="J8"/>
  <c r="E8"/>
  <c r="C16"/>
  <c r="E18" s="1"/>
  <c r="C212"/>
  <c r="E214" s="1"/>
  <c r="I43" i="2" s="1"/>
  <c r="L43" s="1"/>
  <c r="C78" i="1"/>
  <c r="C79"/>
  <c r="E81" s="1"/>
  <c r="I24" i="2" s="1"/>
  <c r="L24" s="1"/>
  <c r="C72" i="1"/>
  <c r="E74" s="1"/>
  <c r="I23" i="2" s="1"/>
  <c r="L23" s="1"/>
  <c r="C43" i="1"/>
  <c r="C44"/>
  <c r="C93"/>
  <c r="E95" s="1"/>
  <c r="I26" i="2" s="1"/>
  <c r="L26" s="1"/>
  <c r="C85" i="1"/>
  <c r="C86"/>
  <c r="E88" s="1"/>
  <c r="I25" i="2" s="1"/>
  <c r="L25" s="1"/>
  <c r="C120" i="1"/>
  <c r="C121"/>
  <c r="E123" s="1"/>
  <c r="I30" i="2" s="1"/>
  <c r="L30" s="1"/>
  <c r="C50" i="1"/>
  <c r="C51"/>
  <c r="C36"/>
  <c r="C37"/>
  <c r="C184"/>
  <c r="C107"/>
  <c r="C233"/>
  <c r="E235" s="1"/>
  <c r="I46" i="2" s="1"/>
  <c r="L46" s="1"/>
  <c r="C247" i="1"/>
  <c r="G249" s="1"/>
  <c r="C240"/>
  <c r="C282"/>
  <c r="D284" s="1"/>
  <c r="C324"/>
  <c r="D326" s="1"/>
  <c r="C296"/>
  <c r="D298" s="1"/>
  <c r="I55" i="2" s="1"/>
  <c r="L55" s="1"/>
  <c r="C114" i="1"/>
  <c r="E116" s="1"/>
  <c r="I29" i="2" s="1"/>
  <c r="L29" s="1"/>
  <c r="C100" i="1"/>
  <c r="G102" s="1"/>
  <c r="C149"/>
  <c r="E151" s="1"/>
  <c r="I34" i="2" s="1"/>
  <c r="L34" s="1"/>
  <c r="C142" i="1"/>
  <c r="E144" s="1"/>
  <c r="I33" i="2" s="1"/>
  <c r="L33" s="1"/>
  <c r="C338" i="1"/>
  <c r="C219"/>
  <c r="F221" s="1"/>
  <c r="C331"/>
  <c r="D333" s="1"/>
  <c r="C198"/>
  <c r="D200" s="1"/>
  <c r="I41" i="2" s="1"/>
  <c r="L41" s="1"/>
  <c r="C170" i="1"/>
  <c r="E172" s="1"/>
  <c r="C268"/>
  <c r="G270" s="1"/>
  <c r="C205"/>
  <c r="E207" s="1"/>
  <c r="I42" i="2" s="1"/>
  <c r="L42" s="1"/>
  <c r="C191" i="1"/>
  <c r="D193" s="1"/>
  <c r="C345"/>
  <c r="G347" s="1"/>
  <c r="C289"/>
  <c r="C135"/>
  <c r="E137" s="1"/>
  <c r="I32" i="2" s="1"/>
  <c r="L32" s="1"/>
  <c r="C275" i="1"/>
  <c r="C261"/>
  <c r="D263" s="1"/>
  <c r="C254"/>
  <c r="D256" s="1"/>
  <c r="C226"/>
  <c r="E228" s="1"/>
  <c r="I45" i="2" s="1"/>
  <c r="L45" s="1"/>
  <c r="C128" i="1"/>
  <c r="D130" s="1"/>
  <c r="C316"/>
  <c r="C288"/>
  <c r="C281"/>
  <c r="C113"/>
  <c r="C225"/>
  <c r="C330"/>
  <c r="C344"/>
  <c r="C148"/>
  <c r="C99"/>
  <c r="C92"/>
  <c r="C337"/>
  <c r="C64"/>
  <c r="D172"/>
  <c r="C260"/>
  <c r="C323"/>
  <c r="C253"/>
  <c r="C218"/>
  <c r="C204"/>
  <c r="C141"/>
  <c r="C106"/>
  <c r="C134"/>
  <c r="C197"/>
  <c r="C274"/>
  <c r="C169"/>
  <c r="C232"/>
  <c r="C71"/>
  <c r="C211"/>
  <c r="C127"/>
  <c r="C190"/>
  <c r="C183"/>
  <c r="C246"/>
  <c r="C239"/>
  <c r="C15"/>
  <c r="D32"/>
  <c r="E32"/>
  <c r="D179"/>
  <c r="E179"/>
  <c r="F179"/>
  <c r="D67"/>
  <c r="E67"/>
  <c r="D60"/>
  <c r="E60"/>
  <c r="H305"/>
  <c r="H11" s="1"/>
  <c r="C267"/>
  <c r="C22"/>
  <c r="C295"/>
  <c r="E305"/>
  <c r="I56" i="2" s="1"/>
  <c r="L56" s="1"/>
  <c r="G305" i="1"/>
  <c r="F305"/>
  <c r="D18" l="1"/>
  <c r="I15" i="2" s="1"/>
  <c r="L15" s="1"/>
  <c r="F235" i="1"/>
  <c r="E256"/>
  <c r="I49" i="2" s="1"/>
  <c r="L49" s="1"/>
  <c r="G214" i="1"/>
  <c r="E130"/>
  <c r="I31" i="2" s="1"/>
  <c r="L31" s="1"/>
  <c r="E102" i="1"/>
  <c r="C9"/>
  <c r="F340"/>
  <c r="E340"/>
  <c r="E284"/>
  <c r="I53" i="2" s="1"/>
  <c r="L53" s="1"/>
  <c r="E270" i="1"/>
  <c r="E249"/>
  <c r="D102"/>
  <c r="I27" i="2" s="1"/>
  <c r="L27" s="1"/>
  <c r="D270" i="1"/>
  <c r="G263"/>
  <c r="G116"/>
  <c r="F347"/>
  <c r="E333"/>
  <c r="I60" i="2" s="1"/>
  <c r="L60" s="1"/>
  <c r="F116" i="1"/>
  <c r="F172"/>
  <c r="D347"/>
  <c r="F256"/>
  <c r="G256"/>
  <c r="I37" i="2"/>
  <c r="L37" s="1"/>
  <c r="E221" i="1"/>
  <c r="I44" i="2" s="1"/>
  <c r="L44" s="1"/>
  <c r="E193" i="1"/>
  <c r="I40" i="2" s="1"/>
  <c r="L40" s="1"/>
  <c r="D249" i="1"/>
  <c r="F326"/>
  <c r="E263"/>
  <c r="I50" i="2" s="1"/>
  <c r="L50" s="1"/>
  <c r="G235" i="1"/>
  <c r="F263"/>
  <c r="F228"/>
  <c r="F270"/>
  <c r="E326"/>
  <c r="I59" i="2" s="1"/>
  <c r="L59" s="1"/>
  <c r="F102" i="1"/>
  <c r="E319"/>
  <c r="I58" i="2" s="1"/>
  <c r="L58" s="1"/>
  <c r="F214" i="1"/>
  <c r="F130"/>
  <c r="E347"/>
  <c r="F249"/>
  <c r="I21" i="2"/>
  <c r="L21" s="1"/>
  <c r="I22"/>
  <c r="L22" s="1"/>
  <c r="I38"/>
  <c r="L38" s="1"/>
  <c r="I17"/>
  <c r="L17" s="1"/>
  <c r="D242" i="1"/>
  <c r="E242"/>
  <c r="D39"/>
  <c r="E39"/>
  <c r="D291"/>
  <c r="E291"/>
  <c r="D25"/>
  <c r="E25"/>
  <c r="D46"/>
  <c r="E46"/>
  <c r="E109"/>
  <c r="I28" i="2" s="1"/>
  <c r="L28" s="1"/>
  <c r="G109" i="1"/>
  <c r="F109"/>
  <c r="D340"/>
  <c r="D186"/>
  <c r="E186"/>
  <c r="D277"/>
  <c r="E277"/>
  <c r="G277"/>
  <c r="F277"/>
  <c r="D53"/>
  <c r="E53"/>
  <c r="I48" i="2" l="1"/>
  <c r="L48" s="1"/>
  <c r="K38"/>
  <c r="D11" i="1"/>
  <c r="E3" s="1"/>
  <c r="G11"/>
  <c r="E11"/>
  <c r="F3" s="1"/>
  <c r="F11"/>
  <c r="I51" i="2"/>
  <c r="L51" s="1"/>
  <c r="I62"/>
  <c r="L62" s="1"/>
  <c r="K68" s="1"/>
  <c r="H38"/>
  <c r="H77" s="1"/>
  <c r="M77" s="1"/>
  <c r="I86" s="1"/>
  <c r="I20"/>
  <c r="L20" s="1"/>
  <c r="I52"/>
  <c r="L52" s="1"/>
  <c r="I39"/>
  <c r="L39" s="1"/>
  <c r="I19"/>
  <c r="L19" s="1"/>
  <c r="I16"/>
  <c r="L16" s="1"/>
  <c r="I54"/>
  <c r="L54" s="1"/>
  <c r="I18"/>
  <c r="L18" s="1"/>
  <c r="I47"/>
  <c r="L47" s="1"/>
  <c r="I61"/>
  <c r="K47" l="1"/>
  <c r="K57"/>
  <c r="H61"/>
  <c r="H80" s="1"/>
  <c r="M80" s="1"/>
  <c r="I89" s="1"/>
  <c r="L61"/>
  <c r="K61" s="1"/>
  <c r="K36"/>
  <c r="H68"/>
  <c r="H81" s="1"/>
  <c r="M81" s="1"/>
  <c r="I90" s="1"/>
  <c r="E10" i="1"/>
  <c r="F10" s="1"/>
  <c r="H36" i="2"/>
  <c r="H76" s="1"/>
  <c r="M76" s="1"/>
  <c r="H57"/>
  <c r="H79" s="1"/>
  <c r="M79" s="1"/>
  <c r="I88" s="1"/>
  <c r="H47"/>
  <c r="H78" s="1"/>
  <c r="M78" s="1"/>
  <c r="I87" s="1"/>
  <c r="C10" i="1"/>
  <c r="G3"/>
  <c r="K3" s="1"/>
  <c r="O3" s="1"/>
  <c r="I71" i="2" l="1"/>
  <c r="H82"/>
  <c r="M82" s="1"/>
  <c r="N76" l="1"/>
  <c r="N82" s="1"/>
  <c r="S82" l="1"/>
  <c r="S76"/>
  <c r="S98" s="1"/>
  <c r="N85" l="1"/>
  <c r="S85"/>
  <c r="I85"/>
  <c r="N93"/>
  <c r="I91"/>
  <c r="I93" s="1"/>
  <c r="N91"/>
  <c r="S93"/>
  <c r="S91"/>
  <c r="Q36"/>
  <c r="G45" i="73" s="1"/>
  <c r="P36" i="2" l="1"/>
  <c r="F29" i="104"/>
  <c r="P76" i="2" l="1"/>
  <c r="P82" s="1"/>
  <c r="V29" i="104"/>
  <c r="V63" s="1"/>
  <c r="F62"/>
  <c r="V62" l="1"/>
  <c r="H66" s="1"/>
  <c r="L66" s="1"/>
  <c r="H68" l="1"/>
  <c r="H69"/>
  <c r="H67"/>
  <c r="H70"/>
  <c r="H71"/>
  <c r="H72"/>
  <c r="H73"/>
  <c r="L67" l="1"/>
  <c r="L68"/>
  <c r="H74"/>
  <c r="L72" l="1"/>
</calcChain>
</file>

<file path=xl/comments1.xml><?xml version="1.0" encoding="utf-8"?>
<comments xmlns="http://schemas.openxmlformats.org/spreadsheetml/2006/main">
  <authors>
    <author>alastair.young</author>
  </authors>
  <commentList>
    <comment ref="J14" authorId="0">
      <text>
        <r>
          <rPr>
            <b/>
            <sz val="9"/>
            <color indexed="81"/>
            <rFont val="Tahoma"/>
            <charset val="1"/>
          </rPr>
          <t>alastair.young:</t>
        </r>
        <r>
          <rPr>
            <sz val="9"/>
            <color indexed="81"/>
            <rFont val="Tahoma"/>
            <charset val="1"/>
          </rPr>
          <t xml:space="preserve">
Taken from SFT Satement of Benefits 09_10 Calculations.</t>
        </r>
      </text>
    </comment>
    <comment ref="O14" authorId="0">
      <text>
        <r>
          <rPr>
            <b/>
            <sz val="9"/>
            <color indexed="81"/>
            <rFont val="Tahoma"/>
            <charset val="1"/>
          </rPr>
          <t>alastair.young:</t>
        </r>
        <r>
          <rPr>
            <sz val="9"/>
            <color indexed="81"/>
            <rFont val="Tahoma"/>
            <charset val="1"/>
          </rPr>
          <t xml:space="preserve">
Taken from SFT Satement of Benefits 09_10 Calculations.</t>
        </r>
      </text>
    </comment>
    <comment ref="T14" authorId="0">
      <text>
        <r>
          <rPr>
            <b/>
            <sz val="9"/>
            <color indexed="81"/>
            <rFont val="Tahoma"/>
            <charset val="1"/>
          </rPr>
          <t>alastair.young:</t>
        </r>
        <r>
          <rPr>
            <sz val="9"/>
            <color indexed="81"/>
            <rFont val="Tahoma"/>
            <charset val="1"/>
          </rPr>
          <t xml:space="preserve">
Taken from SFT Satement of Benefits 09_10 Calculations.</t>
        </r>
      </text>
    </comment>
    <comment ref="I75" authorId="0">
      <text>
        <r>
          <rPr>
            <b/>
            <sz val="9"/>
            <color indexed="81"/>
            <rFont val="Tahoma"/>
            <charset val="1"/>
          </rPr>
          <t>alastair.young:</t>
        </r>
        <r>
          <rPr>
            <sz val="9"/>
            <color indexed="81"/>
            <rFont val="Tahoma"/>
            <charset val="1"/>
          </rPr>
          <t xml:space="preserve">
Taken from SFT Satement of Benefits 09_10 Calculations.</t>
        </r>
      </text>
    </comment>
    <comment ref="R75" authorId="0">
      <text>
        <r>
          <rPr>
            <b/>
            <sz val="9"/>
            <color indexed="81"/>
            <rFont val="Tahoma"/>
            <charset val="1"/>
          </rPr>
          <t>alastair.young:</t>
        </r>
        <r>
          <rPr>
            <sz val="9"/>
            <color indexed="81"/>
            <rFont val="Tahoma"/>
            <charset val="1"/>
          </rPr>
          <t xml:space="preserve">
Taken from SFT Satement of Benefits 09_10 Calculations.</t>
        </r>
      </text>
    </comment>
    <comment ref="W75" authorId="0">
      <text>
        <r>
          <rPr>
            <b/>
            <sz val="9"/>
            <color indexed="81"/>
            <rFont val="Tahoma"/>
            <charset val="1"/>
          </rPr>
          <t>alastair.young:</t>
        </r>
        <r>
          <rPr>
            <sz val="9"/>
            <color indexed="81"/>
            <rFont val="Tahoma"/>
            <charset val="1"/>
          </rPr>
          <t xml:space="preserve">
Taken from SFT Satement of Benefits 09_10 Calculations.</t>
        </r>
      </text>
    </comment>
  </commentList>
</comments>
</file>

<file path=xl/comments2.xml><?xml version="1.0" encoding="utf-8"?>
<comments xmlns="http://schemas.openxmlformats.org/spreadsheetml/2006/main">
  <authors>
    <author>lynnemarie.thom</author>
  </authors>
  <commentList>
    <comment ref="D48" authorId="0">
      <text>
        <r>
          <rPr>
            <b/>
            <sz val="9"/>
            <color indexed="81"/>
            <rFont val="Tahoma"/>
            <family val="2"/>
          </rPr>
          <t>lynnemarie.thom:</t>
        </r>
        <r>
          <rPr>
            <sz val="9"/>
            <color indexed="81"/>
            <rFont val="Tahoma"/>
            <family val="2"/>
          </rPr>
          <t xml:space="preserve">
50-66% depending on budget allocation. Assume 50% as prudent assumption.
</t>
        </r>
      </text>
    </comment>
  </commentList>
</comments>
</file>

<file path=xl/comments3.xml><?xml version="1.0" encoding="utf-8"?>
<comments xmlns="http://schemas.openxmlformats.org/spreadsheetml/2006/main">
  <authors>
    <author>andrew.bruce</author>
  </authors>
  <commentList>
    <comment ref="L116" authorId="0">
      <text>
        <r>
          <rPr>
            <b/>
            <sz val="9"/>
            <color indexed="81"/>
            <rFont val="Tahoma"/>
            <family val="2"/>
          </rPr>
          <t>andrew.bruce:</t>
        </r>
        <r>
          <rPr>
            <sz val="9"/>
            <color indexed="81"/>
            <rFont val="Tahoma"/>
            <family val="2"/>
          </rPr>
          <t xml:space="preserve">
Decided not to include hub benefits in this particular calculation as a saving in procurement time is already a separate benefit for the hub programme. </t>
        </r>
      </text>
    </comment>
  </commentList>
</comments>
</file>

<file path=xl/comments4.xml><?xml version="1.0" encoding="utf-8"?>
<comments xmlns="http://schemas.openxmlformats.org/spreadsheetml/2006/main">
  <authors>
    <author>andrew.bruce</author>
  </authors>
  <commentList>
    <comment ref="J54" authorId="0">
      <text>
        <r>
          <rPr>
            <b/>
            <sz val="9"/>
            <color indexed="81"/>
            <rFont val="Tahoma"/>
            <family val="2"/>
          </rPr>
          <t>andrew.bruce:</t>
        </r>
        <r>
          <rPr>
            <sz val="9"/>
            <color indexed="81"/>
            <rFont val="Tahoma"/>
            <family val="2"/>
          </rPr>
          <t xml:space="preserve">
There is insufficient evidence of explicit risk premia included in SPV costs  - some project cos do make explicit allowance but many appear to take this risk as part of their general equity risk</t>
        </r>
      </text>
    </comment>
    <comment ref="K54" authorId="0">
      <text>
        <r>
          <rPr>
            <b/>
            <sz val="9"/>
            <color indexed="81"/>
            <rFont val="Tahoma"/>
            <family val="2"/>
          </rPr>
          <t>andrew.bruce:</t>
        </r>
        <r>
          <rPr>
            <sz val="9"/>
            <color indexed="81"/>
            <rFont val="Tahoma"/>
            <family val="2"/>
          </rPr>
          <t xml:space="preserve">
There have been very few (if any) instances of general change in law during operations leading to a capital cost. </t>
        </r>
      </text>
    </comment>
    <comment ref="J60" authorId="0">
      <text>
        <r>
          <rPr>
            <b/>
            <sz val="9"/>
            <color indexed="81"/>
            <rFont val="Tahoma"/>
            <family val="2"/>
          </rPr>
          <t>andrew.bruce:</t>
        </r>
        <r>
          <rPr>
            <sz val="9"/>
            <color indexed="81"/>
            <rFont val="Tahoma"/>
            <family val="2"/>
          </rPr>
          <t xml:space="preserve">
There is evidence of a significant number of SPVs pricing the first 30% downside as an annual risk premium (Falkirk 2, Edinburgh 2, North Ayrshire)</t>
        </r>
      </text>
    </comment>
    <comment ref="K60" authorId="0">
      <text>
        <r>
          <rPr>
            <b/>
            <sz val="9"/>
            <color indexed="81"/>
            <rFont val="Tahoma"/>
            <family val="2"/>
          </rPr>
          <t>andrew.bruce:</t>
        </r>
        <r>
          <rPr>
            <sz val="9"/>
            <color indexed="81"/>
            <rFont val="Tahoma"/>
            <family val="2"/>
          </rPr>
          <t xml:space="preserve">
Assuming that insurance is priced at a mid point for the market at the time of pricing - then you should expect that increases (beyond RPI) should be exactly counterbalanced with decreases. For prudence we have assume that on average there is a 10% downside on average.</t>
        </r>
      </text>
    </comment>
  </commentList>
</comments>
</file>

<file path=xl/comments5.xml><?xml version="1.0" encoding="utf-8"?>
<comments xmlns="http://schemas.openxmlformats.org/spreadsheetml/2006/main">
  <authors>
    <author>alastair.young</author>
  </authors>
  <commentList>
    <comment ref="B1" authorId="0">
      <text>
        <r>
          <rPr>
            <b/>
            <sz val="9"/>
            <color indexed="81"/>
            <rFont val="Tahoma"/>
            <charset val="1"/>
          </rPr>
          <t>alastair.young:</t>
        </r>
        <r>
          <rPr>
            <sz val="9"/>
            <color indexed="81"/>
            <rFont val="Tahoma"/>
            <charset val="1"/>
          </rPr>
          <t xml:space="preserve">
The figures in column C are taking from applying the relevant filter to column D of sheet "Calcs Scen 2" and summation each figure.</t>
        </r>
      </text>
    </comment>
  </commentList>
</comments>
</file>

<file path=xl/sharedStrings.xml><?xml version="1.0" encoding="utf-8"?>
<sst xmlns="http://schemas.openxmlformats.org/spreadsheetml/2006/main" count="7055" uniqueCount="867">
  <si>
    <t>Project Delivery Authority</t>
  </si>
  <si>
    <t>Opearational proejct contracting Authorities</t>
  </si>
  <si>
    <t>Procuring Local Authorities</t>
  </si>
  <si>
    <t>2009/10</t>
  </si>
  <si>
    <t>% Recognition</t>
  </si>
  <si>
    <t>2010/11</t>
  </si>
  <si>
    <t>2011/12</t>
  </si>
  <si>
    <t>2012/13</t>
  </si>
  <si>
    <t>2013/14</t>
  </si>
  <si>
    <t>2014/15</t>
  </si>
  <si>
    <t>2015/16</t>
  </si>
  <si>
    <t>2016/17</t>
  </si>
  <si>
    <t>Benefit Ref</t>
  </si>
  <si>
    <t>2017/18</t>
  </si>
  <si>
    <t>2018/19</t>
  </si>
  <si>
    <t>2019/20</t>
  </si>
  <si>
    <t>2020/21</t>
  </si>
  <si>
    <t>2021/22</t>
  </si>
  <si>
    <t>2022/23</t>
  </si>
  <si>
    <t>2023/24</t>
  </si>
  <si>
    <t>2024/25</t>
  </si>
  <si>
    <t>2025/26</t>
  </si>
  <si>
    <t>2026/27</t>
  </si>
  <si>
    <t>2027/28</t>
  </si>
  <si>
    <t>2028/29</t>
  </si>
  <si>
    <t>2029/30</t>
  </si>
  <si>
    <t>2030/31</t>
  </si>
  <si>
    <t>2031/32</t>
  </si>
  <si>
    <t>2032/33</t>
  </si>
  <si>
    <t>2033/34</t>
  </si>
  <si>
    <t>Cashflow of benefit</t>
  </si>
  <si>
    <t>NPV</t>
  </si>
  <si>
    <t>Measured value</t>
  </si>
  <si>
    <t>Total NPV</t>
  </si>
  <si>
    <t>Total Measured Value</t>
  </si>
  <si>
    <t>Total Cashflow of benefit</t>
  </si>
  <si>
    <t>A1</t>
  </si>
  <si>
    <t>Description</t>
  </si>
  <si>
    <t>A2</t>
  </si>
  <si>
    <t>A3</t>
  </si>
  <si>
    <t>A4</t>
  </si>
  <si>
    <t>A5</t>
  </si>
  <si>
    <t>A6</t>
  </si>
  <si>
    <t>A7</t>
  </si>
  <si>
    <t>A8</t>
  </si>
  <si>
    <t>Validation</t>
  </si>
  <si>
    <t>2034/35</t>
  </si>
  <si>
    <t>2035/36</t>
  </si>
  <si>
    <t>2036/37</t>
  </si>
  <si>
    <t>2037/38</t>
  </si>
  <si>
    <t>2038/39</t>
  </si>
  <si>
    <t>2039/40</t>
  </si>
  <si>
    <t>2040/41</t>
  </si>
  <si>
    <t>2041/42</t>
  </si>
  <si>
    <t>2042/43</t>
  </si>
  <si>
    <t>2043/44</t>
  </si>
  <si>
    <t>2044/45</t>
  </si>
  <si>
    <t>2045/46</t>
  </si>
  <si>
    <t>Schools</t>
  </si>
  <si>
    <t>Discount Rate</t>
  </si>
  <si>
    <t>Scottish Futures Trust</t>
  </si>
  <si>
    <t>% of benefit realised attributable to SFT:</t>
  </si>
  <si>
    <t>Year(s) in which benefit is delivered:</t>
  </si>
  <si>
    <t>Capital value of project (£m):</t>
  </si>
  <si>
    <t>Part Four - Value and Timing</t>
  </si>
  <si>
    <t>If 'Other' please specify...</t>
  </si>
  <si>
    <t>Other</t>
  </si>
  <si>
    <t>SFT Budget</t>
  </si>
  <si>
    <t>LA Budget</t>
  </si>
  <si>
    <t>SG Budget</t>
  </si>
  <si>
    <r>
      <t xml:space="preserve">Budget allocation of benefit </t>
    </r>
    <r>
      <rPr>
        <sz val="11"/>
        <color theme="1"/>
        <rFont val="Calibri"/>
        <family val="2"/>
        <scheme val="minor"/>
      </rPr>
      <t>- Select from drop down menu:</t>
    </r>
  </si>
  <si>
    <t>More output for less input</t>
  </si>
  <si>
    <t>Same output for less input</t>
  </si>
  <si>
    <t>More output for same input</t>
  </si>
  <si>
    <r>
      <t xml:space="preserve">Is the Benefit... </t>
    </r>
    <r>
      <rPr>
        <sz val="11"/>
        <color theme="1"/>
        <rFont val="Calibri"/>
        <family val="2"/>
        <scheme val="minor"/>
      </rPr>
      <t>- Please select from drop down menu:</t>
    </r>
  </si>
  <si>
    <t>Part Three - Nature and Location</t>
  </si>
  <si>
    <r>
      <t xml:space="preserve">Please indicate level of </t>
    </r>
    <r>
      <rPr>
        <b/>
        <sz val="11"/>
        <color indexed="8"/>
        <rFont val="Calibri"/>
        <family val="2"/>
      </rPr>
      <t>confidence</t>
    </r>
    <r>
      <rPr>
        <sz val="11"/>
        <color theme="1"/>
        <rFont val="Calibri"/>
        <family val="2"/>
        <scheme val="minor"/>
      </rPr>
      <t xml:space="preserve"> of realising benefit 
  - Select from drop down menu:</t>
    </r>
  </si>
  <si>
    <r>
      <rPr>
        <sz val="11"/>
        <color theme="1"/>
        <rFont val="Calibri"/>
        <family val="2"/>
        <scheme val="minor"/>
      </rPr>
      <t xml:space="preserve">Please enter any known </t>
    </r>
    <r>
      <rPr>
        <b/>
        <sz val="11"/>
        <color indexed="8"/>
        <rFont val="Calibri"/>
        <family val="2"/>
      </rPr>
      <t xml:space="preserve">dependencies:
</t>
    </r>
    <r>
      <rPr>
        <i/>
        <sz val="11"/>
        <color indexed="8"/>
        <rFont val="Calibri"/>
        <family val="2"/>
      </rPr>
      <t>We can only deliver this benefit if others...</t>
    </r>
  </si>
  <si>
    <r>
      <rPr>
        <sz val="11"/>
        <color theme="1"/>
        <rFont val="Calibri"/>
        <family val="2"/>
        <scheme val="minor"/>
      </rPr>
      <t xml:space="preserve">Please enter any associated </t>
    </r>
    <r>
      <rPr>
        <b/>
        <sz val="11"/>
        <color indexed="8"/>
        <rFont val="Calibri"/>
        <family val="2"/>
      </rPr>
      <t>assumptions:</t>
    </r>
  </si>
  <si>
    <r>
      <rPr>
        <sz val="11"/>
        <color theme="1"/>
        <rFont val="Calibri"/>
        <family val="2"/>
        <scheme val="minor"/>
      </rPr>
      <t xml:space="preserve">Please enter a </t>
    </r>
    <r>
      <rPr>
        <b/>
        <sz val="11"/>
        <color indexed="8"/>
        <rFont val="Calibri"/>
        <family val="2"/>
      </rPr>
      <t>description</t>
    </r>
    <r>
      <rPr>
        <sz val="11"/>
        <color theme="1"/>
        <rFont val="Calibri"/>
        <family val="2"/>
        <scheme val="minor"/>
      </rPr>
      <t xml:space="preserve"> of the benefit:</t>
    </r>
  </si>
  <si>
    <t>Part Two - Description and Assumptions</t>
  </si>
  <si>
    <t>Housing</t>
  </si>
  <si>
    <t>Orkney Schools</t>
  </si>
  <si>
    <t>Western Isles Schools</t>
  </si>
  <si>
    <t>Moray Schools</t>
  </si>
  <si>
    <t>Tayside Mental Health</t>
  </si>
  <si>
    <t>Aberdeen Schools refinancing plan</t>
  </si>
  <si>
    <t>Forth Crossing</t>
  </si>
  <si>
    <t>Borders Rail</t>
  </si>
  <si>
    <t>Investment Strategy</t>
  </si>
  <si>
    <t>TIF</t>
  </si>
  <si>
    <t>Water</t>
  </si>
  <si>
    <t>Waste</t>
  </si>
  <si>
    <t>hub</t>
  </si>
  <si>
    <r>
      <t>Project -</t>
    </r>
    <r>
      <rPr>
        <sz val="11"/>
        <color theme="1"/>
        <rFont val="Calibri"/>
        <family val="2"/>
        <scheme val="minor"/>
      </rPr>
      <t xml:space="preserve"> Select from drop down menu:</t>
    </r>
  </si>
  <si>
    <t>Centre of Expertise</t>
  </si>
  <si>
    <t>x</t>
  </si>
  <si>
    <t>Funding &amp; Finance</t>
  </si>
  <si>
    <t>Aggregation &amp; Collaboration</t>
  </si>
  <si>
    <t>Delivery</t>
  </si>
  <si>
    <r>
      <t>VfM Driver(s)</t>
    </r>
    <r>
      <rPr>
        <sz val="11"/>
        <color theme="1"/>
        <rFont val="Calibri"/>
        <family val="2"/>
        <scheme val="minor"/>
      </rPr>
      <t xml:space="preserve"> - Please mark with an X: </t>
    </r>
  </si>
  <si>
    <r>
      <t xml:space="preserve">Review Date </t>
    </r>
    <r>
      <rPr>
        <sz val="11"/>
        <color theme="1"/>
        <rFont val="Calibri"/>
        <family val="2"/>
        <scheme val="minor"/>
      </rPr>
      <t>- Bi-annual unless otherwise agreed:</t>
    </r>
  </si>
  <si>
    <r>
      <t xml:space="preserve">Reference - </t>
    </r>
    <r>
      <rPr>
        <sz val="11"/>
        <color theme="1"/>
        <rFont val="Calibri"/>
        <family val="2"/>
        <scheme val="minor"/>
      </rPr>
      <t>Please leave blank upon initial completion:</t>
    </r>
  </si>
  <si>
    <r>
      <t>Owner -</t>
    </r>
    <r>
      <rPr>
        <sz val="11"/>
        <color theme="1"/>
        <rFont val="Calibri"/>
        <family val="2"/>
        <scheme val="minor"/>
      </rPr>
      <t xml:space="preserve"> Please insert name:</t>
    </r>
  </si>
  <si>
    <t>Part One - Indicators</t>
  </si>
  <si>
    <t>SFT Benefits Recognition Template</t>
  </si>
  <si>
    <t xml:space="preserve"> </t>
  </si>
  <si>
    <t>Benefit recognised (%):</t>
  </si>
  <si>
    <t>Benefits accrue at SG, SFT, LA level</t>
  </si>
  <si>
    <r>
      <t>Identification Date</t>
    </r>
    <r>
      <rPr>
        <sz val="11"/>
        <color theme="1"/>
        <rFont val="Calibri"/>
        <family val="2"/>
        <scheme val="minor"/>
      </rPr>
      <t xml:space="preserve"> - Please insert initial identification date:</t>
    </r>
  </si>
  <si>
    <t>M</t>
  </si>
  <si>
    <t>N/A</t>
  </si>
  <si>
    <t>Calculations</t>
  </si>
  <si>
    <t>Benefit Type</t>
  </si>
  <si>
    <t>NB: All figures are in £'s unless otherwise stated</t>
  </si>
  <si>
    <t>Owner</t>
  </si>
  <si>
    <t>None</t>
  </si>
  <si>
    <t>LA and SG budgets</t>
  </si>
  <si>
    <t>Capital value of project (£):</t>
  </si>
  <si>
    <t>Benefit recognised (£):</t>
  </si>
  <si>
    <t>Operational PPP Support and Training</t>
  </si>
  <si>
    <t xml:space="preserve">VfM Driver </t>
  </si>
  <si>
    <t xml:space="preserve">Delivery </t>
  </si>
  <si>
    <t>Borders Rail - Competition</t>
  </si>
  <si>
    <t>5% of capex and omr</t>
  </si>
  <si>
    <t xml:space="preserve">NHS </t>
  </si>
  <si>
    <t>NHS /LA</t>
  </si>
  <si>
    <t>NHS</t>
  </si>
  <si>
    <t>Public Sector Investment Returns</t>
  </si>
  <si>
    <t>No of Losing Bidders Per Project</t>
  </si>
  <si>
    <t>Total</t>
  </si>
  <si>
    <t>Other Bid Costs</t>
  </si>
  <si>
    <t>per bidder per project</t>
  </si>
  <si>
    <t>Design Fees Saved</t>
  </si>
  <si>
    <t>Savings in Bid Costs</t>
  </si>
  <si>
    <t>DBFM</t>
  </si>
  <si>
    <t>D&amp;B</t>
  </si>
  <si>
    <t>Total No of DBFM</t>
  </si>
  <si>
    <t>Totals</t>
  </si>
  <si>
    <t>Terr 5</t>
  </si>
  <si>
    <t>Terr 4</t>
  </si>
  <si>
    <t>Terr 3</t>
  </si>
  <si>
    <t>Terr 2</t>
  </si>
  <si>
    <t>Terr 1</t>
  </si>
  <si>
    <t>D&amp;B Total</t>
  </si>
  <si>
    <t>Savings in Procurement Time</t>
  </si>
  <si>
    <t>Benefit 4 - Public Sector Investment Returns</t>
  </si>
  <si>
    <t>Benefit 2 - Continuous Improvement in Capital Cost</t>
  </si>
  <si>
    <t>Year</t>
  </si>
  <si>
    <t>£m</t>
  </si>
  <si>
    <t>Benefit 1 - Reduced Procurement Time</t>
  </si>
  <si>
    <t xml:space="preserve">Total </t>
  </si>
  <si>
    <t>Hub PDO activity levels driving benefits:</t>
  </si>
  <si>
    <t xml:space="preserve">Year </t>
  </si>
  <si>
    <t>Real improvement per annum - Cumul</t>
  </si>
  <si>
    <t>Time Saved In Years:</t>
  </si>
  <si>
    <t>No Bid Costs Written Off on a DBFM Projects: (Not lost because no competition)</t>
  </si>
  <si>
    <t>Other parties involved: SG &amp; LAs</t>
  </si>
  <si>
    <t>2012/13 to 2016/17 
(assume flat profile)</t>
  </si>
  <si>
    <t>Months</t>
  </si>
  <si>
    <t>£ ph</t>
  </si>
  <si>
    <t>Cost</t>
  </si>
  <si>
    <t>Days pw</t>
  </si>
  <si>
    <t>Person</t>
  </si>
  <si>
    <t>P</t>
  </si>
  <si>
    <t>Confidence Factors</t>
  </si>
  <si>
    <t>Year 10 Projects</t>
  </si>
  <si>
    <t>Year 9 Projects</t>
  </si>
  <si>
    <t>Year 8 Projects</t>
  </si>
  <si>
    <t>Year 7 Projects</t>
  </si>
  <si>
    <t>Year 6 Projects</t>
  </si>
  <si>
    <t>Year 5 Projects</t>
  </si>
  <si>
    <t>Year 4 Projects</t>
  </si>
  <si>
    <t>Year 3 Projects</t>
  </si>
  <si>
    <t>Year 2 Projects</t>
  </si>
  <si>
    <t>Year 1 Projects</t>
  </si>
  <si>
    <t>Public Sector Investment</t>
  </si>
  <si>
    <t>Gearing Ratio</t>
  </si>
  <si>
    <t>Real Additional Return on Public Sector Capital</t>
  </si>
  <si>
    <t>Nominal Public Sector Cost of Capital</t>
  </si>
  <si>
    <t>Nominal Average Return on Equity / Sub Debt Post Construction</t>
  </si>
  <si>
    <t>% Savings of Capex to UC</t>
  </si>
  <si>
    <t>Improvement in Capital Costs - Continuous Improvement &amp; Aggregation Benefit</t>
  </si>
  <si>
    <t>driving % saving of:</t>
  </si>
  <si>
    <t>of capital costs because of saving in advisory / internal costs</t>
  </si>
  <si>
    <t>DBFM Total</t>
  </si>
  <si>
    <t>Validation of complex projects</t>
  </si>
  <si>
    <t>% Recognised</t>
  </si>
  <si>
    <t>Level</t>
  </si>
  <si>
    <t>Confidence Level</t>
  </si>
  <si>
    <t>Weeks</t>
  </si>
  <si>
    <t>TE</t>
  </si>
  <si>
    <t>D&amp;B (T1&amp;2)</t>
  </si>
  <si>
    <t>D&amp;B (T3,4&amp;5)</t>
  </si>
  <si>
    <t>DBFM (T1&amp;2)</t>
  </si>
  <si>
    <t>DBFM (T3,4&amp;5)</t>
  </si>
  <si>
    <t>Year 11 Projects</t>
  </si>
  <si>
    <t>Sub-Total</t>
  </si>
  <si>
    <t>Benefit Attributable to SFT</t>
  </si>
  <si>
    <t>If participants ensure they follow through and implement when DBFM projects are delivered.</t>
  </si>
  <si>
    <t>Capital Value of Projects</t>
  </si>
  <si>
    <t>Ref</t>
  </si>
  <si>
    <t>X</t>
  </si>
  <si>
    <t>2010/11-2017/18</t>
  </si>
  <si>
    <t>Schools Programme - Pilot Project Savings</t>
  </si>
  <si>
    <t>Schools Programme - Needs Identification</t>
  </si>
  <si>
    <t>Schools Programme - Continuous Improvement Savings</t>
  </si>
  <si>
    <t>2009/10 &amp; 2010/11 
(50%:50%)</t>
  </si>
  <si>
    <t>Ends</t>
  </si>
  <si>
    <t>A - High</t>
  </si>
  <si>
    <t>B1</t>
  </si>
  <si>
    <t>B2</t>
  </si>
  <si>
    <t>C1</t>
  </si>
  <si>
    <t>C2</t>
  </si>
  <si>
    <t>C3</t>
  </si>
  <si>
    <t>D1</t>
  </si>
  <si>
    <t>D2</t>
  </si>
  <si>
    <t>E1</t>
  </si>
  <si>
    <t>2009/10 (50%) to 2010/11 (50%)</t>
  </si>
  <si>
    <t>Waste - Programme Support</t>
  </si>
  <si>
    <t>Waste - Procurement Timetable Benefits</t>
  </si>
  <si>
    <t>F1</t>
  </si>
  <si>
    <t>Confidence Level Reduction:</t>
  </si>
  <si>
    <t>Year(s) of opportunity creation:</t>
  </si>
  <si>
    <t xml:space="preserve">Taken from CEC Draft Business Case: </t>
  </si>
  <si>
    <t>Private Sector development enabled: £660m</t>
  </si>
  <si>
    <t>Taken from Draft Ravenscraig Business Case North Lanarkshire TIF: £73m</t>
  </si>
  <si>
    <t>Private Sector development enabled: £425m</t>
  </si>
  <si>
    <t>Analysis doesn’t include economic benefit: jobs, tourism, etc as yet unknown.</t>
  </si>
  <si>
    <t>Edinburgh TIF</t>
  </si>
  <si>
    <t>Ravenscraig (North Lanarkshire) TIF</t>
  </si>
  <si>
    <t>Edinburgh Public Sector Funding Capital Value: £84m</t>
  </si>
  <si>
    <t>Glasgow TIF</t>
  </si>
  <si>
    <t>Private Sector Development Enabled</t>
  </si>
  <si>
    <t>Analysis doesn’t include economic benefit: jobs, tourism, etc.</t>
  </si>
  <si>
    <t>% Profile</t>
  </si>
  <si>
    <t>Primary Schools</t>
  </si>
  <si>
    <t>- Roll</t>
  </si>
  <si>
    <t>Secondary Schools:</t>
  </si>
  <si>
    <t xml:space="preserve">If Participants set up effective project management processes and structures for the project which is under development - such that the savings mentioned above are realised and the time saving is put to best use. </t>
  </si>
  <si>
    <t>Each Territory negotiates stretching targets for continuous improvement and then works hard with the HubCo to assist in delivering these targets.</t>
  </si>
  <si>
    <t xml:space="preserve">SFT supports the Territory in setting out performance targets including national standards on these targets and is responsible for sharing best practice in this across Scotland. </t>
  </si>
  <si>
    <t>The public sector take up their investment rights as DBFM projects reach close.</t>
  </si>
  <si>
    <t>Reduced IRR</t>
  </si>
  <si>
    <t>Sub Debt Investment</t>
  </si>
  <si>
    <t>Nominal Average Return on Equity / Sub Debt Pre Negotiation</t>
  </si>
  <si>
    <t>Nominal Average Return on Equity / Sub Debt Post Negotiation</t>
  </si>
  <si>
    <t>Saving</t>
  </si>
  <si>
    <t>Benefit 5 - Reduced IRR</t>
  </si>
  <si>
    <t>Avoided Costs</t>
  </si>
  <si>
    <t>Efficiency Gain: Funding and Finance</t>
  </si>
  <si>
    <t>Efficiency Gain: Validation</t>
  </si>
  <si>
    <t>Efficiency Gain: Delivery (including Aggregation and Collaboration)</t>
  </si>
  <si>
    <t>Efficiency Gain: Centre of Expertise</t>
  </si>
  <si>
    <t>Additional Investment</t>
  </si>
  <si>
    <t>Discussion ongoing as at financial year end. Suggestion now accepted in FY 10/11</t>
  </si>
  <si>
    <t>£126m</t>
  </si>
  <si>
    <t>09/10 - 20%, 10/11 - 80%</t>
  </si>
  <si>
    <t>£60m capital value of Western Isles project, requiring £2.22m revenue support per annum for 30 years
£50m capital value of Orkney project requiring £2.08m of revenue support per annum of 30 years</t>
  </si>
  <si>
    <t>D3</t>
  </si>
  <si>
    <t>D4</t>
  </si>
  <si>
    <t>D5</t>
  </si>
  <si>
    <t>D6</t>
  </si>
  <si>
    <t>D7</t>
  </si>
  <si>
    <t>D8</t>
  </si>
  <si>
    <t>D9</t>
  </si>
  <si>
    <t>E2</t>
  </si>
  <si>
    <t>Waste - Data Capture and Market Engagement</t>
  </si>
  <si>
    <t>G2</t>
  </si>
  <si>
    <t>G1</t>
  </si>
  <si>
    <t>Key:</t>
  </si>
  <si>
    <t>Scen 2 - Most Likely Benefit</t>
  </si>
  <si>
    <t>Schools Programme - Needs Identification - Summary</t>
  </si>
  <si>
    <t xml:space="preserve">Efficiency Gain: Delivery </t>
  </si>
  <si>
    <t>Reporting Calcutaions £s</t>
  </si>
  <si>
    <t>Reporting Calcutaions %s</t>
  </si>
  <si>
    <t>C - Good</t>
  </si>
  <si>
    <t>B - Very Good</t>
  </si>
  <si>
    <t>D - Moderate</t>
  </si>
  <si>
    <t>2046/47</t>
  </si>
  <si>
    <t>2047/48</t>
  </si>
  <si>
    <t>2045/48</t>
  </si>
  <si>
    <t>UC Reduction (p.a.)</t>
  </si>
  <si>
    <t xml:space="preserve">Benefit 3 - Savings in Bid Costs </t>
  </si>
  <si>
    <t>Benefit has already been delivered</t>
  </si>
  <si>
    <t xml:space="preserve">Firm, deliverable plans are in place and being progressed for delivery of benefit, but stages remain to be completed </t>
  </si>
  <si>
    <t xml:space="preserve">Plans are in place to deliver the benefit but some third party commitment remains outstanding and/or significant stages remain outstanding to deliver the anticipated benefit </t>
  </si>
  <si>
    <t xml:space="preserve">Deliverable benefit identified with discussions ongoing with third party(ies) to put firm plans in place for delivery </t>
  </si>
  <si>
    <t>Confidence Factor</t>
  </si>
  <si>
    <t>2010/11-2013/14 
(assume even spread)</t>
  </si>
  <si>
    <t>Validation - Non-Standard Civils Projects</t>
  </si>
  <si>
    <t>Validation - Standard Accommodation Projects</t>
  </si>
  <si>
    <t>Western Isles and Orkney Schools Projects - Finance Structure</t>
  </si>
  <si>
    <t>Hub Programme - Reduced Procurement Time</t>
  </si>
  <si>
    <t>Hub Programme - Capital Costs Continuous Improvement</t>
  </si>
  <si>
    <t>Hub Programme - Public Sector Investment Returns</t>
  </si>
  <si>
    <t>Hub Programme - Reduced Rates of Return</t>
  </si>
  <si>
    <t>Hub Programme - Programme Wide Benefits Summary</t>
  </si>
  <si>
    <t>Hub Programme - Benefits Underlying Assumptions</t>
  </si>
  <si>
    <t>Key Stage Reviews - PUK KSR Costs Avoided</t>
  </si>
  <si>
    <t>With stand alone DBFM procurement competitions, generally there are 3 bidders who incur substantial sums in bidding for the project. 2 of these 3 bidders will suffer loss on these sums and the winning bidder will generally recover a multiple of their bid costs to cover for lost bid costs on other projects. Under the hub model there is no need to bid for individual DBFM projects so these costs are saved.</t>
  </si>
  <si>
    <t>The saving is assumed to be £0.5m per DBFM project - £0.375m spent per bidder on average and an average of 1.5 losing bidders per project. There is also an assumed workflow of DBFM projects across Scotland - 1 per territory per annum on average.</t>
  </si>
  <si>
    <t xml:space="preserve">NHT - Development of Model </t>
  </si>
  <si>
    <t xml:space="preserve">TIF - Development of Model </t>
  </si>
  <si>
    <t>ESA 95 - Consultancy Costs Avoided</t>
  </si>
  <si>
    <t>TIF - Consultancy Costs Avoided</t>
  </si>
  <si>
    <t>NHT - Consultancy Costs Avoided</t>
  </si>
  <si>
    <t>Borders Rail - Lower Financing Costs</t>
  </si>
  <si>
    <t>Hub Programme - Bid Costs Savings</t>
  </si>
  <si>
    <t>Scen 1 - Upper Benefit</t>
  </si>
  <si>
    <t>Scen 3 - Lower Benefit</t>
  </si>
  <si>
    <t>Upper Movement</t>
  </si>
  <si>
    <t>Lower Movement</t>
  </si>
  <si>
    <t>Sub-Total (inc D&amp;B Savings)</t>
  </si>
  <si>
    <t>Top 10 Benefits</t>
  </si>
  <si>
    <t xml:space="preserve">Hub Programme - Dialogue Stage Public Sector Savings </t>
  </si>
  <si>
    <t>Scenario 1 - Upper Benefit</t>
  </si>
  <si>
    <t>Secondary Schools: 67% SFT / 33% LA</t>
  </si>
  <si>
    <t>Primary Schools: 50% SFT / 50% LA</t>
  </si>
  <si>
    <t>Benefit Profile</t>
  </si>
  <si>
    <t>Secondary Schools - Roll</t>
  </si>
  <si>
    <t>Benefit</t>
  </si>
  <si>
    <t>Sqm cost saving (£)</t>
  </si>
  <si>
    <t>SFT sqm cost (£)</t>
  </si>
  <si>
    <t>Average LA sqm cost (£)</t>
  </si>
  <si>
    <t>Sqm per pupil saving (sqm)</t>
  </si>
  <si>
    <t>Unlike in all DBFM procurements to date in Scotland, the public sector will have the right to invest 40% of the equity and sub debt requirements into each revenue funded project. The returns on this investment are an additional benefit to the public sector from the hub initiative. The public sector could derive additional benefit through the utilisation of the returns received from their investment.</t>
  </si>
  <si>
    <t xml:space="preserve">Reduction in construction costs (in real terms) via continuous improvement targets for HubCo. The HubCo in each Territory is contractually obliged to meet performance targets - including driving down the cost of constructing community projects and improving the specification of buildings. Savings are assumed to be 1% per annum real cumulative - hence by year 10 to have made a saving of 10% compared to the baseline model. </t>
  </si>
  <si>
    <t>The hub structure will remove the requirement for all participating public bodies to go through the full OJEU process for every project that they undertake above the OJEU threshold. This will lead to a significant saving in procurement time and associated cost.</t>
  </si>
  <si>
    <t>Shared Benefit Profile:</t>
  </si>
  <si>
    <t>Total Benefit Profile:</t>
  </si>
  <si>
    <t>Total Benefits</t>
  </si>
  <si>
    <t>LA proposed design capacity (pupils)</t>
  </si>
  <si>
    <t xml:space="preserve">Benefit </t>
  </si>
  <si>
    <t>SFT average sqm per pupil (sqm)</t>
  </si>
  <si>
    <t xml:space="preserve">LA average sqm per pupil (sqm) </t>
  </si>
  <si>
    <t>SFT estimated spend based on programme parameters</t>
  </si>
  <si>
    <t>LA estimated spend based on initial submissions</t>
  </si>
  <si>
    <t>Estimated spend based on agreed funded roll using programme parameters (£ exc Infl)</t>
  </si>
  <si>
    <t>Agreed funded roll (pupils)</t>
  </si>
  <si>
    <t>SFT estimated spend based on programme parameters (£)</t>
  </si>
  <si>
    <t>LA estimated spend based on average LA sqm / cost and agreed roll (£)</t>
  </si>
  <si>
    <t>Average</t>
  </si>
  <si>
    <t>Secondary Schools - Space &amp; Cost</t>
  </si>
  <si>
    <t>Total 21 Schools</t>
  </si>
  <si>
    <t>Total 14 Schools</t>
  </si>
  <si>
    <t>- Space &amp; Cost</t>
  </si>
  <si>
    <t>Benefits Statement</t>
  </si>
  <si>
    <t>Calculation Workbook</t>
  </si>
  <si>
    <t>Result:</t>
  </si>
  <si>
    <t>Waste - Gateway Review Costs Avoided</t>
  </si>
  <si>
    <t>Other parties involved: SG</t>
  </si>
  <si>
    <t>Other parties involved: TS</t>
  </si>
  <si>
    <t>Hub participants</t>
  </si>
  <si>
    <t>2% of capital costs</t>
  </si>
  <si>
    <t>40% - 09/10, 30%, 20%, 10% following years</t>
  </si>
  <si>
    <t>Up to 2047 - end of 25 year life of last project procured</t>
  </si>
  <si>
    <t>The removal of the need to carry out procurement via OJEU should save 6 months in time. The earlier delivery of projects and the reduction in internal and advisory transaction costs is likely to equate to 2% of the capital cost of the project.</t>
  </si>
  <si>
    <t>1% per annum cumulative</t>
  </si>
  <si>
    <t>Other parties involved: LAs</t>
  </si>
  <si>
    <t>50-66% based on budget allocation</t>
  </si>
  <si>
    <t xml:space="preserve">Tayside Mental Health project, Orkney, Western Isles and Moray schools projects &amp; FRC </t>
  </si>
  <si>
    <t>Western Isles &amp; Orkney Schools</t>
  </si>
  <si>
    <t xml:space="preserve">The KSR revealed a technical budgeting issue with the flow of funds between Government and the Local Authority for this structure originally devised by the then Financial Partnerships Unit in Scottish Government. This would have led to a double counting of the capital cost of the projects under public sector accounting and budgeting rules, that had not previously been allowed for. SFT worked with Scottish Government to resolve this issue and avoid the double counting of budgets </t>
  </si>
  <si>
    <t>Evidence that good competition drives pricing benefit in excess of 5%. Against likely capital and maintenance cost for this project, that would result in an annual unitary charge saving of approximately £1.3m</t>
  </si>
  <si>
    <t>Note: At this stage, the wider operational cost saving and service delivery benefits of hub have not been quantified here.</t>
  </si>
  <si>
    <t>A 3% reduction in IRR when compared to an average PFI project achieved through robust dialogue stage intervention &amp; a clear pipeline of proejcts over time</t>
  </si>
  <si>
    <t>This is measured as the premium returned over an above the assumed nominal cost of capital of the public sector (6.09%). The average rate of return of these projects is assumed to be 10% - therefore the real return over the cost of capital is assumed to be 3.91%. There is assumed to be DBFM projects signed in each territory per annum to the value of £15m.</t>
  </si>
  <si>
    <t>Estimated spend based on proposed design capacity using programme parameters (£ exc Infl)</t>
  </si>
  <si>
    <t xml:space="preserve">Operational Projects Support </t>
  </si>
  <si>
    <t>Avoided cost</t>
  </si>
  <si>
    <t>Building on market sounding feedback, adjustment made to npd structure, while clearly maintaing the npd principles, was introduced to bring clarity to npd in the transport sector and enhance competitive attraction of the project and potential vfm. At least three strong potential bidders were gained for the project throgh these actions</t>
  </si>
  <si>
    <t>2010-11</t>
  </si>
  <si>
    <t>Dir</t>
  </si>
  <si>
    <t>AD</t>
  </si>
  <si>
    <t>2010/2011</t>
  </si>
  <si>
    <t>D</t>
  </si>
  <si>
    <t>AD 1</t>
  </si>
  <si>
    <t>AD 2</t>
  </si>
  <si>
    <t xml:space="preserve">2009/10 (50%), 2010/2011 (30%) and 2011/12 (20%), </t>
  </si>
  <si>
    <t>2012 to 2020 (profile detailed below)</t>
  </si>
  <si>
    <t>High level discussions have forecast public sector capital spend at: £83m.</t>
  </si>
  <si>
    <t>Initial Private Sector development enabled: £354m</t>
  </si>
  <si>
    <t>FY March</t>
  </si>
  <si>
    <t>TOTALS</t>
  </si>
  <si>
    <t>Do Not Disclose Individual projects</t>
  </si>
  <si>
    <t>Edinburgh</t>
  </si>
  <si>
    <t>Glasgow</t>
  </si>
  <si>
    <t>Ravenscraig</t>
  </si>
  <si>
    <t>Check</t>
  </si>
  <si>
    <t>URC - Consultancy Costs Avoided</t>
  </si>
  <si>
    <t>Review of revised Urban Regeneration Company business plans for Scottish Government</t>
  </si>
  <si>
    <t>A9</t>
  </si>
  <si>
    <t>2009/10 &amp; 2010/11</t>
  </si>
  <si>
    <t>Scottish Schools for the Future</t>
  </si>
  <si>
    <t>Project team adopt recommendations</t>
  </si>
  <si>
    <t xml:space="preserve">Project Assurance/KSRs completed for LA Projects, hub PSDP procurements &amp; NHT Framework procurement:  Review helps enhance the likelihood that the project outcomes will be successfully achieved </t>
  </si>
  <si>
    <t>09/10 Legacy Projects: Tayside Health / Orkney Schools / Western Isles Schools / Moray Schools
0.6% benefit recognised (based on benefit of project validation report - standard buildings projects 'incomplete scope') - See 'Validation Backup'. 2010/11 hub (South East, North, East Central &amp; West territory procurements) with a current pipeline of £1.13bn *0.6% = £6.78m and NHT with a pipeline of £102m * 0.6% = £612k</t>
  </si>
  <si>
    <t>Project teams adopt review recommendations</t>
  </si>
  <si>
    <t xml:space="preserve">                                                                                                                                                                                                                                                                                                                                                                                              </t>
  </si>
  <si>
    <t>A10</t>
  </si>
  <si>
    <t>CMAL</t>
  </si>
  <si>
    <t>CMAL - Consultancy Costs Avoided</t>
  </si>
  <si>
    <t>E3</t>
  </si>
  <si>
    <t>Validation - CMAL</t>
  </si>
  <si>
    <t>A11</t>
  </si>
  <si>
    <t>Collaborative Housing - Consultancy Costs Avoided</t>
  </si>
  <si>
    <t>Collaborative Procurement</t>
  </si>
  <si>
    <t>RSL budgets</t>
  </si>
  <si>
    <t>C4</t>
  </si>
  <si>
    <t>2013/14 - 2040/41</t>
  </si>
  <si>
    <t>09/10 (£15k) &amp; 10/11(£30k)</t>
  </si>
  <si>
    <t>09/10 (33%), 10/11 (77%)</t>
  </si>
  <si>
    <t>Residual Waste - Programme Support</t>
  </si>
  <si>
    <t>09/10 (£50k) &amp; 10/11 (£100k)</t>
  </si>
  <si>
    <t>09/10 (33%), 10/11 (67%)</t>
  </si>
  <si>
    <t>09/10 (£162k) &amp; 10/11 (£432k)</t>
  </si>
  <si>
    <t>14/15</t>
  </si>
  <si>
    <t>15/16</t>
  </si>
  <si>
    <t>16/17</t>
  </si>
  <si>
    <t>17/18</t>
  </si>
  <si>
    <t>18/19</t>
  </si>
  <si>
    <t>19/20</t>
  </si>
  <si>
    <t>20/21</t>
  </si>
  <si>
    <t>21/22</t>
  </si>
  <si>
    <t>22/23</t>
  </si>
  <si>
    <t>23/24</t>
  </si>
  <si>
    <t>24/25</t>
  </si>
  <si>
    <t>25/26</t>
  </si>
  <si>
    <t>26/27</t>
  </si>
  <si>
    <t>27/28</t>
  </si>
  <si>
    <t>28/29</t>
  </si>
  <si>
    <t>29/30</t>
  </si>
  <si>
    <t>30/31</t>
  </si>
  <si>
    <t>31/32</t>
  </si>
  <si>
    <t>32/33</t>
  </si>
  <si>
    <t>33/34</t>
  </si>
  <si>
    <t>34/35</t>
  </si>
  <si>
    <t>35/36</t>
  </si>
  <si>
    <t>36/37</t>
  </si>
  <si>
    <t>37/38</t>
  </si>
  <si>
    <t>38/39</t>
  </si>
  <si>
    <t>39/40</t>
  </si>
  <si>
    <t>40/41</t>
  </si>
  <si>
    <t>41/42</t>
  </si>
  <si>
    <t>G3</t>
  </si>
  <si>
    <t>Waste - Food Waste Treatment Programme Support</t>
  </si>
  <si>
    <t>Waste - Infrastructure Development &amp; Procurement Cost Benefits (Avoided Abortive Costs)</t>
  </si>
  <si>
    <t>A12</t>
  </si>
  <si>
    <t>Waste - Avoided Abortive Costs - Not Clyde Valley</t>
  </si>
  <si>
    <t>A13</t>
  </si>
  <si>
    <t>Waste - Avoided Advisory Costs - Projects other than Clyde Valley</t>
  </si>
  <si>
    <t>Waste - Avoided Abortive Advisory Costs Clyde Valley</t>
  </si>
  <si>
    <t>Procurement Timetable Benefits (Avoided Advisory Costs) - Clyde Valley</t>
  </si>
  <si>
    <t>A14</t>
  </si>
  <si>
    <t>A15</t>
  </si>
  <si>
    <t>A16</t>
  </si>
  <si>
    <t>A17</t>
  </si>
  <si>
    <t>TOTAL</t>
  </si>
  <si>
    <t>Waste - Procurement Cost Benefits - Avoided Support Costs</t>
  </si>
  <si>
    <t>Waste - Procurement Cost Benefits - avoided support costs</t>
  </si>
  <si>
    <t>Waste - Avoided Advisory Costs - Clyde Valley</t>
  </si>
  <si>
    <t>Waste - Procurement Timetable Benefits - Avoided Disposal Costs - Projects other than Clyde Valley</t>
  </si>
  <si>
    <t xml:space="preserve">Waste - Avoided Disposal Costs - Clyde Valley </t>
  </si>
  <si>
    <t>Procurement Timetable Benefits (Avoided Disposal Costs) - Clyde Valley</t>
  </si>
  <si>
    <t>Waste - Service Cost Benefits (Reduced Gate Fees) - Projects other than Clyde Valley</t>
  </si>
  <si>
    <t>Waste - Service Cost Benefits (Reduced Gate Fees) - Not Clyde Valley</t>
  </si>
  <si>
    <t>Waste - Reduced Gate Fees - Clyde Valley</t>
  </si>
  <si>
    <t>Procurement Timetable Benefits (Avoided/ Reduced Gate Fees) - Clyde Valley</t>
  </si>
  <si>
    <t>Waste - Avoided Future Contract Variations</t>
  </si>
  <si>
    <t>Waste - Avoided Future Cost Variation</t>
  </si>
  <si>
    <t>2009/10 (45%) / 2010/11 (55%)</t>
  </si>
  <si>
    <t>2009/10 (£24,000) / 2010/11 (£29,250)</t>
  </si>
  <si>
    <t>12/13 to 41/42 (Split evenly for 30 years)</t>
  </si>
  <si>
    <t>2014/15 onwards (£1.3m pa for 30 years)</t>
  </si>
  <si>
    <t>RHSC/DCN Procurement Strategy and Increased Competition</t>
  </si>
  <si>
    <t>RHSC/DCN - Competition</t>
  </si>
  <si>
    <t>Acute Health NPD Programme</t>
  </si>
  <si>
    <t xml:space="preserve">SFT worked closely with NHS Lothian to consider the procurement options for the combined RHSC and DCN NPD project following the announcement of the revenue financing of this project in November 2010. A stand alone NPD project procurement for a combined facility was chosen following this work which looked at the procurement law and value for money aspects of alternative approaches which included a joint venture the existing PPP operator on site and / or the splitting of the project into two such that the DCN element was procured as a variation to the existing contract. A stand alone NPD contract will bring significant competitive tension to the procurement of this large accommodation project and should reduce the construction costs by at least 7.5%. Further work will be required in order to ensure that a competition </t>
  </si>
  <si>
    <t>C5</t>
  </si>
  <si>
    <t>Lifecycle</t>
  </si>
  <si>
    <t>per square metre</t>
  </si>
  <si>
    <t>Hard FM</t>
  </si>
  <si>
    <t>GIFA</t>
  </si>
  <si>
    <t>m2</t>
  </si>
  <si>
    <t>Annual Cost</t>
  </si>
  <si>
    <t>UC Saving per annum from construction cost</t>
  </si>
  <si>
    <t>UC Saving per annum from hard FM and lifecycle cost</t>
  </si>
  <si>
    <t>Total UC Saving</t>
  </si>
  <si>
    <t>NPV at 3.5%</t>
  </si>
  <si>
    <t>A18</t>
  </si>
  <si>
    <t>NPD Contract - Saving in Consultancy Costs</t>
  </si>
  <si>
    <t xml:space="preserve">NPD Programme </t>
  </si>
  <si>
    <t>SFT has developed the standard DBFM contract for use in the hub programme and NPD programme in order to simplify the contracts and to re-assess the optimum risk transfer between the public and private sector.</t>
  </si>
  <si>
    <t>Avoided Consultancy Costs - NPD Contract</t>
  </si>
  <si>
    <t>Saving of 75 man days of external legal consultancy cost</t>
  </si>
  <si>
    <t>Days</t>
  </si>
  <si>
    <t>Rate</t>
  </si>
  <si>
    <t>Partner</t>
  </si>
  <si>
    <t>Associate</t>
  </si>
  <si>
    <t>Assistant</t>
  </si>
  <si>
    <t xml:space="preserve">SFT carried out a review of operational PPP contracts to assess what savings could be generated. 22 public bodies covering in excess of 50 PPP contracts were contacted as part of the review and from this SFT entered into dialogue with 10 bodies. We have recommended the implementation of a shared service contract management </t>
  </si>
  <si>
    <t>2009/10 (10%) / 2010/11 (15%), 2011/12 (60%), 2012/13 (15%)</t>
  </si>
  <si>
    <t>% Complete</t>
  </si>
  <si>
    <t>Total Saving p.a.</t>
  </si>
  <si>
    <t>Ops PPP Contract Savings</t>
  </si>
  <si>
    <t>Discounted at 3.5%</t>
  </si>
  <si>
    <t xml:space="preserve"> 10/11</t>
  </si>
  <si>
    <t xml:space="preserve"> 11/12</t>
  </si>
  <si>
    <t xml:space="preserve"> 12/13</t>
  </si>
  <si>
    <t xml:space="preserve">Percentage of Activity </t>
  </si>
  <si>
    <t>This Year</t>
  </si>
  <si>
    <t>C6</t>
  </si>
  <si>
    <t>Across the NPD Programme</t>
  </si>
  <si>
    <t>The standard contract should deliver benefits of reduced procurement costs (public sector and private sector adviser fees) on projects.  We have produced a contract that should be capable of acceptance in the market which should ultimately reduce the need/scope for negotiation project by project.</t>
  </si>
  <si>
    <t>After some initial review, that there is general acceptance in the bidding community about the contractual positions proposed. Effective management of the procurement period by clients</t>
  </si>
  <si>
    <t>60% 2010/11, 40% 2011/12</t>
  </si>
  <si>
    <t>NPD Contract - Saved Procurement Time</t>
  </si>
  <si>
    <t>Per Profile</t>
  </si>
  <si>
    <t>Public Sector Costs - NPD</t>
  </si>
  <si>
    <t>Work Carried Out</t>
  </si>
  <si>
    <t>Public Sector Advisory Costs - Legal and Technical</t>
  </si>
  <si>
    <t>(Additional Costs) / Savings</t>
  </si>
  <si>
    <t>NPD Projects</t>
  </si>
  <si>
    <t>Hub Projects</t>
  </si>
  <si>
    <t>Private Sector Advisory Costs  - Legal and Technical</t>
  </si>
  <si>
    <t>This reflects higher costs to private sector and success fee basis of recovery</t>
  </si>
  <si>
    <t>Percentage Premium Private Sector - Hub</t>
  </si>
  <si>
    <t>NPD Contracts</t>
  </si>
  <si>
    <t>Insurance</t>
  </si>
  <si>
    <t>RHSC / DCN</t>
  </si>
  <si>
    <t>Edinburgh Schools 2 - 0.25% of construction cost for operatoinal insurance</t>
  </si>
  <si>
    <t>M8</t>
  </si>
  <si>
    <t>North Ayrshire Schools - 0.44% of construction costs for operational insurance</t>
  </si>
  <si>
    <t>AWPR</t>
  </si>
  <si>
    <t>Inverness College</t>
  </si>
  <si>
    <t>Kilmarnock College</t>
  </si>
  <si>
    <t>Glasgow City Centre Colleges</t>
  </si>
  <si>
    <t>3 Other Acute Hospital Contracts</t>
  </si>
  <si>
    <t>2 Schools NPD Contracts</t>
  </si>
  <si>
    <t>Hub</t>
  </si>
  <si>
    <t>South East</t>
  </si>
  <si>
    <t>North</t>
  </si>
  <si>
    <t>East Central</t>
  </si>
  <si>
    <t>West</t>
  </si>
  <si>
    <t>South West</t>
  </si>
  <si>
    <t>2011/12 Projects</t>
  </si>
  <si>
    <t>2012/13 Projects</t>
  </si>
  <si>
    <t>2013/14 Projects</t>
  </si>
  <si>
    <t>2014/15 Projects</t>
  </si>
  <si>
    <t>2015/16 Projects</t>
  </si>
  <si>
    <t>2016/17 Projects</t>
  </si>
  <si>
    <t>2017/18 Projects</t>
  </si>
  <si>
    <t>2018/19 Projects</t>
  </si>
  <si>
    <t>As Profile</t>
  </si>
  <si>
    <t>Shared 50% each between 09/10 and 10/11</t>
  </si>
  <si>
    <t>(25%) 2010/11, (50%) 2011/12, (25%) 2012/13</t>
  </si>
  <si>
    <t>2021/2022</t>
  </si>
  <si>
    <t>2022/2023</t>
  </si>
  <si>
    <t>2023/2024</t>
  </si>
  <si>
    <t>2024/2025</t>
  </si>
  <si>
    <t>2025/2026</t>
  </si>
  <si>
    <t>2026/2027</t>
  </si>
  <si>
    <t>2027/2028</t>
  </si>
  <si>
    <t>2028/2029</t>
  </si>
  <si>
    <t>2029/2030</t>
  </si>
  <si>
    <t>2030/2031</t>
  </si>
  <si>
    <t>2031/2032</t>
  </si>
  <si>
    <t>2032/2033</t>
  </si>
  <si>
    <t>2033/2034</t>
  </si>
  <si>
    <t>2034/2035</t>
  </si>
  <si>
    <t>2035/2036</t>
  </si>
  <si>
    <t>Private Sector Costs (NPD Programme Projects) - UC Saving</t>
  </si>
  <si>
    <t>Benefits can only be delivered if procuring authorities recognise benefots that SFT expertise brings and they act upon information gathered.</t>
  </si>
  <si>
    <t xml:space="preserve"> Benefits delivered as per profile.</t>
  </si>
  <si>
    <t xml:space="preserve">NPD Contract - Optimal Risk Transfer </t>
  </si>
  <si>
    <t>Owner - Please insert name:</t>
  </si>
  <si>
    <t>Reference - Please leave blank upon initial completion:</t>
  </si>
  <si>
    <t>C7</t>
  </si>
  <si>
    <t>Identification Date - Please insert initial identification date:</t>
  </si>
  <si>
    <t>Review Date - Bi-annual unless otherwise agreed:</t>
  </si>
  <si>
    <t xml:space="preserve">VfM Driver(s) - Please mark with an X: </t>
  </si>
  <si>
    <t>Project - Select from drop down menu:</t>
  </si>
  <si>
    <t>Please enter a description of the benefit:</t>
  </si>
  <si>
    <t>Net saving from the reduced transfer of risk in those areas where the private sector has no control - main areas are change in law, insurance general market risk, volume risk for utilities and malicious damage</t>
  </si>
  <si>
    <t>Please enter any associated assumptions:</t>
  </si>
  <si>
    <t>Public sector manage the contracts to mitigate the additional risk being assumed by the public sector.</t>
  </si>
  <si>
    <t>Please enter any known dependencies:
We can only deliver this benefit if others...</t>
  </si>
  <si>
    <t>Please indicate level of confidence of realising benefit 
  - Select from drop down menu:</t>
  </si>
  <si>
    <t>Is the Benefit... - Please select from drop down menu:</t>
  </si>
  <si>
    <t>Budget allocation of benefit - Select from drop down menu:</t>
  </si>
  <si>
    <t xml:space="preserve"> 33% attributable in 2010/11, with remaining 67% to be carried out in 2011/12</t>
  </si>
  <si>
    <t>Assumption on Full Benefit Realisation</t>
  </si>
  <si>
    <t>Actual Benefit</t>
  </si>
  <si>
    <t>NPV @ 3.5%</t>
  </si>
  <si>
    <t>Work Carried Out in 2010/11 - 33%</t>
  </si>
  <si>
    <t>Work To Be Carried Out in 2011/12 - 67%</t>
  </si>
  <si>
    <t>Risk Pricing</t>
  </si>
  <si>
    <t>Risk Cost Transferred to Public Sector</t>
  </si>
  <si>
    <t>Net Benefit</t>
  </si>
  <si>
    <t>Change in Law</t>
  </si>
  <si>
    <t>Benchmarks</t>
  </si>
  <si>
    <t>Construction Cost</t>
  </si>
  <si>
    <t>Utility Cost</t>
  </si>
  <si>
    <t>£k</t>
  </si>
  <si>
    <t>Insurance General Market Risk</t>
  </si>
  <si>
    <t>Average Insurance Premium</t>
  </si>
  <si>
    <t>Fife Schools 1</t>
  </si>
  <si>
    <t>Fife Hospital</t>
  </si>
  <si>
    <t>Utilities Volume Risk</t>
  </si>
  <si>
    <t>of actual consumption</t>
  </si>
  <si>
    <t>Forth Valley</t>
  </si>
  <si>
    <t>Falkirk 2</t>
  </si>
  <si>
    <t>Malicious Damage</t>
  </si>
  <si>
    <t>Estimated Capital Cost</t>
  </si>
  <si>
    <t>Estimated Operational Insurance Cost</t>
  </si>
  <si>
    <t>Project</t>
  </si>
  <si>
    <t>NPD Programme</t>
  </si>
  <si>
    <t>RHSC</t>
  </si>
  <si>
    <t>Other Health</t>
  </si>
  <si>
    <t>Colleges</t>
  </si>
  <si>
    <t>No. Of Sq Metres</t>
  </si>
  <si>
    <t>Assumed £6 per Sq Metre</t>
  </si>
  <si>
    <t>Utilities Cost of NPD Accommodation Projects</t>
  </si>
  <si>
    <t>Assumed Hard FM Charge per Sq Metre</t>
  </si>
  <si>
    <t>Vandalism Risk (Schools)</t>
  </si>
  <si>
    <t>Vandalism Risk (Other)</t>
  </si>
  <si>
    <t>Risk Cost Schools</t>
  </si>
  <si>
    <t>Risk Cost (Other Accommodation)</t>
  </si>
  <si>
    <t>As per profile in row 42</t>
  </si>
  <si>
    <t>total</t>
  </si>
  <si>
    <t>£1.4bn Programme - Check VFM %</t>
  </si>
  <si>
    <t>N.B. This benefits cashflows have been reduced by 50% to take into account the 50% sharing with other hub participants.</t>
  </si>
  <si>
    <t xml:space="preserve">As part of the first hub territory procurement, SFT took a robust stance on the value offered by bidders in several different areas. Through the competitive dialogue stage, savings totalling £1m were delivered, though details remain commercially confidential given ongoing procurement of partners in the other territories. The same process continued during the North Procurement resulting in a one-off saving of £700k </t>
  </si>
  <si>
    <t>A19</t>
  </si>
  <si>
    <t>That East Central &amp; West Territories adhere to the scope of services as tendered</t>
  </si>
  <si>
    <t>hub - Consultancy Costs Avoided</t>
  </si>
  <si>
    <t>D10</t>
  </si>
  <si>
    <t>E4</t>
  </si>
  <si>
    <t>Borders Rail - Lower Financing Costs (Nil Benefit)</t>
  </si>
  <si>
    <t>C2 is now a nil value as Scottish Government have decided not to pursue SFT's recommendation required to realise this benefit.</t>
  </si>
  <si>
    <t>NPD Programme - Reduced Cost of Capital</t>
  </si>
  <si>
    <t>C8</t>
  </si>
  <si>
    <t xml:space="preserve">SFT has developed a structure for a refinancing guarantee, that should bring significant benefit to the programme of NPD projects that are forthcoming in the next 2-3 years.  </t>
  </si>
  <si>
    <t>From discussions with banks, a conservative estimate of the saving in interest rate achieved from the introduction of a refinancing underwriting commitment is 0.5%, net of the costs of that commitment.</t>
  </si>
  <si>
    <t>Cumul Financing Requirement</t>
  </si>
  <si>
    <t>% Carried out in 10/11</t>
  </si>
  <si>
    <t>% to be Carried out in 11/12</t>
  </si>
  <si>
    <t>% to be Carried out in 12/13</t>
  </si>
  <si>
    <t>20% in 2010/11, 40% in 2011/12 and 40% in 2012/12</t>
  </si>
  <si>
    <t>As per profile (Row 74)</t>
  </si>
  <si>
    <t>Forth Replacement Crossing</t>
  </si>
  <si>
    <t xml:space="preserve">Project Assurance/KSRs completed for FRC :  Review helps enhance the likelihood that the project outcomes will be successfully achieved </t>
  </si>
  <si>
    <t>1.5% benefit recognised (based on benefit of project validation report - non standard civil engineering project - 'incomplete scope') - See 'Validation Backup'
FRC £2bn</t>
  </si>
  <si>
    <t>FRC Capital Value of £2bn spread over 5 years 2012/13 to 2016/17</t>
  </si>
  <si>
    <t>Validation - Non-Standard Civils Projects (FRC)</t>
  </si>
  <si>
    <t>Validation - Non-Standard Civils Projects (Borders Railway)</t>
  </si>
  <si>
    <t>Borders Railway</t>
  </si>
  <si>
    <t xml:space="preserve">Project Assurance/KSRs completed for Borders Railway Project:  Review helps enhance the likelihood that the project outcomes will be successfully achieved </t>
  </si>
  <si>
    <t>3.1% benefit recognised (based on benefit of project validation report - non standard civil engineering project - 'incomplete scope') - See 'Validation Backup'
 Borders Railway £250m</t>
  </si>
  <si>
    <t>2009/10 (33%), 2010/11 (33%) 2011/12 (33%)</t>
  </si>
  <si>
    <t>2015/16 to 2044/45 
(assume flat profile)</t>
  </si>
  <si>
    <t>Waste - Food Treatment Support</t>
  </si>
  <si>
    <t>G4</t>
  </si>
  <si>
    <t>Budget Recast Exercise</t>
  </si>
  <si>
    <t>Other parties involved: SGs</t>
  </si>
  <si>
    <t>Capital</t>
  </si>
  <si>
    <t>Revenue</t>
  </si>
  <si>
    <t>CHECK</t>
  </si>
  <si>
    <t>2010-1015 Flat profile</t>
  </si>
  <si>
    <t>A20</t>
  </si>
  <si>
    <t>hub performance management - avoided costs</t>
  </si>
  <si>
    <t>External funding to support performance management of hub programme</t>
  </si>
  <si>
    <t xml:space="preserve">2011/12, 2012/13, 2013/14 – even split across years   </t>
  </si>
  <si>
    <t>C9</t>
  </si>
  <si>
    <t>hub - Return on Working capital investment</t>
  </si>
  <si>
    <t xml:space="preserve"> Return on investment of Working capital - Public Sector Participants and SFT inject working capital on formation of hubco (£300k for public sector participants and £100k for SFT for both SE &amp; North Territories – giving a total £800k). Over the first five years of hubco operations, this is paid back together with a return on investment . </t>
  </si>
  <si>
    <t>SFT Budget &amp; public Sector</t>
  </si>
  <si>
    <t>2010/11 - 2015/16</t>
  </si>
  <si>
    <t>(50%) 2009/10 &amp; (50%) 2010/11</t>
  </si>
  <si>
    <t>£1,400m(£1.4bn)</t>
  </si>
  <si>
    <t>£1,400m (£1.4bn)</t>
  </si>
  <si>
    <t>Total: £116,000,000
Capital: £79,000,000
Revenue: £37,000,000 
(UC Equivalent = £3,083,000 p.a.)</t>
  </si>
  <si>
    <t>Capital: 2011/12-2014/15 
(assume even spread)
Revenue: 2013/14 - 2038/39
(annual saving on UC)</t>
  </si>
  <si>
    <t>2028/30</t>
  </si>
  <si>
    <t>2028/31</t>
  </si>
  <si>
    <t>2028/32</t>
  </si>
  <si>
    <t>2028/33</t>
  </si>
  <si>
    <t>2028/34</t>
  </si>
  <si>
    <t>2028/35</t>
  </si>
  <si>
    <t>2028/36</t>
  </si>
  <si>
    <t>2028/37</t>
  </si>
  <si>
    <t>See Profile in 'D1-D5 hub Benefit Summary'</t>
  </si>
  <si>
    <t>Refer to Word Template</t>
  </si>
  <si>
    <t>09/10 (20%), 10/11 (30%), 11/12 (30%) &amp; 12/13 (20%)</t>
  </si>
  <si>
    <t>Template Word Template</t>
  </si>
  <si>
    <t>11/12 (£154k), 13/14 (£154k), 14/15 (£308k)</t>
  </si>
  <si>
    <t>2010/11 (33.3%), 11/12 (33.3%), 12/13 (33.3%)</t>
  </si>
  <si>
    <t>Zero Waste Scotland and Scottish Government</t>
  </si>
  <si>
    <t>Local Authorities</t>
  </si>
  <si>
    <t xml:space="preserve"> £470k in each year between 17/18 and 36/37 inclusive</t>
  </si>
  <si>
    <t>09/10 (33.3%), 10/11 (33.3%), 11/12 (33.3%)</t>
  </si>
  <si>
    <t>09/10 (20%), 10/11 (30%), 11/12 (30%), 12/13 (20%)</t>
  </si>
  <si>
    <t xml:space="preserve">14/15 (£752.5k), 17/18 (£420k) </t>
  </si>
  <si>
    <t>See Profile</t>
  </si>
  <si>
    <t>Profile</t>
  </si>
  <si>
    <t xml:space="preserve">CMAL - Development of Model </t>
  </si>
  <si>
    <t>17.5% Saving on £1m of costs</t>
  </si>
  <si>
    <t>17.5% Saving on £1.5m of costs, saved by two losing bidders</t>
  </si>
  <si>
    <t>2035/2037</t>
  </si>
  <si>
    <t>2035/2038</t>
  </si>
  <si>
    <t>2035/2039</t>
  </si>
  <si>
    <t>2035/2040</t>
  </si>
  <si>
    <t>2035/2041</t>
  </si>
  <si>
    <t>2035/2042</t>
  </si>
  <si>
    <t>Schools Projects</t>
  </si>
  <si>
    <t>Total Hard FM Cost per annum</t>
  </si>
  <si>
    <t>% Schools</t>
  </si>
  <si>
    <t>2009/10 (38%) 2010/11 (62%)</t>
  </si>
  <si>
    <t>With TS</t>
  </si>
  <si>
    <t>2009/10 (33.3%) and 2010/11 (33.3%), 2011/12 (33.3%)</t>
  </si>
  <si>
    <t>NHT</t>
  </si>
  <si>
    <t xml:space="preserve">Revenue projects:
Tayside - £100m
Moray - £40m
Total: £140m
Capital projects:
Orkney - £49m
Western Isles - £58m
Total: £107m
                                                                                                                  hub: £1.4bn pipeline
                                                                                                                           Savings;
Revenue savings (based on 0.6% capex reduction)
£70,000 pa UC Savings across 30 years 
Capital projects:
£642k (flat spread over 3 years)
(£214k pa)
hub: £4.2m (£840km - flat spread over 5 years)
</t>
  </si>
  <si>
    <t>Refer to Profile in row 74 (2009/10 - 2041/42)</t>
  </si>
  <si>
    <t>D -Moderate</t>
  </si>
  <si>
    <t>Borders Railway capital value of £250m which equates to a Unitary charge revenue saving of c£322k pa (£3.875m/12)</t>
  </si>
  <si>
    <t>£9.69m I.e. (£250m x 3.1% (Validation Benefit %) x 50%)/12 (see methodology in word template),  UC Savings equivalent = £322.9k pa</t>
  </si>
  <si>
    <t>20010/11</t>
  </si>
  <si>
    <t>Blank - Nil Benefit</t>
  </si>
  <si>
    <t>Procurement of a private sector development partner for each hub territory incurs advisor fees relating to: Technical; Financial &amp; Legal advice. Following establishment of hubcos in the SE &amp; North Territories and streamlined procedures contracts for advisors to support the  West and East Central territories have been competitively tendered resulting in  significant savings based on fixed price bids.</t>
  </si>
  <si>
    <t>Benefit - £442k (The average saving in East Central and West based on the North figure is £221k)</t>
  </si>
  <si>
    <t>Split</t>
  </si>
  <si>
    <t>£38,000 (I.e. £400k @ 5% and £400k @ 4.5%)</t>
  </si>
  <si>
    <t>£47,344 (09/10) &amp; £127,125 (10/11)</t>
  </si>
  <si>
    <t>2009/2010 (44%) 2010/11 (56%)</t>
  </si>
  <si>
    <t>£378,600 (09/10) + £472,800 (10/11)=£851,400</t>
  </si>
  <si>
    <t>Refer to Word Document</t>
  </si>
  <si>
    <t>2009/10 (20%), 2010/11 (60%) and 2011/12 (20%)</t>
  </si>
  <si>
    <t>Refer to Word template</t>
  </si>
  <si>
    <t>2009/10-2013/14 (20% each year)</t>
  </si>
  <si>
    <t>2010/11-2017/18 - See Profile in Row 76</t>
  </si>
  <si>
    <t>from 2011/12 spread evenly over 25 years</t>
  </si>
  <si>
    <t>2009/10 (£77k) 2010/11 (£128k)</t>
  </si>
  <si>
    <r>
      <t xml:space="preserve">10/11 </t>
    </r>
    <r>
      <rPr>
        <b/>
        <i/>
        <sz val="14"/>
        <color indexed="8"/>
        <rFont val="Calibri"/>
        <family val="2"/>
      </rPr>
      <t>Cumulative</t>
    </r>
    <r>
      <rPr>
        <b/>
        <sz val="14"/>
        <color indexed="8"/>
        <rFont val="Calibri"/>
        <family val="2"/>
      </rPr>
      <t xml:space="preserve"> Measured Benefits</t>
    </r>
  </si>
  <si>
    <t>Cumulative 2 yrs</t>
  </si>
  <si>
    <t>Summary of Cumulative Benefits (Years 2009/10 and 2011/11)</t>
  </si>
  <si>
    <t>Upper Cumulative 09/10 and 10/11</t>
  </si>
  <si>
    <t>UPPER SCENARIO1</t>
  </si>
  <si>
    <t>MOST LIKELY SCENARIO 2</t>
  </si>
  <si>
    <t>Most Likely Cumulative                                   09/10 &amp; 10/11</t>
  </si>
  <si>
    <t>Most Likely                        2009/10</t>
  </si>
  <si>
    <t>Upper                                       2009/10</t>
  </si>
  <si>
    <t>Lower                        2009/10</t>
  </si>
  <si>
    <t>LOWER SCENARIO 3</t>
  </si>
  <si>
    <t>Mostl Likely</t>
  </si>
  <si>
    <t>2010/11 Measured Value</t>
  </si>
  <si>
    <t>SG Share</t>
  </si>
  <si>
    <t>LA Share</t>
  </si>
  <si>
    <t>TS Share</t>
  </si>
  <si>
    <t>SFT Share %</t>
  </si>
  <si>
    <t>SFT Share of Measured Value                                2010/11</t>
  </si>
  <si>
    <t>TOTAL MEASURED VALUE 2010/11</t>
  </si>
  <si>
    <t>% SHARE OF TOTAL MEASURED VALUE</t>
  </si>
  <si>
    <t>SFT</t>
  </si>
  <si>
    <t>SG</t>
  </si>
  <si>
    <t>LA</t>
  </si>
  <si>
    <t xml:space="preserve">OTHER </t>
  </si>
  <si>
    <t>NHS Share</t>
  </si>
  <si>
    <t>Zero Waste Scotland</t>
  </si>
  <si>
    <t>TS</t>
  </si>
  <si>
    <t>ZERO WS</t>
  </si>
  <si>
    <t>BODY</t>
  </si>
  <si>
    <t>hub Partners*</t>
  </si>
  <si>
    <t>* hub partners including:</t>
  </si>
  <si>
    <t>NHS Boards</t>
  </si>
  <si>
    <t>Fire &amp; Rescue</t>
  </si>
  <si>
    <t>Scottish Ambulance Service</t>
  </si>
  <si>
    <t>Police</t>
  </si>
  <si>
    <t>hub Partners</t>
  </si>
  <si>
    <t>Other Procuring Body/ Partners Share</t>
  </si>
  <si>
    <t>2011/12 £4m &amp; 2012/13 £98m</t>
  </si>
  <si>
    <t>09/10 (£49.9k) &amp; 10/11 (£13.2k)</t>
  </si>
  <si>
    <t>09/10 (79%), 10/11 (21%)</t>
  </si>
  <si>
    <t>(Scenario 2)</t>
  </si>
  <si>
    <t>Asset Management</t>
  </si>
  <si>
    <t>A21</t>
  </si>
  <si>
    <t>A22</t>
  </si>
  <si>
    <t>Optimism Bias &amp; Contingency Mngt Review</t>
  </si>
  <si>
    <t xml:space="preserve"> 2010/11 (50%) / 2011/12 (50%)</t>
  </si>
  <si>
    <t>Optimism Bias &amp; Contingency Management Review - Development Work</t>
  </si>
  <si>
    <t>Optimism bias &amp; Contingency Management Review - Development  Work</t>
  </si>
  <si>
    <t xml:space="preserve"> 2010/11 (£50k) / 2011/12 (£50k)</t>
  </si>
  <si>
    <t>G5</t>
  </si>
  <si>
    <t>G6</t>
  </si>
  <si>
    <t>NPD Programme Scrutiny &amp; Challenge</t>
  </si>
  <si>
    <t>SFT &amp;SG</t>
  </si>
  <si>
    <t>2011/2012</t>
  </si>
  <si>
    <t>2012/2013</t>
  </si>
  <si>
    <t>2013/2014</t>
  </si>
  <si>
    <t>2014/2015</t>
  </si>
  <si>
    <t>2015/2016</t>
  </si>
  <si>
    <t>2016/2017</t>
  </si>
  <si>
    <t>2017/2018</t>
  </si>
  <si>
    <t>2018/2019</t>
  </si>
  <si>
    <t>2019/2020</t>
  </si>
  <si>
    <t>A</t>
  </si>
  <si>
    <t xml:space="preserve">capital </t>
  </si>
  <si>
    <t>revenue</t>
  </si>
  <si>
    <t>B</t>
  </si>
  <si>
    <t>C</t>
  </si>
  <si>
    <t>E</t>
  </si>
  <si>
    <t>TERRITORY</t>
  </si>
  <si>
    <t>Refer to Word Doc</t>
  </si>
  <si>
    <t>Asset Management - Avoided Cost of Pilot Dev Work</t>
  </si>
  <si>
    <t>SFT &amp; Procuring Authority</t>
  </si>
  <si>
    <t>Target Saving</t>
  </si>
  <si>
    <t>UC Equiv Saving</t>
  </si>
  <si>
    <t>Service Start Date</t>
  </si>
  <si>
    <t>Glasgow Colleges</t>
  </si>
  <si>
    <t>Inverness Colleges</t>
  </si>
  <si>
    <t>Kilmarnock Colleges</t>
  </si>
  <si>
    <t>sum</t>
  </si>
  <si>
    <t>2010/11 (10%), 11/12 (60%), 12/13 (30%)</t>
  </si>
  <si>
    <t>=</t>
  </si>
  <si>
    <t>2010/11 (90%) / 11/12 (10%)</t>
  </si>
  <si>
    <t>Orkney Schools Projects -  Business Case Diligence</t>
  </si>
  <si>
    <t>Orkney Schools Project - Business Case Diligence</t>
  </si>
  <si>
    <t>Budget Recast - Initial Benefit Identification</t>
  </si>
  <si>
    <t xml:space="preserve">Asset Management </t>
  </si>
  <si>
    <t>10/11 (5%). 11/12 (35%), 12/13 (30%), 13/14 (10%) 14/15 (10%), 15/16 (10%)</t>
  </si>
  <si>
    <t>SUB TOTAL</t>
  </si>
  <si>
    <t>Central Gov</t>
  </si>
  <si>
    <t>Core</t>
  </si>
  <si>
    <t>Wider</t>
  </si>
  <si>
    <t>GRAND TOTAL</t>
  </si>
  <si>
    <t>Refer to profile</t>
  </si>
  <si>
    <t>PROFILE</t>
  </si>
  <si>
    <t>NPD Pipeline</t>
  </si>
  <si>
    <t>Asset Management - Avoided Cost of Pilot Development Work (Consultancy Costs Avoided)</t>
  </si>
  <si>
    <t xml:space="preserve">NPD Programme - Needs not Wants - Scrutiny &amp; Challenge </t>
  </si>
  <si>
    <t>£55m (UC equivalent: £114m)</t>
  </si>
  <si>
    <t>Efficiency Gain</t>
  </si>
  <si>
    <t>Environment</t>
  </si>
  <si>
    <t>Transport</t>
  </si>
  <si>
    <t>Funding and Finance</t>
  </si>
  <si>
    <t>Operational Projects</t>
  </si>
  <si>
    <t>Legacy Projects</t>
  </si>
  <si>
    <t>F&amp;F</t>
  </si>
  <si>
    <t>Legacy</t>
  </si>
  <si>
    <t>schools</t>
  </si>
  <si>
    <t>Ops Support</t>
  </si>
  <si>
    <t>transport</t>
  </si>
  <si>
    <t>NHT/Housing</t>
  </si>
  <si>
    <t>Sector</t>
  </si>
  <si>
    <t>10/11 Benefit</t>
  </si>
  <si>
    <t>Others (Incl Budget Recast &amp; Asset Management)</t>
  </si>
  <si>
    <t>Central</t>
  </si>
  <si>
    <t>Local</t>
  </si>
  <si>
    <t xml:space="preserve">2009/10 </t>
  </si>
  <si>
    <t>Net for 2010/11</t>
  </si>
  <si>
    <t>Lower Cumulative                                   09/10 &amp; 10/11</t>
  </si>
  <si>
    <t>reported</t>
  </si>
  <si>
    <t>Op Cost</t>
  </si>
  <si>
    <t>increment</t>
  </si>
  <si>
    <t xml:space="preserve">Most Likely 2010/11   </t>
  </si>
  <si>
    <t>Upper 2010/11</t>
  </si>
  <si>
    <t xml:space="preserve">Lower                       2010/11  </t>
  </si>
</sst>
</file>

<file path=xl/styles.xml><?xml version="1.0" encoding="utf-8"?>
<styleSheet xmlns="http://schemas.openxmlformats.org/spreadsheetml/2006/main">
  <numFmts count="21">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000_-;\-* #,##0.0000_-;_-* &quot;-&quot;??_-;_-@_-"/>
    <numFmt numFmtId="167" formatCode="_-* #,##0.000_-;\-* #,##0.000_-;_-* &quot;-&quot;???_-;_-@_-"/>
    <numFmt numFmtId="168" formatCode="#,##0_ ;[Red]\-#,##0\ "/>
    <numFmt numFmtId="169" formatCode="_-* #,##0_-;\-* #,##0_-;_-* &quot;-&quot;?_-;_-@_-"/>
    <numFmt numFmtId="170" formatCode="0.000"/>
    <numFmt numFmtId="171" formatCode="&quot;£&quot;#,##0.00"/>
    <numFmt numFmtId="172" formatCode="&quot;£&quot;#,##0"/>
    <numFmt numFmtId="173" formatCode="_-* #,##0.000_-;\-* #,##0.000_-;_-* &quot;-&quot;?_-;_-@_-"/>
    <numFmt numFmtId="174" formatCode="#,##0_ ;\-#,##0\ "/>
    <numFmt numFmtId="175" formatCode="0.0"/>
    <numFmt numFmtId="176" formatCode="&quot;£&quot;#,##0.0;[Red]\-&quot;£&quot;#,##0.0"/>
    <numFmt numFmtId="177" formatCode="0.0000000"/>
    <numFmt numFmtId="178" formatCode="_-&quot;£&quot;* #,##0_-;\-&quot;£&quot;* #,##0_-;_-&quot;£&quot;* &quot;-&quot;??_-;_-@_-"/>
    <numFmt numFmtId="179" formatCode="_-&quot;£&quot;* #,##0.0_-;\-&quot;£&quot;* #,##0.0_-;_-&quot;£&quot;* &quot;-&quot;??_-;_-@_-"/>
  </numFmts>
  <fonts count="37">
    <font>
      <sz val="11"/>
      <color theme="1"/>
      <name val="Calibri"/>
      <family val="2"/>
      <scheme val="minor"/>
    </font>
    <font>
      <b/>
      <sz val="11"/>
      <color indexed="8"/>
      <name val="Calibri"/>
      <family val="2"/>
    </font>
    <font>
      <i/>
      <sz val="11"/>
      <color indexed="8"/>
      <name val="Calibri"/>
      <family val="2"/>
    </font>
    <font>
      <b/>
      <sz val="14"/>
      <color indexed="8"/>
      <name val="Calibri"/>
      <family val="2"/>
    </font>
    <font>
      <sz val="10"/>
      <name val="Tahoma"/>
      <family val="2"/>
    </font>
    <font>
      <sz val="11"/>
      <color indexed="8"/>
      <name val="Calibri"/>
      <family val="2"/>
    </font>
    <font>
      <b/>
      <sz val="11"/>
      <color indexed="8"/>
      <name val="Calibri"/>
      <family val="2"/>
    </font>
    <font>
      <b/>
      <sz val="14"/>
      <color indexed="8"/>
      <name val="Calibri"/>
      <family val="2"/>
    </font>
    <font>
      <i/>
      <sz val="11"/>
      <color indexed="8"/>
      <name val="Calibri"/>
      <family val="2"/>
    </font>
    <font>
      <b/>
      <i/>
      <sz val="11"/>
      <color indexed="8"/>
      <name val="Calibri"/>
      <family val="2"/>
    </font>
    <font>
      <sz val="14"/>
      <color indexed="8"/>
      <name val="Calibri"/>
      <family val="2"/>
    </font>
    <font>
      <b/>
      <sz val="8"/>
      <color indexed="8"/>
      <name val="Calibri"/>
      <family val="2"/>
    </font>
    <font>
      <b/>
      <sz val="14"/>
      <name val="Calibri"/>
      <family val="2"/>
    </font>
    <font>
      <sz val="11"/>
      <name val="Calibri"/>
      <family val="2"/>
    </font>
    <font>
      <b/>
      <sz val="11"/>
      <name val="Calibri"/>
      <family val="2"/>
    </font>
    <font>
      <sz val="8"/>
      <color indexed="8"/>
      <name val="Calibri"/>
      <family val="2"/>
    </font>
    <font>
      <sz val="11"/>
      <color indexed="10"/>
      <name val="Calibri"/>
      <family val="2"/>
    </font>
    <font>
      <b/>
      <u/>
      <sz val="11"/>
      <color indexed="8"/>
      <name val="Calibri"/>
      <family val="2"/>
    </font>
    <font>
      <sz val="20"/>
      <color indexed="8"/>
      <name val="Calibri"/>
      <family val="2"/>
    </font>
    <font>
      <sz val="8"/>
      <name val="Calibri"/>
      <family val="2"/>
    </font>
    <font>
      <b/>
      <sz val="11"/>
      <color theme="1"/>
      <name val="Calibri"/>
      <family val="2"/>
      <scheme val="minor"/>
    </font>
    <font>
      <b/>
      <i/>
      <sz val="11"/>
      <color theme="1"/>
      <name val="Calibri"/>
      <family val="2"/>
      <scheme val="minor"/>
    </font>
    <font>
      <b/>
      <u/>
      <sz val="11"/>
      <color theme="1"/>
      <name val="Calibri"/>
      <family val="2"/>
      <scheme val="minor"/>
    </font>
    <font>
      <sz val="11"/>
      <color theme="1"/>
      <name val="Calibri"/>
      <family val="2"/>
      <scheme val="minor"/>
    </font>
    <font>
      <sz val="11"/>
      <name val="Calibri"/>
      <family val="2"/>
      <scheme val="minor"/>
    </font>
    <font>
      <sz val="9"/>
      <color theme="1"/>
      <name val="Calibri"/>
      <family val="2"/>
      <scheme val="minor"/>
    </font>
    <font>
      <sz val="11.5"/>
      <color theme="1"/>
      <name val="Times New Roman"/>
      <family val="1"/>
    </font>
    <font>
      <sz val="11"/>
      <color rgb="FF000000"/>
      <name val="Calibri"/>
      <family val="2"/>
      <scheme val="minor"/>
    </font>
    <font>
      <b/>
      <sz val="9"/>
      <color indexed="81"/>
      <name val="Tahoma"/>
      <family val="2"/>
    </font>
    <font>
      <sz val="9"/>
      <color indexed="81"/>
      <name val="Tahoma"/>
      <family val="2"/>
    </font>
    <font>
      <sz val="11"/>
      <color theme="0"/>
      <name val="Calibri"/>
      <family val="2"/>
      <scheme val="minor"/>
    </font>
    <font>
      <u/>
      <sz val="11"/>
      <color theme="1"/>
      <name val="Calibri"/>
      <family val="2"/>
      <scheme val="minor"/>
    </font>
    <font>
      <b/>
      <i/>
      <sz val="14"/>
      <color indexed="8"/>
      <name val="Calibri"/>
      <family val="2"/>
    </font>
    <font>
      <b/>
      <sz val="20"/>
      <color theme="1"/>
      <name val="Calibri"/>
      <family val="2"/>
      <scheme val="minor"/>
    </font>
    <font>
      <b/>
      <i/>
      <u/>
      <sz val="11"/>
      <color theme="1"/>
      <name val="Calibri"/>
      <family val="2"/>
      <scheme val="minor"/>
    </font>
    <font>
      <sz val="9"/>
      <color indexed="81"/>
      <name val="Tahoma"/>
      <charset val="1"/>
    </font>
    <font>
      <b/>
      <sz val="9"/>
      <color indexed="81"/>
      <name val="Tahoma"/>
      <charset val="1"/>
    </font>
  </fonts>
  <fills count="39">
    <fill>
      <patternFill patternType="none"/>
    </fill>
    <fill>
      <patternFill patternType="gray125"/>
    </fill>
    <fill>
      <patternFill patternType="solid">
        <fgColor indexed="51"/>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9"/>
        <bgColor indexed="64"/>
      </patternFill>
    </fill>
    <fill>
      <patternFill patternType="solid">
        <fgColor indexed="40"/>
        <bgColor indexed="64"/>
      </patternFill>
    </fill>
    <fill>
      <patternFill patternType="solid">
        <fgColor indexed="10"/>
        <bgColor indexed="64"/>
      </patternFill>
    </fill>
    <fill>
      <patternFill patternType="solid">
        <fgColor indexed="17"/>
        <bgColor indexed="64"/>
      </patternFill>
    </fill>
    <fill>
      <patternFill patternType="solid">
        <fgColor indexed="26"/>
        <bgColor indexed="64"/>
      </patternFill>
    </fill>
    <fill>
      <patternFill patternType="solid">
        <fgColor rgb="FF0171BA"/>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CCFF99"/>
        <bgColor indexed="64"/>
      </patternFill>
    </fill>
    <fill>
      <patternFill patternType="solid">
        <fgColor rgb="FFFFCC29"/>
        <bgColor indexed="64"/>
      </patternFill>
    </fill>
    <fill>
      <patternFill patternType="solid">
        <fgColor rgb="FF00B0F0"/>
        <bgColor indexed="64"/>
      </patternFill>
    </fill>
    <fill>
      <patternFill patternType="solid">
        <fgColor rgb="FF7030A0"/>
        <bgColor indexed="64"/>
      </patternFill>
    </fill>
    <fill>
      <patternFill patternType="solid">
        <fgColor rgb="FFFF0000"/>
        <bgColor indexed="64"/>
      </patternFill>
    </fill>
    <fill>
      <patternFill patternType="solid">
        <fgColor rgb="FF008E40"/>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rgb="FF007434"/>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44" fontId="23" fillId="0" borderId="0" applyFont="0" applyFill="0" applyBorder="0" applyAlignment="0" applyProtection="0"/>
  </cellStyleXfs>
  <cellXfs count="1075">
    <xf numFmtId="0" fontId="0" fillId="0" borderId="0" xfId="0"/>
    <xf numFmtId="0" fontId="0" fillId="0" borderId="0" xfId="0" applyAlignment="1">
      <alignment horizontal="center"/>
    </xf>
    <xf numFmtId="0" fontId="6" fillId="0" borderId="0" xfId="0" applyNumberFormat="1" applyFont="1" applyAlignment="1">
      <alignment horizontal="center"/>
    </xf>
    <xf numFmtId="43" fontId="5" fillId="2" borderId="1" xfId="1" applyFont="1" applyFill="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43" fontId="5" fillId="2" borderId="6" xfId="1" applyFont="1" applyFill="1" applyBorder="1"/>
    <xf numFmtId="0" fontId="0" fillId="0" borderId="7" xfId="0" applyBorder="1"/>
    <xf numFmtId="0" fontId="0" fillId="0" borderId="8" xfId="0" applyBorder="1"/>
    <xf numFmtId="0" fontId="0" fillId="0" borderId="9" xfId="0" applyBorder="1"/>
    <xf numFmtId="43" fontId="5" fillId="3" borderId="10" xfId="1" applyFont="1" applyFill="1" applyBorder="1"/>
    <xf numFmtId="43" fontId="5" fillId="3" borderId="11" xfId="1" applyFont="1" applyFill="1" applyBorder="1"/>
    <xf numFmtId="9" fontId="5" fillId="2" borderId="1" xfId="2" applyFont="1" applyFill="1" applyBorder="1"/>
    <xf numFmtId="9" fontId="5" fillId="2" borderId="6" xfId="2" applyFont="1" applyFill="1" applyBorder="1"/>
    <xf numFmtId="0" fontId="0" fillId="0" borderId="0" xfId="0" applyFont="1" applyAlignment="1">
      <alignment horizontal="center"/>
    </xf>
    <xf numFmtId="0" fontId="6" fillId="0" borderId="5" xfId="0" applyFont="1" applyBorder="1" applyAlignment="1">
      <alignment horizontal="left"/>
    </xf>
    <xf numFmtId="164" fontId="5" fillId="2" borderId="1" xfId="1" applyNumberFormat="1" applyFont="1" applyFill="1" applyBorder="1"/>
    <xf numFmtId="164" fontId="5" fillId="3" borderId="10" xfId="1" applyNumberFormat="1" applyFont="1" applyFill="1" applyBorder="1"/>
    <xf numFmtId="164" fontId="0" fillId="0" borderId="3" xfId="0" applyNumberFormat="1" applyBorder="1"/>
    <xf numFmtId="164" fontId="5" fillId="3" borderId="11" xfId="1" applyNumberFormat="1" applyFont="1" applyFill="1" applyBorder="1"/>
    <xf numFmtId="164" fontId="5" fillId="2" borderId="6" xfId="1" applyNumberFormat="1" applyFont="1" applyFill="1" applyBorder="1"/>
    <xf numFmtId="9" fontId="5" fillId="0" borderId="3" xfId="2" applyFont="1" applyBorder="1"/>
    <xf numFmtId="0" fontId="7" fillId="0" borderId="0" xfId="0" applyFont="1"/>
    <xf numFmtId="0" fontId="0" fillId="0" borderId="0" xfId="0" applyAlignment="1">
      <alignment wrapText="1"/>
    </xf>
    <xf numFmtId="0" fontId="0" fillId="5" borderId="7" xfId="0" applyFill="1" applyBorder="1"/>
    <xf numFmtId="0" fontId="0" fillId="6" borderId="7" xfId="0" applyFill="1" applyBorder="1"/>
    <xf numFmtId="0" fontId="0" fillId="6" borderId="0" xfId="0" applyFill="1" applyBorder="1"/>
    <xf numFmtId="0" fontId="0" fillId="6" borderId="5" xfId="0" applyFill="1" applyBorder="1"/>
    <xf numFmtId="0" fontId="0" fillId="6" borderId="0" xfId="0" applyFill="1" applyBorder="1" applyAlignment="1">
      <alignment horizontal="justify" vertical="top" wrapText="1"/>
    </xf>
    <xf numFmtId="0" fontId="0" fillId="0" borderId="0" xfId="0" applyFont="1"/>
    <xf numFmtId="0" fontId="6" fillId="0" borderId="0" xfId="0" applyFont="1" applyAlignment="1">
      <alignment horizontal="justify"/>
    </xf>
    <xf numFmtId="0" fontId="0" fillId="0" borderId="0" xfId="0" applyAlignment="1">
      <alignment horizontal="left" wrapText="1"/>
    </xf>
    <xf numFmtId="0" fontId="6" fillId="0" borderId="0" xfId="0" applyFont="1" applyAlignment="1">
      <alignment horizontal="center"/>
    </xf>
    <xf numFmtId="0" fontId="8" fillId="0" borderId="0" xfId="0" applyFont="1"/>
    <xf numFmtId="0" fontId="9" fillId="0" borderId="0" xfId="0" applyFont="1" applyAlignment="1">
      <alignment horizontal="justify"/>
    </xf>
    <xf numFmtId="0" fontId="10" fillId="0" borderId="0" xfId="0" applyFont="1"/>
    <xf numFmtId="0" fontId="0" fillId="0" borderId="0" xfId="0" applyFill="1"/>
    <xf numFmtId="0" fontId="7" fillId="0" borderId="0" xfId="0" applyFont="1" applyFill="1"/>
    <xf numFmtId="0" fontId="6" fillId="0" borderId="2" xfId="0" applyFont="1" applyFill="1" applyBorder="1" applyAlignment="1">
      <alignment horizontal="left"/>
    </xf>
    <xf numFmtId="0" fontId="6" fillId="0" borderId="5" xfId="0" applyFont="1" applyFill="1" applyBorder="1" applyAlignment="1">
      <alignment horizontal="left"/>
    </xf>
    <xf numFmtId="164" fontId="0" fillId="0" borderId="0" xfId="0" applyNumberFormat="1" applyFont="1" applyFill="1" applyBorder="1" applyAlignment="1">
      <alignment horizontal="center"/>
    </xf>
    <xf numFmtId="164" fontId="0" fillId="0" borderId="7" xfId="0" applyNumberFormat="1" applyFont="1" applyFill="1" applyBorder="1" applyAlignment="1">
      <alignment horizontal="center"/>
    </xf>
    <xf numFmtId="0" fontId="0" fillId="0" borderId="0" xfId="0" applyFont="1" applyFill="1" applyAlignment="1">
      <alignment horizontal="center"/>
    </xf>
    <xf numFmtId="0" fontId="6" fillId="0" borderId="8" xfId="0" applyFont="1" applyFill="1" applyBorder="1" applyAlignment="1">
      <alignment horizontal="left"/>
    </xf>
    <xf numFmtId="0" fontId="6" fillId="0" borderId="9" xfId="0" applyFont="1" applyFill="1" applyBorder="1" applyAlignment="1">
      <alignment horizontal="center"/>
    </xf>
    <xf numFmtId="0" fontId="11" fillId="0" borderId="0" xfId="0" applyFont="1" applyAlignment="1">
      <alignment horizontal="left"/>
    </xf>
    <xf numFmtId="0" fontId="11" fillId="7" borderId="12" xfId="0" applyFont="1" applyFill="1" applyBorder="1" applyAlignment="1">
      <alignment horizontal="right"/>
    </xf>
    <xf numFmtId="0" fontId="1" fillId="0" borderId="0" xfId="0" applyFont="1" applyAlignment="1">
      <alignment horizontal="justify"/>
    </xf>
    <xf numFmtId="0" fontId="0" fillId="0" borderId="13" xfId="0" applyBorder="1"/>
    <xf numFmtId="0" fontId="0" fillId="8" borderId="5" xfId="0" applyFill="1" applyBorder="1"/>
    <xf numFmtId="0" fontId="1" fillId="8" borderId="0" xfId="0" applyFont="1" applyFill="1" applyBorder="1" applyAlignment="1">
      <alignment horizontal="justify"/>
    </xf>
    <xf numFmtId="0" fontId="0" fillId="8" borderId="0" xfId="0" applyFill="1" applyBorder="1" applyAlignment="1">
      <alignment wrapText="1"/>
    </xf>
    <xf numFmtId="0" fontId="0" fillId="8" borderId="0" xfId="0" applyFill="1" applyBorder="1"/>
    <xf numFmtId="0" fontId="0" fillId="8" borderId="7" xfId="0" applyFill="1" applyBorder="1"/>
    <xf numFmtId="0" fontId="3" fillId="8" borderId="0" xfId="0" applyFont="1" applyFill="1" applyBorder="1" applyAlignment="1">
      <alignment horizontal="justify"/>
    </xf>
    <xf numFmtId="0" fontId="0" fillId="8" borderId="1" xfId="0" applyFill="1" applyBorder="1" applyAlignment="1">
      <alignment wrapText="1"/>
    </xf>
    <xf numFmtId="0" fontId="0" fillId="8" borderId="1" xfId="0" applyFill="1" applyBorder="1" applyAlignment="1">
      <alignment horizontal="justify" vertical="top" wrapText="1"/>
    </xf>
    <xf numFmtId="0" fontId="0" fillId="8" borderId="0" xfId="0" applyFill="1" applyBorder="1" applyAlignment="1">
      <alignment horizontal="justify"/>
    </xf>
    <xf numFmtId="0" fontId="0" fillId="8" borderId="0" xfId="0" applyFont="1" applyFill="1" applyBorder="1" applyAlignment="1">
      <alignment horizontal="justify"/>
    </xf>
    <xf numFmtId="0" fontId="0" fillId="8" borderId="0" xfId="0" applyFill="1" applyBorder="1" applyAlignment="1">
      <alignment horizontal="justify" vertical="top" wrapText="1"/>
    </xf>
    <xf numFmtId="0" fontId="0" fillId="8" borderId="1" xfId="0" applyFont="1" applyFill="1" applyBorder="1" applyAlignment="1">
      <alignment horizontal="justify" wrapText="1"/>
    </xf>
    <xf numFmtId="0" fontId="0" fillId="8" borderId="1" xfId="0" applyFill="1" applyBorder="1" applyAlignment="1">
      <alignment horizontal="justify" wrapText="1"/>
    </xf>
    <xf numFmtId="0" fontId="0" fillId="0" borderId="0" xfId="0" applyFill="1" applyBorder="1"/>
    <xf numFmtId="0" fontId="6" fillId="0" borderId="0" xfId="0" applyFont="1" applyBorder="1" applyAlignment="1">
      <alignment horizontal="center"/>
    </xf>
    <xf numFmtId="0" fontId="0" fillId="0" borderId="16" xfId="0" applyBorder="1"/>
    <xf numFmtId="0" fontId="0" fillId="9" borderId="0" xfId="0" applyFill="1"/>
    <xf numFmtId="0" fontId="0" fillId="10" borderId="1" xfId="0" applyFill="1" applyBorder="1"/>
    <xf numFmtId="0" fontId="0" fillId="10" borderId="17" xfId="0" applyFill="1" applyBorder="1"/>
    <xf numFmtId="9" fontId="5" fillId="10" borderId="17" xfId="2" applyFont="1" applyFill="1" applyBorder="1"/>
    <xf numFmtId="9" fontId="0" fillId="10" borderId="18" xfId="0" applyNumberFormat="1" applyFill="1" applyBorder="1"/>
    <xf numFmtId="9" fontId="0" fillId="11" borderId="1" xfId="0" applyNumberFormat="1" applyFill="1" applyBorder="1"/>
    <xf numFmtId="0" fontId="0" fillId="0" borderId="1" xfId="0" applyBorder="1" applyAlignment="1">
      <alignment horizontal="center"/>
    </xf>
    <xf numFmtId="164" fontId="5" fillId="0" borderId="1" xfId="1" applyNumberFormat="1" applyFont="1" applyBorder="1"/>
    <xf numFmtId="0" fontId="0" fillId="0" borderId="1" xfId="0" applyBorder="1"/>
    <xf numFmtId="0" fontId="0" fillId="0" borderId="2" xfId="0" applyFill="1" applyBorder="1"/>
    <xf numFmtId="0" fontId="0" fillId="0" borderId="5" xfId="0" applyFill="1" applyBorder="1"/>
    <xf numFmtId="0" fontId="0" fillId="0" borderId="8" xfId="0" applyFill="1" applyBorder="1"/>
    <xf numFmtId="0" fontId="6" fillId="0" borderId="0" xfId="0" applyFont="1" applyFill="1" applyAlignment="1">
      <alignment horizontal="center" wrapText="1"/>
    </xf>
    <xf numFmtId="164" fontId="5" fillId="0" borderId="0" xfId="1" applyNumberFormat="1" applyFont="1"/>
    <xf numFmtId="43" fontId="0" fillId="0" borderId="0" xfId="0" applyNumberFormat="1"/>
    <xf numFmtId="0" fontId="6" fillId="0" borderId="0" xfId="0" applyFont="1" applyFill="1" applyBorder="1"/>
    <xf numFmtId="10" fontId="0" fillId="0" borderId="0" xfId="0" applyNumberFormat="1" applyFill="1"/>
    <xf numFmtId="10" fontId="0" fillId="10" borderId="1" xfId="0" applyNumberFormat="1" applyFill="1" applyBorder="1"/>
    <xf numFmtId="0" fontId="12" fillId="0" borderId="0" xfId="0" applyFont="1"/>
    <xf numFmtId="0" fontId="12" fillId="0" borderId="0" xfId="0" applyFont="1" applyFill="1"/>
    <xf numFmtId="0" fontId="13" fillId="0" borderId="0" xfId="0" applyFont="1"/>
    <xf numFmtId="0" fontId="13" fillId="0" borderId="0" xfId="0" applyFont="1" applyAlignment="1">
      <alignment horizontal="center"/>
    </xf>
    <xf numFmtId="0" fontId="14" fillId="0" borderId="0" xfId="0" applyFont="1"/>
    <xf numFmtId="0" fontId="14" fillId="0" borderId="0" xfId="0" applyFont="1" applyFill="1"/>
    <xf numFmtId="0" fontId="14" fillId="0" borderId="0" xfId="0" applyFont="1" applyAlignment="1">
      <alignment horizontal="center"/>
    </xf>
    <xf numFmtId="0" fontId="4" fillId="0" borderId="0" xfId="0" applyFont="1"/>
    <xf numFmtId="49" fontId="0" fillId="6" borderId="1" xfId="0" applyNumberFormat="1" applyFill="1" applyBorder="1" applyAlignment="1">
      <alignment wrapText="1"/>
    </xf>
    <xf numFmtId="164" fontId="0" fillId="0" borderId="0" xfId="0" applyNumberFormat="1" applyBorder="1"/>
    <xf numFmtId="9" fontId="5" fillId="0" borderId="0" xfId="2" applyFont="1" applyBorder="1"/>
    <xf numFmtId="43" fontId="5" fillId="0" borderId="0" xfId="1" applyFont="1"/>
    <xf numFmtId="43" fontId="5" fillId="9" borderId="0" xfId="1" applyFont="1" applyFill="1"/>
    <xf numFmtId="164" fontId="5" fillId="0" borderId="16" xfId="1" applyNumberFormat="1" applyFont="1" applyBorder="1"/>
    <xf numFmtId="43" fontId="5" fillId="0" borderId="0" xfId="1" applyNumberFormat="1" applyFont="1"/>
    <xf numFmtId="164" fontId="5" fillId="10" borderId="0" xfId="1" applyNumberFormat="1" applyFont="1" applyFill="1"/>
    <xf numFmtId="164" fontId="5" fillId="10" borderId="16" xfId="1" applyNumberFormat="1" applyFont="1" applyFill="1" applyBorder="1"/>
    <xf numFmtId="43" fontId="5" fillId="0" borderId="1" xfId="1" applyFont="1" applyBorder="1"/>
    <xf numFmtId="43" fontId="0" fillId="0" borderId="16" xfId="0" applyNumberFormat="1" applyBorder="1"/>
    <xf numFmtId="43" fontId="0" fillId="0" borderId="0" xfId="0" applyNumberFormat="1" applyBorder="1"/>
    <xf numFmtId="43" fontId="14" fillId="0" borderId="1" xfId="0" applyNumberFormat="1" applyFont="1" applyBorder="1"/>
    <xf numFmtId="43" fontId="5" fillId="0" borderId="0" xfId="1" applyFont="1" applyFill="1"/>
    <xf numFmtId="43" fontId="5" fillId="0" borderId="0" xfId="1" applyFont="1" applyBorder="1"/>
    <xf numFmtId="43" fontId="5" fillId="0" borderId="24" xfId="1" applyFont="1" applyBorder="1"/>
    <xf numFmtId="43" fontId="5" fillId="0" borderId="25" xfId="1" applyFont="1" applyBorder="1"/>
    <xf numFmtId="9" fontId="0" fillId="10" borderId="1" xfId="0" applyNumberFormat="1" applyFill="1" applyBorder="1"/>
    <xf numFmtId="10" fontId="0" fillId="11" borderId="1" xfId="0" applyNumberFormat="1" applyFill="1" applyBorder="1"/>
    <xf numFmtId="43" fontId="14" fillId="0" borderId="0" xfId="0" applyNumberFormat="1" applyFont="1" applyBorder="1"/>
    <xf numFmtId="164" fontId="5" fillId="0" borderId="0" xfId="1" applyNumberFormat="1" applyFont="1" applyFill="1" applyBorder="1"/>
    <xf numFmtId="164" fontId="0" fillId="0" borderId="1" xfId="0" applyNumberFormat="1" applyFill="1" applyBorder="1"/>
    <xf numFmtId="9" fontId="5" fillId="10" borderId="25" xfId="2" applyFont="1" applyFill="1" applyBorder="1"/>
    <xf numFmtId="0" fontId="7" fillId="0" borderId="0" xfId="0" applyFont="1" applyAlignment="1">
      <alignment horizontal="center" wrapText="1"/>
    </xf>
    <xf numFmtId="43" fontId="14" fillId="0" borderId="25" xfId="0" applyNumberFormat="1" applyFont="1" applyBorder="1"/>
    <xf numFmtId="9" fontId="5" fillId="0" borderId="0" xfId="2" applyFont="1" applyFill="1" applyBorder="1"/>
    <xf numFmtId="0" fontId="7" fillId="0" borderId="9" xfId="0" applyFont="1" applyBorder="1"/>
    <xf numFmtId="0" fontId="0" fillId="0" borderId="9" xfId="0" applyBorder="1" applyAlignment="1">
      <alignment wrapText="1"/>
    </xf>
    <xf numFmtId="165" fontId="5" fillId="0" borderId="0" xfId="2" applyNumberFormat="1" applyFont="1" applyBorder="1" applyAlignment="1">
      <alignment horizontal="center"/>
    </xf>
    <xf numFmtId="0" fontId="6" fillId="0" borderId="0" xfId="0" applyFont="1" applyBorder="1"/>
    <xf numFmtId="164" fontId="5" fillId="2" borderId="23" xfId="1" applyNumberFormat="1" applyFont="1" applyFill="1" applyBorder="1"/>
    <xf numFmtId="9" fontId="5" fillId="2" borderId="23" xfId="2" applyFont="1" applyFill="1" applyBorder="1"/>
    <xf numFmtId="164" fontId="5" fillId="3" borderId="30" xfId="1" applyNumberFormat="1" applyFont="1" applyFill="1" applyBorder="1"/>
    <xf numFmtId="43" fontId="5" fillId="2" borderId="23" xfId="1" applyFont="1" applyFill="1" applyBorder="1"/>
    <xf numFmtId="164" fontId="15" fillId="9" borderId="6" xfId="0" applyNumberFormat="1" applyFont="1" applyFill="1" applyBorder="1"/>
    <xf numFmtId="164" fontId="5" fillId="8" borderId="6" xfId="1" applyNumberFormat="1" applyFont="1" applyFill="1" applyBorder="1"/>
    <xf numFmtId="9" fontId="0" fillId="0" borderId="7" xfId="0" applyNumberFormat="1" applyBorder="1" applyAlignment="1">
      <alignment horizontal="center"/>
    </xf>
    <xf numFmtId="0" fontId="13" fillId="0" borderId="0" xfId="0" applyFont="1" applyFill="1"/>
    <xf numFmtId="9" fontId="5" fillId="0" borderId="0" xfId="2" applyFont="1"/>
    <xf numFmtId="0" fontId="6" fillId="4" borderId="14" xfId="0" applyFont="1" applyFill="1" applyBorder="1" applyAlignment="1">
      <alignment horizontal="center"/>
    </xf>
    <xf numFmtId="0" fontId="6" fillId="12" borderId="6" xfId="0" applyFont="1" applyFill="1" applyBorder="1" applyAlignment="1">
      <alignment horizontal="center"/>
    </xf>
    <xf numFmtId="0" fontId="0" fillId="0" borderId="22" xfId="0" applyBorder="1"/>
    <xf numFmtId="0" fontId="0" fillId="0" borderId="0" xfId="0" applyBorder="1" applyAlignment="1">
      <alignment horizontal="right"/>
    </xf>
    <xf numFmtId="0" fontId="0" fillId="0" borderId="3" xfId="0" applyFill="1" applyBorder="1" applyAlignment="1">
      <alignment horizontal="center"/>
    </xf>
    <xf numFmtId="9" fontId="16" fillId="0" borderId="0" xfId="0" applyNumberFormat="1" applyFont="1" applyBorder="1" applyAlignment="1">
      <alignment horizontal="center"/>
    </xf>
    <xf numFmtId="0" fontId="0" fillId="0" borderId="0" xfId="0" applyBorder="1" applyAlignment="1">
      <alignment horizontal="center"/>
    </xf>
    <xf numFmtId="164" fontId="0" fillId="0" borderId="5" xfId="0" applyNumberFormat="1" applyFont="1" applyFill="1" applyBorder="1" applyAlignment="1">
      <alignment horizontal="center"/>
    </xf>
    <xf numFmtId="164" fontId="0" fillId="10" borderId="15" xfId="0" applyNumberFormat="1" applyFont="1" applyFill="1" applyBorder="1" applyAlignment="1">
      <alignment horizontal="center"/>
    </xf>
    <xf numFmtId="164" fontId="0" fillId="10" borderId="35" xfId="0" applyNumberFormat="1" applyFont="1" applyFill="1" applyBorder="1" applyAlignment="1">
      <alignment horizontal="center"/>
    </xf>
    <xf numFmtId="164" fontId="5" fillId="0" borderId="0" xfId="1" applyNumberFormat="1" applyFont="1" applyBorder="1"/>
    <xf numFmtId="164" fontId="6" fillId="0" borderId="0" xfId="1" applyNumberFormat="1" applyFont="1" applyBorder="1" applyAlignment="1">
      <alignment horizontal="center"/>
    </xf>
    <xf numFmtId="164" fontId="0" fillId="0" borderId="0" xfId="0" applyNumberFormat="1"/>
    <xf numFmtId="9" fontId="5" fillId="2" borderId="18" xfId="2" applyFont="1" applyFill="1" applyBorder="1"/>
    <xf numFmtId="9" fontId="5" fillId="0" borderId="22" xfId="2" applyFont="1" applyFill="1" applyBorder="1"/>
    <xf numFmtId="0" fontId="13" fillId="0" borderId="0" xfId="0" applyFont="1" applyFill="1" applyBorder="1"/>
    <xf numFmtId="9" fontId="13" fillId="2" borderId="15" xfId="0" applyNumberFormat="1" applyFont="1" applyFill="1" applyBorder="1"/>
    <xf numFmtId="0" fontId="17" fillId="0" borderId="0" xfId="0" applyFont="1"/>
    <xf numFmtId="0" fontId="16" fillId="0" borderId="0" xfId="0" applyFont="1"/>
    <xf numFmtId="9" fontId="5" fillId="0" borderId="18" xfId="2" applyNumberFormat="1" applyFont="1" applyBorder="1"/>
    <xf numFmtId="9" fontId="5" fillId="0" borderId="1" xfId="2" applyNumberFormat="1" applyFont="1" applyBorder="1"/>
    <xf numFmtId="0" fontId="6" fillId="0" borderId="32" xfId="0" applyFont="1" applyBorder="1" applyAlignment="1">
      <alignment horizontal="center"/>
    </xf>
    <xf numFmtId="0" fontId="6" fillId="0" borderId="2" xfId="0" applyFont="1" applyBorder="1"/>
    <xf numFmtId="0" fontId="9" fillId="0" borderId="2" xfId="0" applyFont="1" applyBorder="1"/>
    <xf numFmtId="0" fontId="6" fillId="0" borderId="7" xfId="0" applyFont="1" applyBorder="1" applyAlignment="1">
      <alignment horizontal="center"/>
    </xf>
    <xf numFmtId="0" fontId="6" fillId="0" borderId="5" xfId="0" applyFont="1" applyBorder="1"/>
    <xf numFmtId="164" fontId="0" fillId="10" borderId="15" xfId="0" applyNumberFormat="1" applyFill="1" applyBorder="1"/>
    <xf numFmtId="164" fontId="5" fillId="10" borderId="1" xfId="1" applyNumberFormat="1" applyFont="1" applyFill="1" applyBorder="1"/>
    <xf numFmtId="9" fontId="0" fillId="0" borderId="0" xfId="0" applyNumberFormat="1" applyFill="1" applyBorder="1"/>
    <xf numFmtId="165" fontId="0" fillId="10" borderId="1" xfId="0" applyNumberFormat="1" applyFill="1" applyBorder="1"/>
    <xf numFmtId="165" fontId="0" fillId="11" borderId="1" xfId="0" applyNumberFormat="1" applyFill="1" applyBorder="1"/>
    <xf numFmtId="164" fontId="14" fillId="2" borderId="36" xfId="0" applyNumberFormat="1" applyFont="1" applyFill="1" applyBorder="1" applyAlignment="1">
      <alignment horizontal="right"/>
    </xf>
    <xf numFmtId="0" fontId="0" fillId="0" borderId="3" xfId="0" applyFill="1" applyBorder="1"/>
    <xf numFmtId="166" fontId="5" fillId="0" borderId="0" xfId="1" applyNumberFormat="1" applyFont="1" applyBorder="1"/>
    <xf numFmtId="164" fontId="5" fillId="0" borderId="0" xfId="1" applyNumberFormat="1"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right" wrapText="1"/>
    </xf>
    <xf numFmtId="16" fontId="0" fillId="0" borderId="0" xfId="0" quotePrefix="1" applyNumberFormat="1" applyFill="1" applyBorder="1" applyAlignment="1">
      <alignment horizontal="right" wrapText="1"/>
    </xf>
    <xf numFmtId="9" fontId="0" fillId="0" borderId="0" xfId="0" applyNumberFormat="1" applyFill="1" applyBorder="1" applyAlignment="1">
      <alignment wrapText="1"/>
    </xf>
    <xf numFmtId="0" fontId="0" fillId="0" borderId="40" xfId="0" applyBorder="1"/>
    <xf numFmtId="9" fontId="13" fillId="0" borderId="0" xfId="2" applyFont="1" applyAlignment="1">
      <alignment horizontal="center"/>
    </xf>
    <xf numFmtId="0" fontId="7" fillId="0" borderId="0" xfId="0" applyFont="1" applyFill="1" applyBorder="1"/>
    <xf numFmtId="0" fontId="9" fillId="0" borderId="5" xfId="0" applyFont="1" applyBorder="1"/>
    <xf numFmtId="9" fontId="9" fillId="12" borderId="41" xfId="2" applyFont="1" applyFill="1" applyBorder="1"/>
    <xf numFmtId="164" fontId="5" fillId="2" borderId="41" xfId="1" applyNumberFormat="1" applyFont="1" applyFill="1" applyBorder="1"/>
    <xf numFmtId="9" fontId="5" fillId="2" borderId="41" xfId="2" applyFont="1" applyFill="1" applyBorder="1"/>
    <xf numFmtId="164" fontId="5" fillId="3" borderId="17" xfId="1" applyNumberFormat="1" applyFont="1" applyFill="1" applyBorder="1"/>
    <xf numFmtId="43" fontId="5" fillId="2" borderId="41" xfId="1" applyFont="1" applyFill="1" applyBorder="1"/>
    <xf numFmtId="164" fontId="0" fillId="0" borderId="0" xfId="0" applyNumberFormat="1" applyFill="1" applyBorder="1"/>
    <xf numFmtId="0" fontId="6" fillId="0" borderId="0" xfId="0" applyFont="1" applyAlignment="1"/>
    <xf numFmtId="0" fontId="0" fillId="10" borderId="7" xfId="0" applyFill="1" applyBorder="1"/>
    <xf numFmtId="0" fontId="0" fillId="2" borderId="37" xfId="0" applyFill="1" applyBorder="1"/>
    <xf numFmtId="0" fontId="0" fillId="13" borderId="37" xfId="0" applyFill="1" applyBorder="1"/>
    <xf numFmtId="0" fontId="0" fillId="2" borderId="43" xfId="0" applyFont="1" applyFill="1" applyBorder="1" applyAlignment="1">
      <alignment vertical="top"/>
    </xf>
    <xf numFmtId="0" fontId="0" fillId="10" borderId="44" xfId="0" applyFont="1" applyFill="1" applyBorder="1" applyAlignment="1">
      <alignment vertical="top"/>
    </xf>
    <xf numFmtId="0" fontId="0" fillId="13" borderId="43" xfId="0" applyFont="1" applyFill="1" applyBorder="1" applyAlignment="1">
      <alignment vertical="top"/>
    </xf>
    <xf numFmtId="0" fontId="0" fillId="5" borderId="43" xfId="0" applyFont="1" applyFill="1" applyBorder="1" applyAlignment="1">
      <alignment vertical="top"/>
    </xf>
    <xf numFmtId="0" fontId="8" fillId="0" borderId="0" xfId="0" applyFont="1" applyFill="1" applyBorder="1"/>
    <xf numFmtId="164" fontId="8" fillId="0" borderId="0" xfId="0" applyNumberFormat="1" applyFont="1" applyFill="1" applyBorder="1"/>
    <xf numFmtId="164" fontId="8" fillId="0" borderId="16" xfId="0" applyNumberFormat="1" applyFont="1" applyBorder="1"/>
    <xf numFmtId="0" fontId="8" fillId="0" borderId="0" xfId="0" applyFont="1" applyAlignment="1">
      <alignment horizontal="right"/>
    </xf>
    <xf numFmtId="0" fontId="0" fillId="14" borderId="37" xfId="0" applyFill="1" applyBorder="1"/>
    <xf numFmtId="0" fontId="0" fillId="14" borderId="43" xfId="0" applyFont="1" applyFill="1" applyBorder="1" applyAlignment="1">
      <alignment vertical="top"/>
    </xf>
    <xf numFmtId="164" fontId="14" fillId="0" borderId="0" xfId="0" applyNumberFormat="1" applyFont="1" applyFill="1" applyBorder="1" applyAlignment="1">
      <alignment horizontal="right"/>
    </xf>
    <xf numFmtId="0" fontId="7" fillId="0" borderId="0" xfId="0" applyFont="1" applyBorder="1" applyAlignment="1">
      <alignment horizontal="center"/>
    </xf>
    <xf numFmtId="0" fontId="0" fillId="0" borderId="9" xfId="0" applyFill="1" applyBorder="1" applyAlignment="1">
      <alignment horizontal="center"/>
    </xf>
    <xf numFmtId="0" fontId="6" fillId="10" borderId="34" xfId="0" applyFont="1" applyFill="1" applyBorder="1" applyAlignment="1">
      <alignment horizontal="center"/>
    </xf>
    <xf numFmtId="0" fontId="6" fillId="13" borderId="34" xfId="0" applyFont="1" applyFill="1" applyBorder="1" applyAlignment="1">
      <alignment horizontal="center"/>
    </xf>
    <xf numFmtId="0" fontId="6" fillId="5" borderId="34" xfId="0" applyFont="1" applyFill="1" applyBorder="1" applyAlignment="1">
      <alignment horizontal="center"/>
    </xf>
    <xf numFmtId="0" fontId="6" fillId="14" borderId="34" xfId="0" applyFont="1" applyFill="1" applyBorder="1" applyAlignment="1">
      <alignment horizontal="center"/>
    </xf>
    <xf numFmtId="14" fontId="6" fillId="14" borderId="34" xfId="0" applyNumberFormat="1" applyFont="1" applyFill="1" applyBorder="1" applyAlignment="1">
      <alignment horizontal="center"/>
    </xf>
    <xf numFmtId="14" fontId="6" fillId="15" borderId="34" xfId="0" applyNumberFormat="1" applyFont="1" applyFill="1" applyBorder="1" applyAlignment="1">
      <alignment horizontal="center"/>
    </xf>
    <xf numFmtId="0" fontId="6" fillId="15" borderId="34" xfId="0" applyFont="1" applyFill="1" applyBorder="1" applyAlignment="1">
      <alignment horizontal="center"/>
    </xf>
    <xf numFmtId="164" fontId="0" fillId="10" borderId="1" xfId="0" applyNumberFormat="1" applyFill="1" applyBorder="1"/>
    <xf numFmtId="0" fontId="0" fillId="0" borderId="0" xfId="0" applyFill="1" applyBorder="1" applyAlignment="1">
      <alignment horizontal="center"/>
    </xf>
    <xf numFmtId="0" fontId="0" fillId="0" borderId="0" xfId="0" applyFont="1" applyFill="1" applyBorder="1" applyAlignment="1">
      <alignment vertical="top"/>
    </xf>
    <xf numFmtId="0" fontId="6" fillId="0" borderId="2" xfId="0" applyFont="1" applyBorder="1" applyAlignment="1">
      <alignment horizontal="left"/>
    </xf>
    <xf numFmtId="0" fontId="0" fillId="0" borderId="9" xfId="0" applyFill="1" applyBorder="1"/>
    <xf numFmtId="0" fontId="0" fillId="0" borderId="8" xfId="0" applyBorder="1" applyAlignment="1">
      <alignment horizontal="center"/>
    </xf>
    <xf numFmtId="0" fontId="4" fillId="0" borderId="0" xfId="0" applyFont="1" applyFill="1"/>
    <xf numFmtId="43" fontId="5" fillId="2" borderId="18" xfId="1" applyFont="1" applyFill="1" applyBorder="1"/>
    <xf numFmtId="43" fontId="5" fillId="3" borderId="47" xfId="1" applyFont="1" applyFill="1" applyBorder="1"/>
    <xf numFmtId="164" fontId="5" fillId="3" borderId="47" xfId="1" applyNumberFormat="1" applyFont="1" applyFill="1" applyBorder="1"/>
    <xf numFmtId="164" fontId="5" fillId="2" borderId="18" xfId="1" applyNumberFormat="1" applyFont="1" applyFill="1" applyBorder="1"/>
    <xf numFmtId="164" fontId="5" fillId="3" borderId="20" xfId="1" applyNumberFormat="1" applyFont="1" applyFill="1" applyBorder="1"/>
    <xf numFmtId="164" fontId="5" fillId="3" borderId="12" xfId="1" applyNumberFormat="1" applyFont="1" applyFill="1" applyBorder="1"/>
    <xf numFmtId="164" fontId="5" fillId="3" borderId="19" xfId="1" applyNumberFormat="1" applyFont="1" applyFill="1" applyBorder="1"/>
    <xf numFmtId="164" fontId="5" fillId="3" borderId="48" xfId="1" applyNumberFormat="1" applyFont="1" applyFill="1" applyBorder="1"/>
    <xf numFmtId="0" fontId="0" fillId="0" borderId="36" xfId="0" applyBorder="1"/>
    <xf numFmtId="0" fontId="0" fillId="0" borderId="37" xfId="0" applyBorder="1"/>
    <xf numFmtId="164" fontId="5" fillId="3" borderId="49" xfId="1" applyNumberFormat="1" applyFont="1" applyFill="1" applyBorder="1"/>
    <xf numFmtId="43" fontId="5" fillId="3" borderId="30" xfId="1" applyFont="1" applyFill="1" applyBorder="1"/>
    <xf numFmtId="0" fontId="0" fillId="0" borderId="32" xfId="0" applyFill="1" applyBorder="1" applyAlignment="1">
      <alignment horizontal="center"/>
    </xf>
    <xf numFmtId="0" fontId="0" fillId="0" borderId="34" xfId="0" applyFill="1" applyBorder="1" applyAlignment="1">
      <alignment horizontal="center"/>
    </xf>
    <xf numFmtId="0" fontId="0" fillId="0" borderId="40" xfId="0" applyFill="1" applyBorder="1"/>
    <xf numFmtId="164" fontId="5" fillId="0" borderId="40" xfId="1" applyNumberFormat="1" applyFont="1" applyFill="1" applyBorder="1"/>
    <xf numFmtId="0" fontId="0" fillId="0" borderId="24" xfId="0" applyFill="1" applyBorder="1" applyAlignment="1">
      <alignment horizontal="left"/>
    </xf>
    <xf numFmtId="164" fontId="5" fillId="2" borderId="50" xfId="1" applyNumberFormat="1" applyFont="1" applyFill="1" applyBorder="1"/>
    <xf numFmtId="170" fontId="0" fillId="0" borderId="0" xfId="0" applyNumberFormat="1" applyFill="1" applyBorder="1"/>
    <xf numFmtId="164" fontId="5" fillId="0" borderId="7" xfId="1" applyNumberFormat="1" applyFont="1" applyBorder="1"/>
    <xf numFmtId="164" fontId="5" fillId="0" borderId="13" xfId="1" applyNumberFormat="1" applyFont="1" applyBorder="1"/>
    <xf numFmtId="0" fontId="6" fillId="0" borderId="33" xfId="0" applyFont="1" applyBorder="1"/>
    <xf numFmtId="0" fontId="6" fillId="0" borderId="33" xfId="0" applyFont="1" applyBorder="1" applyAlignment="1">
      <alignment horizontal="center"/>
    </xf>
    <xf numFmtId="0" fontId="6" fillId="0" borderId="13" xfId="0" applyFont="1" applyBorder="1" applyAlignment="1">
      <alignment horizontal="center"/>
    </xf>
    <xf numFmtId="0" fontId="6" fillId="0" borderId="34" xfId="0" applyFont="1" applyBorder="1" applyAlignment="1">
      <alignment horizontal="center"/>
    </xf>
    <xf numFmtId="0" fontId="0" fillId="15" borderId="43" xfId="0" applyFont="1" applyFill="1" applyBorder="1" applyAlignment="1">
      <alignment vertical="top"/>
    </xf>
    <xf numFmtId="0" fontId="0" fillId="15" borderId="37" xfId="0" applyFill="1" applyBorder="1"/>
    <xf numFmtId="0" fontId="0" fillId="0" borderId="40" xfId="0" applyBorder="1" applyAlignment="1">
      <alignment horizontal="center"/>
    </xf>
    <xf numFmtId="0" fontId="18" fillId="0" borderId="0" xfId="0" applyFont="1" applyFill="1" applyAlignment="1">
      <alignment horizontal="center"/>
    </xf>
    <xf numFmtId="164" fontId="0" fillId="10" borderId="18" xfId="0" applyNumberFormat="1" applyFill="1" applyBorder="1"/>
    <xf numFmtId="9" fontId="0" fillId="0" borderId="51" xfId="0" applyNumberFormat="1" applyBorder="1"/>
    <xf numFmtId="0" fontId="0" fillId="0" borderId="5" xfId="0" quotePrefix="1" applyFont="1" applyBorder="1"/>
    <xf numFmtId="164" fontId="5" fillId="0" borderId="29" xfId="1" applyNumberFormat="1" applyFont="1" applyBorder="1"/>
    <xf numFmtId="164" fontId="0" fillId="0" borderId="29" xfId="0" applyNumberFormat="1" applyBorder="1"/>
    <xf numFmtId="0" fontId="0" fillId="0" borderId="0" xfId="0" applyBorder="1" applyAlignment="1">
      <alignment horizontal="left"/>
    </xf>
    <xf numFmtId="164" fontId="6" fillId="0" borderId="39" xfId="0" applyNumberFormat="1" applyFont="1" applyBorder="1"/>
    <xf numFmtId="43" fontId="5" fillId="0" borderId="16" xfId="1" applyNumberFormat="1" applyFont="1" applyBorder="1"/>
    <xf numFmtId="164" fontId="5" fillId="0" borderId="42" xfId="1" applyNumberFormat="1" applyFont="1" applyBorder="1"/>
    <xf numFmtId="164" fontId="6" fillId="0" borderId="38" xfId="0" applyNumberFormat="1" applyFont="1" applyBorder="1"/>
    <xf numFmtId="49" fontId="0" fillId="0" borderId="5" xfId="0" applyNumberFormat="1" applyFill="1" applyBorder="1" applyAlignment="1">
      <alignment horizontal="left"/>
    </xf>
    <xf numFmtId="164" fontId="5" fillId="0" borderId="5" xfId="1" applyNumberFormat="1" applyFont="1" applyBorder="1" applyAlignment="1">
      <alignment horizontal="left"/>
    </xf>
    <xf numFmtId="43" fontId="5" fillId="0" borderId="0" xfId="1" applyNumberFormat="1" applyFont="1" applyBorder="1"/>
    <xf numFmtId="0" fontId="0" fillId="0" borderId="5" xfId="0" applyBorder="1" applyAlignment="1">
      <alignment horizontal="left"/>
    </xf>
    <xf numFmtId="164" fontId="6" fillId="0" borderId="16" xfId="1" applyNumberFormat="1" applyFont="1" applyBorder="1"/>
    <xf numFmtId="164" fontId="0" fillId="0" borderId="7" xfId="0" applyNumberFormat="1" applyBorder="1"/>
    <xf numFmtId="43" fontId="0" fillId="0" borderId="7" xfId="0" applyNumberFormat="1" applyBorder="1"/>
    <xf numFmtId="164" fontId="6" fillId="0" borderId="38" xfId="1" applyNumberFormat="1" applyFont="1" applyBorder="1"/>
    <xf numFmtId="164" fontId="6" fillId="0" borderId="0" xfId="0" applyNumberFormat="1" applyFont="1" applyFill="1" applyBorder="1"/>
    <xf numFmtId="0" fontId="0" fillId="0" borderId="5" xfId="0" quotePrefix="1" applyBorder="1"/>
    <xf numFmtId="0" fontId="14" fillId="0" borderId="9" xfId="0" applyFont="1" applyFill="1" applyBorder="1" applyAlignment="1">
      <alignment horizontal="right"/>
    </xf>
    <xf numFmtId="9" fontId="5" fillId="0" borderId="0" xfId="2" applyNumberFormat="1" applyFont="1" applyBorder="1" applyAlignment="1">
      <alignment horizontal="center"/>
    </xf>
    <xf numFmtId="2" fontId="0" fillId="0" borderId="0" xfId="0" applyNumberFormat="1" applyBorder="1"/>
    <xf numFmtId="10" fontId="5" fillId="0" borderId="0" xfId="2" applyNumberFormat="1" applyFont="1" applyBorder="1" applyAlignment="1">
      <alignment horizontal="center"/>
    </xf>
    <xf numFmtId="164" fontId="5" fillId="0" borderId="0" xfId="1" applyNumberFormat="1" applyFont="1" applyBorder="1" applyAlignment="1">
      <alignment horizontal="center"/>
    </xf>
    <xf numFmtId="10" fontId="5" fillId="0" borderId="0" xfId="2" applyNumberFormat="1" applyFont="1" applyBorder="1" applyAlignment="1">
      <alignment horizontal="left"/>
    </xf>
    <xf numFmtId="8" fontId="5" fillId="0" borderId="0" xfId="2" applyNumberFormat="1" applyFont="1" applyBorder="1" applyAlignment="1">
      <alignment horizontal="center"/>
    </xf>
    <xf numFmtId="165" fontId="5" fillId="0" borderId="0" xfId="2" applyNumberFormat="1" applyFont="1" applyAlignment="1">
      <alignment horizontal="center"/>
    </xf>
    <xf numFmtId="9" fontId="0" fillId="0" borderId="0" xfId="0" applyNumberFormat="1" applyBorder="1" applyAlignment="1">
      <alignment horizontal="center"/>
    </xf>
    <xf numFmtId="8" fontId="0" fillId="16" borderId="0" xfId="0" applyNumberFormat="1" applyFill="1"/>
    <xf numFmtId="0" fontId="0" fillId="0" borderId="0" xfId="0" applyAlignment="1">
      <alignment vertical="top" wrapText="1"/>
    </xf>
    <xf numFmtId="0" fontId="0" fillId="0" borderId="0" xfId="0" applyNumberFormat="1" applyAlignment="1">
      <alignment vertical="top" wrapText="1"/>
    </xf>
    <xf numFmtId="167" fontId="0" fillId="0" borderId="0" xfId="0" applyNumberFormat="1" applyBorder="1"/>
    <xf numFmtId="43" fontId="6" fillId="0" borderId="0" xfId="0" applyNumberFormat="1" applyFont="1" applyBorder="1" applyAlignment="1">
      <alignment horizontal="center"/>
    </xf>
    <xf numFmtId="168" fontId="0" fillId="0" borderId="0" xfId="0" applyNumberFormat="1" applyBorder="1"/>
    <xf numFmtId="9" fontId="0" fillId="0" borderId="0" xfId="0" applyNumberFormat="1" applyBorder="1"/>
    <xf numFmtId="0" fontId="6" fillId="0" borderId="0" xfId="0" applyFont="1" applyBorder="1" applyAlignment="1">
      <alignment horizontal="right"/>
    </xf>
    <xf numFmtId="6" fontId="0" fillId="0" borderId="0" xfId="0" applyNumberFormat="1" applyBorder="1"/>
    <xf numFmtId="0" fontId="3" fillId="0" borderId="0" xfId="0" applyFont="1"/>
    <xf numFmtId="0" fontId="0" fillId="17" borderId="0" xfId="0" applyFill="1" applyBorder="1"/>
    <xf numFmtId="0" fontId="7" fillId="17" borderId="0" xfId="0" applyFont="1" applyFill="1" applyBorder="1" applyAlignment="1">
      <alignment horizontal="center"/>
    </xf>
    <xf numFmtId="0" fontId="0" fillId="17" borderId="0" xfId="0" applyFill="1" applyBorder="1" applyAlignment="1">
      <alignment horizontal="center"/>
    </xf>
    <xf numFmtId="43" fontId="5" fillId="0" borderId="7" xfId="1" applyNumberFormat="1" applyFont="1" applyBorder="1"/>
    <xf numFmtId="0" fontId="0" fillId="18" borderId="2" xfId="0" applyFill="1" applyBorder="1"/>
    <xf numFmtId="0" fontId="7" fillId="18" borderId="3" xfId="0" applyFont="1" applyFill="1" applyBorder="1" applyAlignment="1">
      <alignment horizontal="justify"/>
    </xf>
    <xf numFmtId="0" fontId="0" fillId="18" borderId="3" xfId="0" applyFill="1" applyBorder="1" applyAlignment="1">
      <alignment wrapText="1"/>
    </xf>
    <xf numFmtId="0" fontId="0" fillId="18" borderId="3" xfId="0" applyFill="1" applyBorder="1"/>
    <xf numFmtId="0" fontId="0" fillId="18" borderId="4" xfId="0" applyFill="1" applyBorder="1"/>
    <xf numFmtId="0" fontId="0" fillId="18" borderId="5" xfId="0" applyFill="1" applyBorder="1"/>
    <xf numFmtId="0" fontId="7" fillId="18" borderId="0" xfId="0" applyFont="1" applyFill="1" applyBorder="1" applyAlignment="1">
      <alignment horizontal="justify"/>
    </xf>
    <xf numFmtId="0" fontId="0" fillId="18" borderId="0" xfId="0" applyFill="1" applyBorder="1" applyAlignment="1">
      <alignment wrapText="1"/>
    </xf>
    <xf numFmtId="0" fontId="0" fillId="18" borderId="0" xfId="0" applyFill="1" applyBorder="1"/>
    <xf numFmtId="0" fontId="0" fillId="18" borderId="7" xfId="0" applyFill="1" applyBorder="1"/>
    <xf numFmtId="0" fontId="0" fillId="18" borderId="5" xfId="0" applyFont="1" applyFill="1" applyBorder="1"/>
    <xf numFmtId="0" fontId="6" fillId="18" borderId="0" xfId="0" applyFont="1" applyFill="1" applyBorder="1" applyAlignment="1">
      <alignment horizontal="justify"/>
    </xf>
    <xf numFmtId="0" fontId="0" fillId="18" borderId="0" xfId="0" applyFont="1" applyFill="1" applyBorder="1" applyAlignment="1">
      <alignment wrapText="1"/>
    </xf>
    <xf numFmtId="0" fontId="0" fillId="18" borderId="0" xfId="0" applyFont="1" applyFill="1" applyBorder="1"/>
    <xf numFmtId="0" fontId="0" fillId="18" borderId="7" xfId="0" applyFont="1" applyFill="1" applyBorder="1"/>
    <xf numFmtId="0" fontId="0" fillId="18" borderId="1" xfId="0" applyFill="1" applyBorder="1" applyAlignment="1">
      <alignment wrapText="1"/>
    </xf>
    <xf numFmtId="14" fontId="0" fillId="18" borderId="1" xfId="0" applyNumberFormat="1" applyFont="1" applyFill="1" applyBorder="1" applyAlignment="1">
      <alignment horizontal="left" wrapText="1"/>
    </xf>
    <xf numFmtId="0" fontId="0" fillId="18" borderId="1" xfId="0" applyFill="1" applyBorder="1" applyAlignment="1">
      <alignment horizontal="justify" vertical="top" wrapText="1"/>
    </xf>
    <xf numFmtId="0" fontId="0" fillId="18" borderId="1" xfId="0" applyFill="1" applyBorder="1" applyAlignment="1">
      <alignment horizontal="center" vertical="top" wrapText="1"/>
    </xf>
    <xf numFmtId="0" fontId="0" fillId="18" borderId="0" xfId="0" applyFill="1" applyBorder="1" applyAlignment="1">
      <alignment horizontal="justify"/>
    </xf>
    <xf numFmtId="0" fontId="0" fillId="18" borderId="0" xfId="0" applyFont="1" applyFill="1" applyBorder="1" applyAlignment="1">
      <alignment horizontal="justify"/>
    </xf>
    <xf numFmtId="0" fontId="0" fillId="18" borderId="12" xfId="0" applyFill="1" applyBorder="1" applyAlignment="1">
      <alignment wrapText="1"/>
    </xf>
    <xf numFmtId="0" fontId="0" fillId="19" borderId="5" xfId="0" applyFill="1" applyBorder="1"/>
    <xf numFmtId="0" fontId="7" fillId="19" borderId="0" xfId="0" applyFont="1" applyFill="1" applyBorder="1" applyAlignment="1">
      <alignment horizontal="justify"/>
    </xf>
    <xf numFmtId="0" fontId="0" fillId="19" borderId="0" xfId="0" applyFill="1" applyBorder="1" applyAlignment="1">
      <alignment wrapText="1"/>
    </xf>
    <xf numFmtId="0" fontId="0" fillId="19" borderId="0" xfId="0" applyFill="1" applyBorder="1"/>
    <xf numFmtId="0" fontId="0" fillId="19" borderId="7" xfId="0" applyFill="1" applyBorder="1"/>
    <xf numFmtId="0" fontId="6" fillId="19" borderId="0" xfId="0" applyFont="1" applyFill="1" applyBorder="1" applyAlignment="1">
      <alignment horizontal="justify" vertical="top"/>
    </xf>
    <xf numFmtId="0" fontId="0" fillId="19" borderId="1" xfId="0" applyFill="1" applyBorder="1" applyAlignment="1">
      <alignment wrapText="1"/>
    </xf>
    <xf numFmtId="0" fontId="6" fillId="19" borderId="0" xfId="0" applyFont="1" applyFill="1" applyBorder="1" applyAlignment="1">
      <alignment horizontal="justify" vertical="top" wrapText="1"/>
    </xf>
    <xf numFmtId="0" fontId="0" fillId="19" borderId="0" xfId="0" applyFill="1" applyBorder="1" applyAlignment="1">
      <alignment horizontal="justify" vertical="top" wrapText="1"/>
    </xf>
    <xf numFmtId="9" fontId="5" fillId="19" borderId="0" xfId="2" applyFont="1" applyFill="1" applyBorder="1"/>
    <xf numFmtId="49" fontId="0" fillId="19" borderId="1" xfId="0" applyNumberFormat="1" applyFill="1" applyBorder="1" applyAlignment="1">
      <alignment wrapText="1"/>
    </xf>
    <xf numFmtId="0" fontId="6" fillId="19" borderId="0" xfId="0" applyFont="1" applyFill="1" applyBorder="1" applyAlignment="1">
      <alignment horizontal="justify"/>
    </xf>
    <xf numFmtId="0" fontId="0" fillId="20" borderId="5" xfId="0" applyFill="1" applyBorder="1"/>
    <xf numFmtId="0" fontId="7" fillId="20" borderId="0" xfId="0" applyFont="1" applyFill="1" applyBorder="1" applyAlignment="1">
      <alignment horizontal="justify"/>
    </xf>
    <xf numFmtId="0" fontId="0" fillId="20" borderId="0" xfId="0" applyFill="1" applyBorder="1" applyAlignment="1">
      <alignment wrapText="1"/>
    </xf>
    <xf numFmtId="0" fontId="0" fillId="20" borderId="0" xfId="0" applyFill="1" applyBorder="1"/>
    <xf numFmtId="0" fontId="0" fillId="20" borderId="7" xfId="0" applyFill="1" applyBorder="1"/>
    <xf numFmtId="0" fontId="6" fillId="20" borderId="0" xfId="0" applyFont="1" applyFill="1" applyBorder="1" applyAlignment="1">
      <alignment horizontal="justify"/>
    </xf>
    <xf numFmtId="0" fontId="0" fillId="20" borderId="1" xfId="0" applyFill="1" applyBorder="1" applyAlignment="1">
      <alignment wrapText="1"/>
    </xf>
    <xf numFmtId="0" fontId="0" fillId="20" borderId="0" xfId="0" applyFont="1" applyFill="1" applyBorder="1" applyAlignment="1">
      <alignment horizontal="justify"/>
    </xf>
    <xf numFmtId="0" fontId="0" fillId="20" borderId="1" xfId="0" applyFont="1" applyFill="1" applyBorder="1" applyAlignment="1">
      <alignment horizontal="justify" wrapText="1"/>
    </xf>
    <xf numFmtId="0" fontId="0" fillId="20" borderId="1" xfId="0" applyFill="1" applyBorder="1" applyAlignment="1">
      <alignment horizontal="justify" wrapText="1"/>
    </xf>
    <xf numFmtId="0" fontId="0" fillId="20" borderId="1" xfId="0" applyFill="1" applyBorder="1" applyAlignment="1">
      <alignment horizontal="justify" vertical="top" wrapText="1"/>
    </xf>
    <xf numFmtId="0" fontId="0" fillId="20" borderId="0" xfId="0" applyFill="1" applyBorder="1" applyAlignment="1">
      <alignment horizontal="justify" vertical="top" wrapText="1"/>
    </xf>
    <xf numFmtId="0" fontId="0" fillId="20" borderId="0" xfId="0" applyFill="1" applyBorder="1" applyAlignment="1">
      <alignment horizontal="justify"/>
    </xf>
    <xf numFmtId="0" fontId="0" fillId="21" borderId="5" xfId="0" applyFill="1" applyBorder="1"/>
    <xf numFmtId="0" fontId="7" fillId="21" borderId="0" xfId="0" applyFont="1" applyFill="1" applyBorder="1" applyAlignment="1">
      <alignment horizontal="justify"/>
    </xf>
    <xf numFmtId="0" fontId="0" fillId="21" borderId="0" xfId="0" applyFill="1" applyBorder="1" applyAlignment="1">
      <alignment wrapText="1"/>
    </xf>
    <xf numFmtId="0" fontId="0" fillId="21" borderId="0" xfId="0" applyFill="1" applyBorder="1"/>
    <xf numFmtId="0" fontId="0" fillId="21" borderId="7" xfId="0" applyFill="1" applyBorder="1"/>
    <xf numFmtId="0" fontId="6" fillId="21" borderId="0" xfId="0" applyFont="1" applyFill="1" applyBorder="1" applyAlignment="1">
      <alignment horizontal="justify"/>
    </xf>
    <xf numFmtId="164" fontId="5" fillId="21" borderId="1" xfId="1" applyNumberFormat="1" applyFont="1" applyFill="1" applyBorder="1" applyAlignment="1">
      <alignment horizontal="right" wrapText="1"/>
    </xf>
    <xf numFmtId="9" fontId="0" fillId="21" borderId="1" xfId="0" applyNumberFormat="1" applyFill="1" applyBorder="1" applyAlignment="1">
      <alignment horizontal="right" wrapText="1"/>
    </xf>
    <xf numFmtId="0" fontId="0" fillId="21" borderId="0" xfId="0" applyFill="1" applyBorder="1" applyAlignment="1">
      <alignment horizontal="right" wrapText="1"/>
    </xf>
    <xf numFmtId="0" fontId="0" fillId="21" borderId="1" xfId="0" applyFill="1" applyBorder="1" applyAlignment="1">
      <alignment horizontal="right" wrapText="1"/>
    </xf>
    <xf numFmtId="0" fontId="0" fillId="21" borderId="8" xfId="0" applyFill="1" applyBorder="1"/>
    <xf numFmtId="0" fontId="0" fillId="21" borderId="9" xfId="0" applyFill="1" applyBorder="1"/>
    <xf numFmtId="0" fontId="0" fillId="21" borderId="9" xfId="0" applyFill="1" applyBorder="1" applyAlignment="1">
      <alignment wrapText="1"/>
    </xf>
    <xf numFmtId="0" fontId="0" fillId="21" borderId="13" xfId="0" applyFill="1" applyBorder="1"/>
    <xf numFmtId="0" fontId="0" fillId="22" borderId="5" xfId="0" applyFill="1" applyBorder="1"/>
    <xf numFmtId="0" fontId="7" fillId="22" borderId="0" xfId="0" applyFont="1" applyFill="1" applyBorder="1" applyAlignment="1">
      <alignment horizontal="justify"/>
    </xf>
    <xf numFmtId="0" fontId="0" fillId="22" borderId="0" xfId="0" applyFill="1" applyBorder="1" applyAlignment="1">
      <alignment wrapText="1"/>
    </xf>
    <xf numFmtId="0" fontId="0" fillId="22" borderId="0" xfId="0" applyFill="1" applyBorder="1"/>
    <xf numFmtId="0" fontId="0" fillId="22" borderId="7" xfId="0" applyFill="1" applyBorder="1"/>
    <xf numFmtId="0" fontId="6" fillId="22" borderId="0" xfId="0" applyFont="1" applyFill="1" applyBorder="1" applyAlignment="1">
      <alignment horizontal="justify"/>
    </xf>
    <xf numFmtId="0" fontId="0" fillId="22" borderId="1" xfId="0" applyFill="1" applyBorder="1" applyAlignment="1">
      <alignment wrapText="1"/>
    </xf>
    <xf numFmtId="0" fontId="0" fillId="22" borderId="1" xfId="0" applyFill="1" applyBorder="1" applyAlignment="1">
      <alignment horizontal="justify" vertical="top" wrapText="1"/>
    </xf>
    <xf numFmtId="0" fontId="0" fillId="22" borderId="0" xfId="0" applyFill="1" applyBorder="1" applyAlignment="1">
      <alignment horizontal="justify"/>
    </xf>
    <xf numFmtId="0" fontId="0" fillId="22" borderId="0" xfId="0" applyFont="1" applyFill="1" applyBorder="1" applyAlignment="1">
      <alignment horizontal="justify"/>
    </xf>
    <xf numFmtId="0" fontId="0" fillId="23" borderId="2" xfId="0" applyFill="1" applyBorder="1"/>
    <xf numFmtId="0" fontId="7" fillId="23" borderId="3" xfId="0" applyFont="1" applyFill="1" applyBorder="1" applyAlignment="1">
      <alignment horizontal="justify"/>
    </xf>
    <xf numFmtId="0" fontId="0" fillId="23" borderId="3" xfId="0" applyFill="1" applyBorder="1" applyAlignment="1">
      <alignment wrapText="1"/>
    </xf>
    <xf numFmtId="0" fontId="0" fillId="23" borderId="3" xfId="0" applyFill="1" applyBorder="1"/>
    <xf numFmtId="0" fontId="0" fillId="23" borderId="4" xfId="0" applyFill="1" applyBorder="1"/>
    <xf numFmtId="0" fontId="0" fillId="23" borderId="5" xfId="0" applyFill="1" applyBorder="1"/>
    <xf numFmtId="0" fontId="7" fillId="23" borderId="0" xfId="0" applyFont="1" applyFill="1" applyBorder="1" applyAlignment="1">
      <alignment horizontal="justify"/>
    </xf>
    <xf numFmtId="0" fontId="0" fillId="23" borderId="0" xfId="0" applyFill="1" applyBorder="1" applyAlignment="1">
      <alignment wrapText="1"/>
    </xf>
    <xf numFmtId="0" fontId="0" fillId="23" borderId="0" xfId="0" applyFill="1" applyBorder="1"/>
    <xf numFmtId="0" fontId="0" fillId="23" borderId="7" xfId="0" applyFill="1" applyBorder="1"/>
    <xf numFmtId="0" fontId="0" fillId="23" borderId="5" xfId="0" applyFont="1" applyFill="1" applyBorder="1"/>
    <xf numFmtId="0" fontId="6" fillId="23" borderId="0" xfId="0" applyFont="1" applyFill="1" applyBorder="1" applyAlignment="1">
      <alignment horizontal="justify"/>
    </xf>
    <xf numFmtId="0" fontId="0" fillId="23" borderId="0" xfId="0" applyFont="1" applyFill="1" applyBorder="1" applyAlignment="1">
      <alignment wrapText="1"/>
    </xf>
    <xf numFmtId="0" fontId="0" fillId="23" borderId="0" xfId="0" applyFont="1" applyFill="1" applyBorder="1"/>
    <xf numFmtId="0" fontId="0" fillId="23" borderId="7" xfId="0" applyFont="1" applyFill="1" applyBorder="1"/>
    <xf numFmtId="0" fontId="0" fillId="23" borderId="1" xfId="0" applyFill="1" applyBorder="1" applyAlignment="1">
      <alignment wrapText="1"/>
    </xf>
    <xf numFmtId="0" fontId="6" fillId="23" borderId="1" xfId="0" applyFont="1" applyFill="1" applyBorder="1" applyAlignment="1">
      <alignment wrapText="1"/>
    </xf>
    <xf numFmtId="14" fontId="0" fillId="23" borderId="1" xfId="0" applyNumberFormat="1" applyFont="1" applyFill="1" applyBorder="1" applyAlignment="1">
      <alignment horizontal="left" wrapText="1"/>
    </xf>
    <xf numFmtId="0" fontId="0" fillId="23" borderId="1" xfId="0" applyFill="1" applyBorder="1" applyAlignment="1">
      <alignment horizontal="justify" vertical="top" wrapText="1"/>
    </xf>
    <xf numFmtId="0" fontId="0" fillId="23" borderId="1" xfId="0" applyFill="1" applyBorder="1" applyAlignment="1">
      <alignment horizontal="center" vertical="top" wrapText="1"/>
    </xf>
    <xf numFmtId="0" fontId="0" fillId="23" borderId="0" xfId="0" applyFill="1" applyBorder="1" applyAlignment="1">
      <alignment horizontal="justify"/>
    </xf>
    <xf numFmtId="0" fontId="0" fillId="23" borderId="0" xfId="0" applyFont="1" applyFill="1" applyBorder="1" applyAlignment="1">
      <alignment horizontal="justify"/>
    </xf>
    <xf numFmtId="0" fontId="0" fillId="23" borderId="12" xfId="0" applyFill="1" applyBorder="1" applyAlignment="1">
      <alignment wrapText="1"/>
    </xf>
    <xf numFmtId="0" fontId="0" fillId="23" borderId="3" xfId="0" applyFill="1" applyBorder="1" applyAlignment="1">
      <alignment horizontal="left" wrapText="1"/>
    </xf>
    <xf numFmtId="0" fontId="0" fillId="23" borderId="0" xfId="0" applyFill="1" applyBorder="1" applyAlignment="1">
      <alignment horizontal="left" wrapText="1"/>
    </xf>
    <xf numFmtId="0" fontId="0" fillId="23" borderId="0" xfId="0" applyFont="1" applyFill="1" applyBorder="1" applyAlignment="1">
      <alignment horizontal="left" wrapText="1"/>
    </xf>
    <xf numFmtId="0" fontId="0" fillId="23" borderId="1" xfId="0" applyFill="1" applyBorder="1" applyAlignment="1">
      <alignment horizontal="left" wrapText="1"/>
    </xf>
    <xf numFmtId="0" fontId="0" fillId="23" borderId="1" xfId="0" applyFill="1" applyBorder="1" applyAlignment="1">
      <alignment horizontal="left" vertical="top" wrapText="1"/>
    </xf>
    <xf numFmtId="0" fontId="0" fillId="23" borderId="12" xfId="0" applyFill="1" applyBorder="1" applyAlignment="1">
      <alignment horizontal="left" wrapText="1"/>
    </xf>
    <xf numFmtId="14" fontId="0" fillId="23" borderId="1" xfId="0" quotePrefix="1" applyNumberFormat="1" applyFill="1" applyBorder="1" applyAlignment="1">
      <alignment horizontal="left" wrapText="1"/>
    </xf>
    <xf numFmtId="0" fontId="3" fillId="23" borderId="3" xfId="0" applyFont="1" applyFill="1" applyBorder="1" applyAlignment="1">
      <alignment horizontal="justify"/>
    </xf>
    <xf numFmtId="0" fontId="3" fillId="23" borderId="0" xfId="0" applyFont="1" applyFill="1" applyBorder="1" applyAlignment="1">
      <alignment horizontal="justify"/>
    </xf>
    <xf numFmtId="0" fontId="1" fillId="23" borderId="0" xfId="0" applyFont="1" applyFill="1" applyBorder="1" applyAlignment="1">
      <alignment horizontal="justify"/>
    </xf>
    <xf numFmtId="14" fontId="0" fillId="23" borderId="1" xfId="0" applyNumberFormat="1" applyFill="1" applyBorder="1" applyAlignment="1">
      <alignment horizontal="left" wrapText="1"/>
    </xf>
    <xf numFmtId="14" fontId="6" fillId="23" borderId="1" xfId="0" applyNumberFormat="1" applyFont="1" applyFill="1" applyBorder="1" applyAlignment="1">
      <alignment wrapText="1"/>
    </xf>
    <xf numFmtId="0" fontId="6" fillId="24" borderId="0" xfId="0" applyFont="1" applyFill="1" applyBorder="1" applyAlignment="1">
      <alignment horizontal="justify" vertical="top"/>
    </xf>
    <xf numFmtId="0" fontId="0" fillId="24" borderId="5" xfId="0" applyFill="1" applyBorder="1"/>
    <xf numFmtId="0" fontId="7" fillId="24" borderId="0" xfId="0" applyFont="1" applyFill="1" applyBorder="1" applyAlignment="1">
      <alignment horizontal="justify"/>
    </xf>
    <xf numFmtId="0" fontId="0" fillId="24" borderId="0" xfId="0" applyFill="1" applyBorder="1" applyAlignment="1">
      <alignment wrapText="1"/>
    </xf>
    <xf numFmtId="0" fontId="0" fillId="24" borderId="0" xfId="0" applyFill="1" applyBorder="1"/>
    <xf numFmtId="0" fontId="0" fillId="24" borderId="7" xfId="0" applyFill="1" applyBorder="1"/>
    <xf numFmtId="0" fontId="0" fillId="24" borderId="1" xfId="0" applyFill="1" applyBorder="1" applyAlignment="1">
      <alignment wrapText="1"/>
    </xf>
    <xf numFmtId="0" fontId="6" fillId="24" borderId="0" xfId="0" applyFont="1" applyFill="1" applyBorder="1" applyAlignment="1">
      <alignment horizontal="justify" vertical="top" wrapText="1"/>
    </xf>
    <xf numFmtId="0" fontId="0" fillId="24" borderId="1" xfId="0" applyFill="1" applyBorder="1" applyAlignment="1">
      <alignment horizontal="left" wrapText="1"/>
    </xf>
    <xf numFmtId="0" fontId="0" fillId="24" borderId="0" xfId="0" applyFill="1" applyBorder="1" applyAlignment="1">
      <alignment horizontal="justify" vertical="top" wrapText="1"/>
    </xf>
    <xf numFmtId="9" fontId="5" fillId="24" borderId="0" xfId="2" applyFont="1" applyFill="1" applyBorder="1"/>
    <xf numFmtId="49" fontId="0" fillId="24" borderId="1" xfId="0" applyNumberFormat="1" applyFill="1" applyBorder="1" applyAlignment="1">
      <alignment wrapText="1"/>
    </xf>
    <xf numFmtId="0" fontId="6" fillId="24" borderId="0" xfId="0" applyFont="1" applyFill="1" applyBorder="1" applyAlignment="1">
      <alignment horizontal="justify"/>
    </xf>
    <xf numFmtId="0" fontId="0" fillId="24" borderId="0" xfId="0" applyFill="1" applyBorder="1" applyAlignment="1">
      <alignment horizontal="left" wrapText="1"/>
    </xf>
    <xf numFmtId="0" fontId="3" fillId="24" borderId="0" xfId="0" applyFont="1" applyFill="1" applyBorder="1" applyAlignment="1">
      <alignment horizontal="justify"/>
    </xf>
    <xf numFmtId="0" fontId="1" fillId="24" borderId="0" xfId="0" applyFont="1" applyFill="1" applyBorder="1" applyAlignment="1">
      <alignment horizontal="justify" vertical="top"/>
    </xf>
    <xf numFmtId="0" fontId="1" fillId="24" borderId="0" xfId="0" applyFont="1" applyFill="1" applyBorder="1" applyAlignment="1">
      <alignment horizontal="justify" vertical="top" wrapText="1"/>
    </xf>
    <xf numFmtId="0" fontId="1" fillId="24" borderId="0" xfId="0" applyFont="1" applyFill="1" applyBorder="1" applyAlignment="1">
      <alignment horizontal="justify"/>
    </xf>
    <xf numFmtId="0" fontId="0" fillId="22" borderId="1" xfId="0" applyFont="1" applyFill="1" applyBorder="1" applyAlignment="1">
      <alignment horizontal="justify" wrapText="1"/>
    </xf>
    <xf numFmtId="0" fontId="0" fillId="22" borderId="1" xfId="0" applyFill="1" applyBorder="1" applyAlignment="1">
      <alignment horizontal="justify" wrapText="1"/>
    </xf>
    <xf numFmtId="0" fontId="0" fillId="22" borderId="0" xfId="0" applyFill="1" applyBorder="1" applyAlignment="1">
      <alignment horizontal="justify" vertical="top" wrapText="1"/>
    </xf>
    <xf numFmtId="0" fontId="0" fillId="22" borderId="0" xfId="0" applyFill="1" applyBorder="1" applyAlignment="1">
      <alignment horizontal="left" wrapText="1"/>
    </xf>
    <xf numFmtId="0" fontId="0" fillId="22" borderId="1" xfId="0" applyFill="1" applyBorder="1" applyAlignment="1">
      <alignment horizontal="left" wrapText="1"/>
    </xf>
    <xf numFmtId="0" fontId="0" fillId="22" borderId="1" xfId="0" applyFont="1" applyFill="1" applyBorder="1" applyAlignment="1">
      <alignment horizontal="left" wrapText="1"/>
    </xf>
    <xf numFmtId="0" fontId="0" fillId="22" borderId="1" xfId="0" applyFill="1" applyBorder="1" applyAlignment="1">
      <alignment horizontal="left" vertical="top" wrapText="1"/>
    </xf>
    <xf numFmtId="0" fontId="3" fillId="22" borderId="0" xfId="0" applyFont="1" applyFill="1" applyBorder="1" applyAlignment="1">
      <alignment horizontal="justify"/>
    </xf>
    <xf numFmtId="0" fontId="1" fillId="22" borderId="0" xfId="0" applyFont="1" applyFill="1" applyBorder="1" applyAlignment="1">
      <alignment horizontal="justify"/>
    </xf>
    <xf numFmtId="0" fontId="6" fillId="25" borderId="0" xfId="0" applyFont="1" applyFill="1" applyBorder="1" applyAlignment="1">
      <alignment horizontal="justify"/>
    </xf>
    <xf numFmtId="0" fontId="0" fillId="25" borderId="5" xfId="0" applyFill="1" applyBorder="1"/>
    <xf numFmtId="0" fontId="7" fillId="25" borderId="0" xfId="0" applyFont="1" applyFill="1" applyBorder="1" applyAlignment="1">
      <alignment horizontal="justify"/>
    </xf>
    <xf numFmtId="0" fontId="0" fillId="25" borderId="0" xfId="0" applyFill="1" applyBorder="1" applyAlignment="1">
      <alignment wrapText="1"/>
    </xf>
    <xf numFmtId="0" fontId="0" fillId="25" borderId="0" xfId="0" applyFill="1" applyBorder="1"/>
    <xf numFmtId="0" fontId="0" fillId="25" borderId="7" xfId="0" applyFill="1" applyBorder="1"/>
    <xf numFmtId="164" fontId="5" fillId="25" borderId="1" xfId="1" applyNumberFormat="1" applyFont="1" applyFill="1" applyBorder="1" applyAlignment="1">
      <alignment horizontal="right" wrapText="1"/>
    </xf>
    <xf numFmtId="9" fontId="0" fillId="25" borderId="1" xfId="0" applyNumberFormat="1" applyFill="1" applyBorder="1" applyAlignment="1">
      <alignment horizontal="right" wrapText="1"/>
    </xf>
    <xf numFmtId="0" fontId="0" fillId="25" borderId="1" xfId="0" applyFill="1" applyBorder="1" applyAlignment="1">
      <alignment horizontal="right" wrapText="1"/>
    </xf>
    <xf numFmtId="9" fontId="0" fillId="25" borderId="1" xfId="0" applyNumberFormat="1" applyFill="1" applyBorder="1" applyAlignment="1">
      <alignment wrapText="1"/>
    </xf>
    <xf numFmtId="0" fontId="8" fillId="25" borderId="0" xfId="0" applyFont="1" applyFill="1" applyBorder="1"/>
    <xf numFmtId="0" fontId="0" fillId="25" borderId="8" xfId="0" applyFill="1" applyBorder="1"/>
    <xf numFmtId="0" fontId="0" fillId="25" borderId="9" xfId="0" applyFill="1" applyBorder="1"/>
    <xf numFmtId="0" fontId="0" fillId="25" borderId="9" xfId="0" applyFill="1" applyBorder="1" applyAlignment="1">
      <alignment wrapText="1"/>
    </xf>
    <xf numFmtId="0" fontId="0" fillId="25" borderId="13" xfId="0" applyFill="1" applyBorder="1"/>
    <xf numFmtId="0" fontId="0" fillId="25" borderId="0" xfId="0" applyFill="1" applyBorder="1" applyAlignment="1">
      <alignment horizontal="right" wrapText="1"/>
    </xf>
    <xf numFmtId="0" fontId="0" fillId="25" borderId="0" xfId="0" applyFill="1" applyBorder="1" applyAlignment="1">
      <alignment horizontal="left" wrapText="1"/>
    </xf>
    <xf numFmtId="0" fontId="0" fillId="25" borderId="9" xfId="0" applyFill="1" applyBorder="1" applyAlignment="1">
      <alignment horizontal="left" wrapText="1"/>
    </xf>
    <xf numFmtId="164" fontId="5" fillId="25" borderId="1" xfId="1" applyNumberFormat="1" applyFont="1" applyFill="1" applyBorder="1" applyAlignment="1">
      <alignment horizontal="left" wrapText="1"/>
    </xf>
    <xf numFmtId="3" fontId="0" fillId="25" borderId="1" xfId="0" applyNumberFormat="1" applyFill="1" applyBorder="1" applyAlignment="1">
      <alignment horizontal="right" wrapText="1"/>
    </xf>
    <xf numFmtId="16" fontId="0" fillId="25" borderId="1" xfId="0" applyNumberFormat="1" applyFill="1" applyBorder="1" applyAlignment="1">
      <alignment horizontal="right" wrapText="1"/>
    </xf>
    <xf numFmtId="9" fontId="5" fillId="25" borderId="1" xfId="2" applyFont="1" applyFill="1" applyBorder="1" applyAlignment="1">
      <alignment horizontal="right" wrapText="1"/>
    </xf>
    <xf numFmtId="165" fontId="0" fillId="25" borderId="1" xfId="0" applyNumberFormat="1" applyFill="1" applyBorder="1" applyAlignment="1">
      <alignment horizontal="right" wrapText="1"/>
    </xf>
    <xf numFmtId="164" fontId="5" fillId="25" borderId="1" xfId="1" applyNumberFormat="1" applyFont="1" applyFill="1" applyBorder="1" applyAlignment="1">
      <alignment wrapText="1"/>
    </xf>
    <xf numFmtId="16" fontId="0" fillId="25" borderId="1" xfId="0" quotePrefix="1" applyNumberFormat="1" applyFill="1" applyBorder="1" applyAlignment="1">
      <alignment horizontal="right" wrapText="1"/>
    </xf>
    <xf numFmtId="0" fontId="3" fillId="25" borderId="0" xfId="0" applyFont="1" applyFill="1" applyBorder="1" applyAlignment="1">
      <alignment horizontal="justify"/>
    </xf>
    <xf numFmtId="0" fontId="1" fillId="25" borderId="0" xfId="0" applyFont="1" applyFill="1" applyBorder="1" applyAlignment="1">
      <alignment horizontal="justify"/>
    </xf>
    <xf numFmtId="164" fontId="0" fillId="25" borderId="1" xfId="0" applyNumberFormat="1" applyFill="1" applyBorder="1" applyAlignment="1">
      <alignment horizontal="right" wrapText="1"/>
    </xf>
    <xf numFmtId="0" fontId="2" fillId="25" borderId="0" xfId="0" applyFont="1" applyFill="1" applyBorder="1"/>
    <xf numFmtId="3" fontId="0" fillId="25" borderId="1" xfId="0" applyNumberFormat="1" applyFill="1" applyBorder="1" applyAlignment="1">
      <alignment wrapText="1"/>
    </xf>
    <xf numFmtId="164" fontId="0" fillId="25" borderId="1" xfId="0" applyNumberFormat="1" applyFill="1" applyBorder="1" applyAlignment="1">
      <alignment wrapText="1"/>
    </xf>
    <xf numFmtId="165" fontId="0" fillId="25" borderId="1" xfId="0" applyNumberFormat="1" applyFill="1" applyBorder="1" applyAlignment="1">
      <alignment wrapText="1"/>
    </xf>
    <xf numFmtId="0" fontId="3" fillId="23" borderId="0" xfId="0" applyFont="1" applyFill="1" applyBorder="1" applyAlignment="1">
      <alignment horizontal="justify"/>
    </xf>
    <xf numFmtId="0" fontId="3" fillId="17" borderId="0" xfId="0" applyFont="1" applyFill="1" applyBorder="1" applyAlignment="1">
      <alignment horizontal="center"/>
    </xf>
    <xf numFmtId="0" fontId="3" fillId="23" borderId="0" xfId="0" applyFont="1" applyFill="1" applyBorder="1" applyAlignment="1">
      <alignment horizontal="justify"/>
    </xf>
    <xf numFmtId="0" fontId="1" fillId="23" borderId="1" xfId="0" applyFont="1" applyFill="1" applyBorder="1" applyAlignment="1">
      <alignment horizontal="left" wrapText="1"/>
    </xf>
    <xf numFmtId="41" fontId="5" fillId="2" borderId="1" xfId="1" applyNumberFormat="1" applyFont="1" applyFill="1" applyBorder="1"/>
    <xf numFmtId="0" fontId="1" fillId="0" borderId="1" xfId="0" applyFont="1" applyBorder="1" applyAlignment="1">
      <alignment horizontal="center"/>
    </xf>
    <xf numFmtId="0" fontId="1" fillId="0" borderId="1" xfId="0" applyFont="1" applyBorder="1"/>
    <xf numFmtId="164" fontId="1" fillId="0" borderId="1" xfId="1" applyNumberFormat="1" applyFont="1" applyBorder="1"/>
    <xf numFmtId="0" fontId="1" fillId="0" borderId="0" xfId="0" applyFont="1"/>
    <xf numFmtId="0" fontId="20" fillId="0" borderId="0" xfId="0" applyFont="1"/>
    <xf numFmtId="0" fontId="20" fillId="0" borderId="0" xfId="0" applyFont="1" applyAlignment="1">
      <alignment horizontal="right"/>
    </xf>
    <xf numFmtId="0" fontId="0" fillId="0" borderId="0" xfId="0" applyAlignment="1">
      <alignment horizontal="right"/>
    </xf>
    <xf numFmtId="0" fontId="20" fillId="0" borderId="27" xfId="0" applyFont="1" applyBorder="1" applyAlignment="1">
      <alignment horizontal="right"/>
    </xf>
    <xf numFmtId="164" fontId="5" fillId="0" borderId="8" xfId="1" applyNumberFormat="1" applyFont="1" applyFill="1" applyBorder="1"/>
    <xf numFmtId="164" fontId="5" fillId="0" borderId="9" xfId="1" applyNumberFormat="1" applyFont="1" applyFill="1" applyBorder="1"/>
    <xf numFmtId="164" fontId="5" fillId="0" borderId="13" xfId="1" applyNumberFormat="1" applyFont="1" applyFill="1" applyBorder="1"/>
    <xf numFmtId="0" fontId="1" fillId="4" borderId="14" xfId="0" applyFont="1" applyFill="1" applyBorder="1" applyAlignment="1">
      <alignment horizontal="center"/>
    </xf>
    <xf numFmtId="0" fontId="3" fillId="0" borderId="0" xfId="0" applyFont="1" applyFill="1"/>
    <xf numFmtId="0" fontId="3" fillId="23" borderId="0" xfId="0" applyFont="1" applyFill="1" applyBorder="1" applyAlignment="1">
      <alignment horizontal="justify"/>
    </xf>
    <xf numFmtId="0" fontId="1" fillId="18" borderId="1" xfId="0" applyFont="1" applyFill="1" applyBorder="1" applyAlignment="1">
      <alignment wrapText="1"/>
    </xf>
    <xf numFmtId="0" fontId="1" fillId="23" borderId="1" xfId="0" applyFont="1" applyFill="1" applyBorder="1" applyAlignment="1">
      <alignment wrapText="1"/>
    </xf>
    <xf numFmtId="14" fontId="1" fillId="23" borderId="1" xfId="0" applyNumberFormat="1" applyFont="1" applyFill="1" applyBorder="1" applyAlignment="1">
      <alignment horizontal="left" wrapText="1"/>
    </xf>
    <xf numFmtId="0" fontId="7" fillId="23" borderId="0" xfId="0" applyFont="1" applyFill="1" applyBorder="1" applyAlignment="1">
      <alignment horizontal="justify"/>
    </xf>
    <xf numFmtId="14" fontId="6" fillId="4" borderId="14" xfId="0" applyNumberFormat="1" applyFont="1" applyFill="1" applyBorder="1" applyAlignment="1">
      <alignment horizontal="center"/>
    </xf>
    <xf numFmtId="14" fontId="9" fillId="0" borderId="2" xfId="0" applyNumberFormat="1" applyFont="1" applyBorder="1"/>
    <xf numFmtId="0" fontId="3" fillId="23" borderId="0" xfId="0" applyFont="1" applyFill="1" applyBorder="1" applyAlignment="1">
      <alignment horizontal="justify"/>
    </xf>
    <xf numFmtId="0" fontId="1" fillId="0" borderId="0" xfId="0" applyFont="1" applyBorder="1"/>
    <xf numFmtId="0" fontId="1" fillId="0" borderId="0" xfId="0" applyFont="1" applyBorder="1" applyAlignment="1">
      <alignment horizontal="center"/>
    </xf>
    <xf numFmtId="0" fontId="21" fillId="0" borderId="29" xfId="0" applyFont="1" applyBorder="1"/>
    <xf numFmtId="0" fontId="21" fillId="0" borderId="29" xfId="0" applyFont="1" applyFill="1" applyBorder="1"/>
    <xf numFmtId="171" fontId="0" fillId="0" borderId="0" xfId="0" applyNumberFormat="1"/>
    <xf numFmtId="172" fontId="1" fillId="0" borderId="0" xfId="0" applyNumberFormat="1" applyFont="1" applyFill="1" applyBorder="1"/>
    <xf numFmtId="172" fontId="0" fillId="0" borderId="0" xfId="0" applyNumberFormat="1" applyBorder="1"/>
    <xf numFmtId="172" fontId="5" fillId="0" borderId="0" xfId="0" applyNumberFormat="1" applyFont="1" applyBorder="1"/>
    <xf numFmtId="172" fontId="5" fillId="0" borderId="0" xfId="2" applyNumberFormat="1" applyFont="1" applyBorder="1" applyAlignment="1">
      <alignment horizontal="center"/>
    </xf>
    <xf numFmtId="172" fontId="0" fillId="0" borderId="0" xfId="0" applyNumberFormat="1"/>
    <xf numFmtId="172" fontId="0" fillId="0" borderId="27" xfId="0" applyNumberFormat="1" applyBorder="1"/>
    <xf numFmtId="0" fontId="21" fillId="0" borderId="0" xfId="0" applyFont="1" applyFill="1" applyBorder="1"/>
    <xf numFmtId="0" fontId="7" fillId="23" borderId="0" xfId="0" applyFont="1" applyFill="1" applyBorder="1" applyAlignment="1">
      <alignment horizontal="justify"/>
    </xf>
    <xf numFmtId="0" fontId="3" fillId="23" borderId="0" xfId="0" applyFont="1" applyFill="1" applyBorder="1" applyAlignment="1">
      <alignment horizontal="justify"/>
    </xf>
    <xf numFmtId="0" fontId="0" fillId="25" borderId="1" xfId="0" applyNumberFormat="1" applyFill="1" applyBorder="1" applyAlignment="1">
      <alignment horizontal="right" wrapText="1"/>
    </xf>
    <xf numFmtId="3" fontId="0" fillId="0" borderId="0" xfId="0" applyNumberFormat="1"/>
    <xf numFmtId="0" fontId="20" fillId="0" borderId="0" xfId="0" applyFont="1" applyBorder="1" applyAlignment="1">
      <alignment horizontal="right"/>
    </xf>
    <xf numFmtId="0" fontId="0" fillId="0" borderId="0" xfId="0" applyFont="1" applyFill="1" applyBorder="1"/>
    <xf numFmtId="16" fontId="0" fillId="0" borderId="0" xfId="0" applyNumberFormat="1"/>
    <xf numFmtId="1" fontId="22" fillId="0" borderId="0" xfId="0" applyNumberFormat="1" applyFont="1"/>
    <xf numFmtId="0" fontId="22" fillId="0" borderId="0" xfId="0" applyFont="1"/>
    <xf numFmtId="0" fontId="7" fillId="23" borderId="0" xfId="0" applyFont="1" applyFill="1" applyBorder="1" applyAlignment="1">
      <alignment horizontal="justify"/>
    </xf>
    <xf numFmtId="0" fontId="3" fillId="23" borderId="0" xfId="0" applyFont="1" applyFill="1" applyBorder="1" applyAlignment="1">
      <alignment horizontal="justify"/>
    </xf>
    <xf numFmtId="0" fontId="3" fillId="0" borderId="36" xfId="0" applyFont="1" applyFill="1" applyBorder="1"/>
    <xf numFmtId="172" fontId="0" fillId="25" borderId="1" xfId="0" applyNumberFormat="1" applyFill="1" applyBorder="1" applyAlignment="1">
      <alignment horizontal="right" wrapText="1"/>
    </xf>
    <xf numFmtId="164" fontId="23" fillId="0" borderId="0" xfId="1" applyNumberFormat="1" applyFont="1"/>
    <xf numFmtId="173" fontId="0" fillId="0" borderId="0" xfId="0" applyNumberFormat="1"/>
    <xf numFmtId="8" fontId="0" fillId="0" borderId="0" xfId="0" applyNumberFormat="1"/>
    <xf numFmtId="0" fontId="20" fillId="0" borderId="0" xfId="0" applyFont="1" applyFill="1"/>
    <xf numFmtId="3" fontId="0" fillId="0" borderId="1" xfId="0" applyNumberFormat="1" applyFill="1" applyBorder="1" applyAlignment="1">
      <alignment horizontal="right"/>
    </xf>
    <xf numFmtId="0" fontId="0" fillId="27" borderId="0" xfId="0" applyFill="1"/>
    <xf numFmtId="1" fontId="0" fillId="0" borderId="0" xfId="0" applyNumberFormat="1"/>
    <xf numFmtId="13" fontId="0" fillId="0" borderId="0" xfId="0" quotePrefix="1" applyNumberFormat="1" applyBorder="1"/>
    <xf numFmtId="1" fontId="0" fillId="0" borderId="0" xfId="0" applyNumberFormat="1" applyFill="1" applyBorder="1"/>
    <xf numFmtId="173" fontId="0" fillId="27" borderId="0" xfId="0" applyNumberFormat="1" applyFill="1"/>
    <xf numFmtId="0" fontId="0" fillId="0" borderId="0" xfId="0" applyNumberFormat="1"/>
    <xf numFmtId="0" fontId="0" fillId="0" borderId="0" xfId="0" applyNumberFormat="1" applyAlignment="1">
      <alignment horizontal="right"/>
    </xf>
    <xf numFmtId="173" fontId="0" fillId="27" borderId="0" xfId="0" applyNumberFormat="1" applyFill="1" applyBorder="1"/>
    <xf numFmtId="6" fontId="0" fillId="0" borderId="0" xfId="0" applyNumberFormat="1" applyFill="1" applyBorder="1"/>
    <xf numFmtId="0" fontId="20" fillId="27" borderId="15" xfId="0" applyFont="1" applyFill="1" applyBorder="1"/>
    <xf numFmtId="174" fontId="5" fillId="2" borderId="1" xfId="1" applyNumberFormat="1" applyFont="1" applyFill="1" applyBorder="1"/>
    <xf numFmtId="0" fontId="20" fillId="0" borderId="0" xfId="0" applyFont="1" applyFill="1" applyBorder="1"/>
    <xf numFmtId="0" fontId="0" fillId="27" borderId="32" xfId="0" applyFill="1" applyBorder="1"/>
    <xf numFmtId="0" fontId="0" fillId="27" borderId="33" xfId="0" applyFill="1" applyBorder="1"/>
    <xf numFmtId="8" fontId="0" fillId="25" borderId="0" xfId="0" applyNumberFormat="1" applyFill="1" applyBorder="1"/>
    <xf numFmtId="0" fontId="1" fillId="0" borderId="0" xfId="0" applyFont="1" applyAlignment="1">
      <alignment horizontal="center"/>
    </xf>
    <xf numFmtId="0" fontId="1" fillId="0" borderId="0" xfId="0" applyNumberFormat="1" applyFont="1" applyAlignment="1">
      <alignment horizontal="center"/>
    </xf>
    <xf numFmtId="0" fontId="1" fillId="0" borderId="0" xfId="0" applyFont="1" applyAlignment="1">
      <alignment horizontal="right"/>
    </xf>
    <xf numFmtId="164" fontId="1" fillId="0" borderId="1" xfId="0" applyNumberFormat="1" applyFont="1" applyBorder="1"/>
    <xf numFmtId="164" fontId="1" fillId="0" borderId="1" xfId="0" applyNumberFormat="1" applyFont="1" applyFill="1" applyBorder="1"/>
    <xf numFmtId="0" fontId="1" fillId="0" borderId="0" xfId="0" applyFont="1" applyFill="1"/>
    <xf numFmtId="43" fontId="1" fillId="0" borderId="1" xfId="0" applyNumberFormat="1" applyFont="1" applyBorder="1"/>
    <xf numFmtId="43" fontId="1" fillId="0" borderId="12" xfId="0" applyNumberFormat="1" applyFont="1" applyBorder="1"/>
    <xf numFmtId="43" fontId="1" fillId="0" borderId="16" xfId="0" applyNumberFormat="1" applyFont="1" applyBorder="1"/>
    <xf numFmtId="43" fontId="1" fillId="0" borderId="1" xfId="1" applyFont="1" applyBorder="1"/>
    <xf numFmtId="43" fontId="1" fillId="0" borderId="0" xfId="0" applyNumberFormat="1" applyFont="1" applyBorder="1"/>
    <xf numFmtId="0" fontId="1" fillId="0" borderId="0" xfId="0" applyFont="1" applyFill="1" applyAlignment="1">
      <alignment horizontal="center"/>
    </xf>
    <xf numFmtId="0" fontId="1" fillId="0" borderId="12" xfId="0" applyFont="1" applyBorder="1" applyAlignment="1">
      <alignment horizontal="center"/>
    </xf>
    <xf numFmtId="43" fontId="1" fillId="0" borderId="26" xfId="1" applyFont="1" applyBorder="1"/>
    <xf numFmtId="43" fontId="1" fillId="0" borderId="27" xfId="1" applyFont="1" applyBorder="1"/>
    <xf numFmtId="0" fontId="2" fillId="0" borderId="0" xfId="0" applyFont="1"/>
    <xf numFmtId="9" fontId="2" fillId="0" borderId="15" xfId="2" applyFont="1" applyBorder="1"/>
    <xf numFmtId="164" fontId="24" fillId="25" borderId="1" xfId="0" applyNumberFormat="1" applyFont="1" applyFill="1" applyBorder="1" applyAlignment="1">
      <alignment horizontal="right" wrapText="1"/>
    </xf>
    <xf numFmtId="9" fontId="0" fillId="0" borderId="13" xfId="0" applyNumberFormat="1" applyBorder="1" applyAlignment="1">
      <alignment horizontal="center"/>
    </xf>
    <xf numFmtId="164" fontId="0" fillId="2" borderId="37" xfId="0" applyNumberFormat="1" applyFill="1" applyBorder="1" applyAlignment="1">
      <alignment wrapText="1"/>
    </xf>
    <xf numFmtId="43" fontId="0" fillId="28" borderId="36" xfId="0" applyNumberFormat="1" applyFill="1" applyBorder="1" applyAlignment="1">
      <alignment wrapText="1"/>
    </xf>
    <xf numFmtId="0" fontId="0" fillId="28" borderId="32" xfId="0" applyFill="1" applyBorder="1" applyAlignment="1">
      <alignment horizontal="center"/>
    </xf>
    <xf numFmtId="43" fontId="20" fillId="28" borderId="15" xfId="0" applyNumberFormat="1" applyFont="1" applyFill="1" applyBorder="1"/>
    <xf numFmtId="43" fontId="20" fillId="28" borderId="33" xfId="0" applyNumberFormat="1" applyFont="1" applyFill="1" applyBorder="1" applyAlignment="1">
      <alignment horizontal="center"/>
    </xf>
    <xf numFmtId="165" fontId="5" fillId="0" borderId="0" xfId="2" applyNumberFormat="1" applyFont="1" applyBorder="1" applyAlignment="1">
      <alignment horizontal="left"/>
    </xf>
    <xf numFmtId="0" fontId="0" fillId="0" borderId="0" xfId="0" applyFill="1" applyBorder="1" applyAlignment="1">
      <alignment horizontal="left"/>
    </xf>
    <xf numFmtId="10" fontId="0" fillId="0" borderId="0" xfId="0" applyNumberFormat="1" applyBorder="1"/>
    <xf numFmtId="3" fontId="0" fillId="26" borderId="0" xfId="0" applyNumberFormat="1" applyFill="1"/>
    <xf numFmtId="10" fontId="0" fillId="26" borderId="0" xfId="0" applyNumberFormat="1" applyFill="1"/>
    <xf numFmtId="9" fontId="0" fillId="0" borderId="0" xfId="0" applyNumberFormat="1"/>
    <xf numFmtId="164" fontId="0" fillId="0" borderId="0" xfId="1" applyNumberFormat="1" applyFont="1"/>
    <xf numFmtId="49" fontId="0" fillId="0" borderId="34" xfId="0" applyNumberFormat="1" applyFill="1" applyBorder="1" applyAlignment="1">
      <alignment horizontal="center"/>
    </xf>
    <xf numFmtId="0" fontId="1" fillId="12" borderId="6" xfId="0" applyFont="1" applyFill="1" applyBorder="1" applyAlignment="1">
      <alignment horizontal="center"/>
    </xf>
    <xf numFmtId="0" fontId="7" fillId="23" borderId="0" xfId="0" applyFont="1" applyFill="1" applyBorder="1" applyAlignment="1">
      <alignment horizontal="justify"/>
    </xf>
    <xf numFmtId="0" fontId="3" fillId="23" borderId="0" xfId="0" applyFont="1" applyFill="1" applyBorder="1" applyAlignment="1">
      <alignment horizontal="justify"/>
    </xf>
    <xf numFmtId="14" fontId="0" fillId="18" borderId="1" xfId="0" applyNumberFormat="1" applyFill="1" applyBorder="1" applyAlignment="1">
      <alignment horizontal="left" wrapText="1"/>
    </xf>
    <xf numFmtId="0" fontId="20" fillId="19" borderId="1" xfId="0" applyFont="1" applyFill="1" applyBorder="1" applyAlignment="1">
      <alignment vertical="center" wrapText="1"/>
    </xf>
    <xf numFmtId="9" fontId="0" fillId="25" borderId="0" xfId="0" applyNumberFormat="1" applyFill="1" applyBorder="1" applyAlignment="1">
      <alignment wrapText="1"/>
    </xf>
    <xf numFmtId="0" fontId="3" fillId="18" borderId="0" xfId="0" applyFont="1" applyFill="1" applyBorder="1" applyAlignment="1">
      <alignment horizontal="justify"/>
    </xf>
    <xf numFmtId="0" fontId="22" fillId="0" borderId="0" xfId="0" applyFont="1" applyAlignment="1">
      <alignment horizontal="center"/>
    </xf>
    <xf numFmtId="0" fontId="22" fillId="0" borderId="15" xfId="0" applyFont="1" applyBorder="1" applyAlignment="1">
      <alignment horizontal="center"/>
    </xf>
    <xf numFmtId="3" fontId="20" fillId="0" borderId="15" xfId="0" applyNumberFormat="1" applyFont="1" applyBorder="1"/>
    <xf numFmtId="0" fontId="7" fillId="23" borderId="0" xfId="0" applyFont="1" applyFill="1" applyBorder="1" applyAlignment="1">
      <alignment horizontal="justify"/>
    </xf>
    <xf numFmtId="0" fontId="3" fillId="23" borderId="0" xfId="0" applyFont="1" applyFill="1" applyBorder="1" applyAlignment="1">
      <alignment horizontal="justify"/>
    </xf>
    <xf numFmtId="0" fontId="26" fillId="24" borderId="0" xfId="0" applyFont="1" applyFill="1"/>
    <xf numFmtId="0" fontId="0" fillId="25" borderId="0" xfId="0" applyFill="1" applyAlignment="1">
      <alignment wrapText="1"/>
    </xf>
    <xf numFmtId="0" fontId="27" fillId="24" borderId="1" xfId="0" applyFont="1" applyFill="1" applyBorder="1" applyAlignment="1">
      <alignment wrapText="1"/>
    </xf>
    <xf numFmtId="0" fontId="27" fillId="25" borderId="1" xfId="0" applyFont="1" applyFill="1" applyBorder="1" applyAlignment="1">
      <alignment wrapText="1"/>
    </xf>
    <xf numFmtId="43" fontId="0" fillId="0" borderId="0" xfId="0" applyNumberFormat="1" applyAlignment="1">
      <alignment horizontal="center"/>
    </xf>
    <xf numFmtId="0" fontId="3" fillId="23" borderId="0" xfId="0" applyFont="1" applyFill="1" applyBorder="1" applyAlignment="1">
      <alignment horizontal="justify"/>
    </xf>
    <xf numFmtId="0" fontId="0" fillId="29" borderId="0" xfId="0" applyFill="1"/>
    <xf numFmtId="0" fontId="3" fillId="23" borderId="0" xfId="0" applyFont="1" applyFill="1" applyBorder="1" applyAlignment="1">
      <alignment horizontal="justify"/>
    </xf>
    <xf numFmtId="44" fontId="0" fillId="0" borderId="0" xfId="3" applyFont="1"/>
    <xf numFmtId="6" fontId="0" fillId="0" borderId="0" xfId="0" applyNumberFormat="1"/>
    <xf numFmtId="13" fontId="0" fillId="0" borderId="0" xfId="0" quotePrefix="1" applyNumberFormat="1"/>
    <xf numFmtId="0" fontId="0" fillId="0" borderId="19" xfId="0" applyBorder="1"/>
    <xf numFmtId="0" fontId="0" fillId="0" borderId="28" xfId="0" applyBorder="1"/>
    <xf numFmtId="0" fontId="0" fillId="0" borderId="20" xfId="0" applyBorder="1"/>
    <xf numFmtId="0" fontId="31" fillId="0" borderId="22" xfId="0" applyFont="1" applyBorder="1"/>
    <xf numFmtId="0" fontId="0" fillId="0" borderId="21" xfId="0" applyBorder="1"/>
    <xf numFmtId="0" fontId="30" fillId="0" borderId="22" xfId="0" applyFont="1" applyBorder="1"/>
    <xf numFmtId="0" fontId="30" fillId="0" borderId="0" xfId="0" applyFont="1" applyBorder="1"/>
    <xf numFmtId="0" fontId="0" fillId="0" borderId="52" xfId="0" applyBorder="1"/>
    <xf numFmtId="0" fontId="0" fillId="0" borderId="29" xfId="0" applyBorder="1"/>
    <xf numFmtId="0" fontId="0" fillId="0" borderId="53" xfId="0" applyBorder="1"/>
    <xf numFmtId="0" fontId="0" fillId="0" borderId="19" xfId="0" applyFill="1" applyBorder="1"/>
    <xf numFmtId="0" fontId="30" fillId="0" borderId="0" xfId="0" applyFont="1"/>
    <xf numFmtId="175" fontId="0" fillId="0" borderId="0" xfId="0" applyNumberFormat="1"/>
    <xf numFmtId="9" fontId="23" fillId="0" borderId="0" xfId="2" applyFont="1"/>
    <xf numFmtId="164" fontId="23" fillId="0" borderId="0" xfId="1" applyNumberFormat="1" applyFont="1" applyBorder="1"/>
    <xf numFmtId="10" fontId="23" fillId="0" borderId="0" xfId="2" applyNumberFormat="1" applyFont="1" applyBorder="1"/>
    <xf numFmtId="10" fontId="0" fillId="0" borderId="0" xfId="0" applyNumberFormat="1"/>
    <xf numFmtId="166" fontId="0" fillId="0" borderId="0" xfId="0" applyNumberFormat="1"/>
    <xf numFmtId="165" fontId="23" fillId="0" borderId="0" xfId="2" applyNumberFormat="1" applyFont="1" applyBorder="1"/>
    <xf numFmtId="170" fontId="0" fillId="0" borderId="0" xfId="0" applyNumberFormat="1" applyBorder="1"/>
    <xf numFmtId="164" fontId="23" fillId="0" borderId="20" xfId="1" applyNumberFormat="1" applyFont="1" applyBorder="1"/>
    <xf numFmtId="164" fontId="0" fillId="0" borderId="53" xfId="0" applyNumberFormat="1" applyBorder="1"/>
    <xf numFmtId="0" fontId="0" fillId="27" borderId="36" xfId="0" applyFill="1" applyBorder="1"/>
    <xf numFmtId="0" fontId="14" fillId="0" borderId="0" xfId="0" applyFont="1" applyBorder="1"/>
    <xf numFmtId="0" fontId="0" fillId="0" borderId="0" xfId="0" applyBorder="1" applyAlignment="1">
      <alignment horizontal="left" wrapText="1"/>
    </xf>
    <xf numFmtId="0" fontId="13" fillId="0" borderId="0" xfId="0" applyFont="1" applyBorder="1"/>
    <xf numFmtId="0" fontId="20" fillId="0" borderId="0" xfId="0" applyFont="1" applyBorder="1"/>
    <xf numFmtId="3" fontId="0" fillId="0" borderId="1" xfId="0" applyNumberFormat="1" applyBorder="1"/>
    <xf numFmtId="169" fontId="0" fillId="0" borderId="0" xfId="0" applyNumberFormat="1"/>
    <xf numFmtId="0" fontId="0" fillId="29" borderId="1" xfId="0" applyFill="1" applyBorder="1"/>
    <xf numFmtId="6" fontId="27" fillId="25" borderId="1" xfId="0" applyNumberFormat="1" applyFont="1" applyFill="1" applyBorder="1"/>
    <xf numFmtId="0" fontId="25" fillId="24" borderId="1" xfId="0" applyFont="1" applyFill="1" applyBorder="1" applyAlignment="1">
      <alignment wrapText="1"/>
    </xf>
    <xf numFmtId="0" fontId="1" fillId="0" borderId="0" xfId="0" applyFont="1" applyBorder="1" applyAlignment="1">
      <alignment horizontal="right"/>
    </xf>
    <xf numFmtId="169" fontId="1" fillId="0" borderId="0" xfId="0" applyNumberFormat="1" applyFont="1" applyBorder="1"/>
    <xf numFmtId="0" fontId="0" fillId="29" borderId="18" xfId="0" applyFill="1" applyBorder="1"/>
    <xf numFmtId="0" fontId="0" fillId="29" borderId="16" xfId="0" applyFill="1" applyBorder="1"/>
    <xf numFmtId="176" fontId="0" fillId="0" borderId="0" xfId="0" applyNumberFormat="1"/>
    <xf numFmtId="3" fontId="0" fillId="29" borderId="16" xfId="0" applyNumberFormat="1" applyFill="1" applyBorder="1"/>
    <xf numFmtId="43" fontId="0" fillId="27" borderId="37" xfId="0" applyNumberFormat="1" applyFill="1" applyBorder="1"/>
    <xf numFmtId="41" fontId="5" fillId="3" borderId="10" xfId="1" applyNumberFormat="1" applyFont="1" applyFill="1" applyBorder="1"/>
    <xf numFmtId="0" fontId="0" fillId="0" borderId="33" xfId="0" applyFill="1" applyBorder="1" applyAlignment="1">
      <alignment horizontal="center"/>
    </xf>
    <xf numFmtId="0" fontId="6" fillId="0" borderId="36" xfId="0" applyFont="1" applyFill="1" applyBorder="1"/>
    <xf numFmtId="3" fontId="5" fillId="2" borderId="5" xfId="1" applyNumberFormat="1" applyFont="1" applyFill="1" applyBorder="1"/>
    <xf numFmtId="3" fontId="5" fillId="2" borderId="0" xfId="1" applyNumberFormat="1" applyFont="1" applyFill="1" applyBorder="1"/>
    <xf numFmtId="3" fontId="5" fillId="2" borderId="2" xfId="1" applyNumberFormat="1" applyFont="1" applyFill="1" applyBorder="1"/>
    <xf numFmtId="3" fontId="0" fillId="2" borderId="4" xfId="0" applyNumberFormat="1" applyFill="1" applyBorder="1"/>
    <xf numFmtId="3" fontId="0" fillId="2" borderId="0" xfId="0" applyNumberFormat="1" applyFill="1" applyBorder="1"/>
    <xf numFmtId="3" fontId="0" fillId="2" borderId="7" xfId="0" applyNumberFormat="1" applyFill="1" applyBorder="1"/>
    <xf numFmtId="3" fontId="5" fillId="10" borderId="2" xfId="1" applyNumberFormat="1" applyFont="1" applyFill="1" applyBorder="1"/>
    <xf numFmtId="3" fontId="0" fillId="10" borderId="4" xfId="0" applyNumberFormat="1" applyFill="1" applyBorder="1"/>
    <xf numFmtId="3" fontId="0" fillId="10" borderId="7" xfId="0" applyNumberFormat="1" applyFill="1" applyBorder="1"/>
    <xf numFmtId="3" fontId="0" fillId="10" borderId="13" xfId="0" applyNumberFormat="1" applyFill="1" applyBorder="1"/>
    <xf numFmtId="3" fontId="5" fillId="13" borderId="5" xfId="1" applyNumberFormat="1" applyFont="1" applyFill="1" applyBorder="1"/>
    <xf numFmtId="3" fontId="0" fillId="13" borderId="7" xfId="0" applyNumberFormat="1" applyFill="1" applyBorder="1"/>
    <xf numFmtId="3" fontId="5" fillId="5" borderId="2" xfId="1" applyNumberFormat="1" applyFont="1" applyFill="1" applyBorder="1"/>
    <xf numFmtId="3" fontId="0" fillId="5" borderId="4" xfId="0" applyNumberFormat="1" applyFill="1" applyBorder="1"/>
    <xf numFmtId="3" fontId="5" fillId="5" borderId="5" xfId="1" applyNumberFormat="1" applyFont="1" applyFill="1" applyBorder="1"/>
    <xf numFmtId="3" fontId="0" fillId="5" borderId="7" xfId="0" applyNumberFormat="1" applyFill="1" applyBorder="1"/>
    <xf numFmtId="3" fontId="5" fillId="14" borderId="2" xfId="1" applyNumberFormat="1" applyFont="1" applyFill="1" applyBorder="1"/>
    <xf numFmtId="3" fontId="0" fillId="14" borderId="4" xfId="0" applyNumberFormat="1" applyFill="1" applyBorder="1"/>
    <xf numFmtId="3" fontId="5" fillId="14" borderId="5" xfId="1" applyNumberFormat="1" applyFont="1" applyFill="1" applyBorder="1"/>
    <xf numFmtId="3" fontId="0" fillId="14" borderId="7" xfId="0" applyNumberFormat="1" applyFill="1" applyBorder="1"/>
    <xf numFmtId="3" fontId="5" fillId="15" borderId="2" xfId="1" applyNumberFormat="1" applyFont="1" applyFill="1" applyBorder="1"/>
    <xf numFmtId="3" fontId="0" fillId="15" borderId="4" xfId="0" applyNumberFormat="1" applyFill="1" applyBorder="1"/>
    <xf numFmtId="3" fontId="5" fillId="15" borderId="5" xfId="1" applyNumberFormat="1" applyFont="1" applyFill="1" applyBorder="1"/>
    <xf numFmtId="3" fontId="0" fillId="15" borderId="7" xfId="0" applyNumberFormat="1" applyFill="1" applyBorder="1"/>
    <xf numFmtId="0" fontId="0" fillId="30" borderId="40" xfId="0" applyFill="1" applyBorder="1"/>
    <xf numFmtId="0" fontId="6" fillId="2" borderId="2" xfId="0" applyFont="1" applyFill="1" applyBorder="1" applyAlignment="1">
      <alignment horizontal="center"/>
    </xf>
    <xf numFmtId="0" fontId="6" fillId="2" borderId="5" xfId="0" applyFont="1" applyFill="1" applyBorder="1" applyAlignment="1">
      <alignment horizontal="center"/>
    </xf>
    <xf numFmtId="0" fontId="1" fillId="2" borderId="5" xfId="0" applyFont="1" applyFill="1" applyBorder="1" applyAlignment="1">
      <alignment horizontal="center"/>
    </xf>
    <xf numFmtId="3" fontId="5" fillId="2" borderId="15" xfId="1" applyNumberFormat="1" applyFont="1" applyFill="1" applyBorder="1"/>
    <xf numFmtId="3" fontId="5" fillId="10" borderId="32" xfId="1" applyNumberFormat="1" applyFont="1" applyFill="1" applyBorder="1"/>
    <xf numFmtId="3" fontId="5" fillId="13" borderId="2" xfId="1" applyNumberFormat="1" applyFont="1" applyFill="1" applyBorder="1"/>
    <xf numFmtId="3" fontId="0" fillId="13" borderId="4" xfId="0" applyNumberFormat="1" applyFill="1" applyBorder="1"/>
    <xf numFmtId="3" fontId="0" fillId="13" borderId="13" xfId="0" applyNumberFormat="1" applyFill="1" applyBorder="1"/>
    <xf numFmtId="3" fontId="5" fillId="5" borderId="0" xfId="1" applyNumberFormat="1" applyFont="1" applyFill="1" applyBorder="1"/>
    <xf numFmtId="3" fontId="0" fillId="14" borderId="13" xfId="0" applyNumberFormat="1" applyFill="1" applyBorder="1"/>
    <xf numFmtId="3" fontId="5" fillId="5" borderId="3" xfId="1" applyNumberFormat="1" applyFont="1" applyFill="1" applyBorder="1"/>
    <xf numFmtId="3" fontId="0" fillId="5" borderId="13" xfId="0" applyNumberFormat="1" applyFill="1" applyBorder="1"/>
    <xf numFmtId="3" fontId="5" fillId="13" borderId="15" xfId="1" applyNumberFormat="1" applyFont="1" applyFill="1" applyBorder="1"/>
    <xf numFmtId="3" fontId="5" fillId="5" borderId="15" xfId="1" applyNumberFormat="1" applyFont="1" applyFill="1" applyBorder="1"/>
    <xf numFmtId="3" fontId="5" fillId="14" borderId="15" xfId="1" applyNumberFormat="1" applyFont="1" applyFill="1" applyBorder="1"/>
    <xf numFmtId="0" fontId="0" fillId="0" borderId="16" xfId="0" applyBorder="1" applyAlignment="1">
      <alignment horizontal="center"/>
    </xf>
    <xf numFmtId="0" fontId="0" fillId="30" borderId="36" xfId="0" applyFont="1" applyFill="1" applyBorder="1" applyAlignment="1">
      <alignment vertical="top"/>
    </xf>
    <xf numFmtId="0" fontId="0" fillId="26" borderId="36" xfId="0" applyFont="1" applyFill="1" applyBorder="1" applyAlignment="1">
      <alignment vertical="top"/>
    </xf>
    <xf numFmtId="0" fontId="0" fillId="0" borderId="0" xfId="0" applyFill="1" applyAlignment="1">
      <alignment horizontal="center"/>
    </xf>
    <xf numFmtId="0" fontId="0" fillId="31" borderId="36" xfId="0" applyFont="1" applyFill="1" applyBorder="1" applyAlignment="1">
      <alignment vertical="top"/>
    </xf>
    <xf numFmtId="0" fontId="0" fillId="32" borderId="36" xfId="0" applyFont="1" applyFill="1" applyBorder="1" applyAlignment="1">
      <alignment vertical="top"/>
    </xf>
    <xf numFmtId="0" fontId="0" fillId="33" borderId="36" xfId="0" applyFont="1" applyFill="1" applyBorder="1" applyAlignment="1">
      <alignment vertical="top"/>
    </xf>
    <xf numFmtId="0" fontId="0" fillId="34" borderId="36" xfId="0" applyFont="1" applyFill="1" applyBorder="1" applyAlignment="1">
      <alignment vertical="top"/>
    </xf>
    <xf numFmtId="0" fontId="0" fillId="26" borderId="40" xfId="0" applyFill="1" applyBorder="1"/>
    <xf numFmtId="0" fontId="0" fillId="31" borderId="40" xfId="0" applyFill="1" applyBorder="1"/>
    <xf numFmtId="0" fontId="0" fillId="32" borderId="40" xfId="0" applyFill="1" applyBorder="1"/>
    <xf numFmtId="0" fontId="0" fillId="33" borderId="40" xfId="0" applyFill="1" applyBorder="1"/>
    <xf numFmtId="0" fontId="0" fillId="34" borderId="40" xfId="0" applyFill="1" applyBorder="1"/>
    <xf numFmtId="0" fontId="0" fillId="0" borderId="3" xfId="0" applyBorder="1" applyAlignment="1">
      <alignment wrapText="1"/>
    </xf>
    <xf numFmtId="164" fontId="5" fillId="0" borderId="9" xfId="1" applyNumberFormat="1" applyFont="1" applyBorder="1"/>
    <xf numFmtId="164" fontId="5" fillId="0" borderId="17" xfId="1" applyNumberFormat="1" applyFont="1" applyFill="1" applyBorder="1"/>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46" xfId="0" applyFont="1" applyBorder="1"/>
    <xf numFmtId="164" fontId="5" fillId="0" borderId="3" xfId="1" applyNumberFormat="1" applyFont="1" applyBorder="1"/>
    <xf numFmtId="164" fontId="5" fillId="0" borderId="56" xfId="1" applyNumberFormat="1" applyFont="1" applyFill="1" applyBorder="1"/>
    <xf numFmtId="164" fontId="21" fillId="0" borderId="15" xfId="0" applyNumberFormat="1" applyFont="1" applyFill="1" applyBorder="1"/>
    <xf numFmtId="177" fontId="0" fillId="0" borderId="0" xfId="0" applyNumberFormat="1"/>
    <xf numFmtId="3" fontId="0" fillId="0" borderId="0" xfId="0" applyNumberFormat="1" applyBorder="1" applyAlignment="1">
      <alignment horizontal="center"/>
    </xf>
    <xf numFmtId="0" fontId="0" fillId="26" borderId="2" xfId="0" applyFill="1" applyBorder="1"/>
    <xf numFmtId="0" fontId="0" fillId="26" borderId="3" xfId="0" applyFill="1" applyBorder="1"/>
    <xf numFmtId="0" fontId="0" fillId="26" borderId="8" xfId="0" applyFill="1" applyBorder="1"/>
    <xf numFmtId="0" fontId="0" fillId="26" borderId="9" xfId="0" applyFill="1" applyBorder="1"/>
    <xf numFmtId="0" fontId="0" fillId="28" borderId="5" xfId="0" applyFill="1" applyBorder="1"/>
    <xf numFmtId="0" fontId="0" fillId="28" borderId="0" xfId="0" applyFill="1" applyBorder="1"/>
    <xf numFmtId="0" fontId="0" fillId="31" borderId="5" xfId="0" applyFill="1" applyBorder="1"/>
    <xf numFmtId="0" fontId="0" fillId="31" borderId="0" xfId="0" applyFill="1" applyBorder="1"/>
    <xf numFmtId="0" fontId="0" fillId="28" borderId="2" xfId="0" applyFill="1" applyBorder="1"/>
    <xf numFmtId="0" fontId="0" fillId="28" borderId="8" xfId="0" applyFill="1" applyBorder="1"/>
    <xf numFmtId="0" fontId="0" fillId="32" borderId="5" xfId="0" applyFill="1" applyBorder="1"/>
    <xf numFmtId="0" fontId="0" fillId="32" borderId="0" xfId="0" applyFill="1" applyBorder="1"/>
    <xf numFmtId="0" fontId="0" fillId="33" borderId="5" xfId="0" applyFill="1" applyBorder="1"/>
    <xf numFmtId="0" fontId="0" fillId="33" borderId="0" xfId="0" applyFill="1" applyBorder="1"/>
    <xf numFmtId="0" fontId="0" fillId="35" borderId="5" xfId="0" applyFill="1" applyBorder="1"/>
    <xf numFmtId="0" fontId="0" fillId="35" borderId="0" xfId="0" applyFill="1" applyBorder="1"/>
    <xf numFmtId="0" fontId="0" fillId="31" borderId="2" xfId="0" applyFill="1" applyBorder="1"/>
    <xf numFmtId="0" fontId="0" fillId="31" borderId="3" xfId="0" applyFill="1" applyBorder="1"/>
    <xf numFmtId="0" fontId="0" fillId="31" borderId="8" xfId="0" applyFill="1" applyBorder="1"/>
    <xf numFmtId="0" fontId="0" fillId="31" borderId="9" xfId="0" applyFill="1" applyBorder="1"/>
    <xf numFmtId="0" fontId="0" fillId="32" borderId="2" xfId="0" applyFill="1" applyBorder="1"/>
    <xf numFmtId="0" fontId="0" fillId="32" borderId="3" xfId="0" applyFill="1" applyBorder="1"/>
    <xf numFmtId="0" fontId="0" fillId="32" borderId="8" xfId="0" applyFill="1" applyBorder="1"/>
    <xf numFmtId="0" fontId="0" fillId="32" borderId="9" xfId="0" applyFill="1" applyBorder="1"/>
    <xf numFmtId="0" fontId="0" fillId="33" borderId="2" xfId="0" applyFill="1" applyBorder="1"/>
    <xf numFmtId="0" fontId="0" fillId="33" borderId="3" xfId="0" applyFill="1" applyBorder="1"/>
    <xf numFmtId="0" fontId="0" fillId="33" borderId="8" xfId="0" applyFill="1" applyBorder="1"/>
    <xf numFmtId="14" fontId="0" fillId="33" borderId="9" xfId="0" applyNumberFormat="1" applyFill="1" applyBorder="1"/>
    <xf numFmtId="0" fontId="0" fillId="35" borderId="2" xfId="0" applyFill="1" applyBorder="1"/>
    <xf numFmtId="3" fontId="0" fillId="0" borderId="0" xfId="0" applyNumberFormat="1"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3" fontId="0" fillId="0" borderId="7" xfId="0" applyNumberFormat="1" applyFill="1" applyBorder="1" applyAlignment="1">
      <alignment horizontal="center" wrapText="1"/>
    </xf>
    <xf numFmtId="0" fontId="0" fillId="36" borderId="36" xfId="0" applyFill="1" applyBorder="1"/>
    <xf numFmtId="0" fontId="0" fillId="0" borderId="5"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28" borderId="3" xfId="0" applyFill="1" applyBorder="1"/>
    <xf numFmtId="0" fontId="0" fillId="28" borderId="9" xfId="0" applyFill="1" applyBorder="1"/>
    <xf numFmtId="0" fontId="0" fillId="35" borderId="3" xfId="0" applyFill="1" applyBorder="1"/>
    <xf numFmtId="0" fontId="0" fillId="0" borderId="32" xfId="0" applyBorder="1"/>
    <xf numFmtId="0" fontId="0" fillId="0" borderId="32" xfId="0" applyBorder="1" applyAlignment="1">
      <alignment horizontal="center" wrapText="1"/>
    </xf>
    <xf numFmtId="0" fontId="0" fillId="0" borderId="32" xfId="0" applyBorder="1" applyAlignment="1">
      <alignment horizontal="center"/>
    </xf>
    <xf numFmtId="0" fontId="0" fillId="0" borderId="32" xfId="0" applyFill="1" applyBorder="1" applyAlignment="1">
      <alignment horizontal="center" wrapText="1"/>
    </xf>
    <xf numFmtId="9" fontId="0" fillId="0" borderId="5" xfId="0" applyNumberFormat="1" applyBorder="1" applyAlignment="1">
      <alignment horizontal="center"/>
    </xf>
    <xf numFmtId="0" fontId="22" fillId="0" borderId="2" xfId="0" applyFont="1" applyBorder="1" applyAlignment="1">
      <alignment wrapText="1"/>
    </xf>
    <xf numFmtId="0" fontId="20" fillId="0" borderId="4" xfId="0" applyFont="1" applyBorder="1" applyAlignment="1">
      <alignment horizontal="center" wrapText="1"/>
    </xf>
    <xf numFmtId="0" fontId="0" fillId="36" borderId="0" xfId="0" applyFill="1" applyBorder="1"/>
    <xf numFmtId="3" fontId="0" fillId="0" borderId="0" xfId="0" applyNumberFormat="1" applyFill="1" applyBorder="1" applyAlignment="1">
      <alignment horizontal="center" wrapText="1"/>
    </xf>
    <xf numFmtId="0" fontId="0" fillId="0" borderId="15" xfId="0" applyBorder="1" applyAlignment="1">
      <alignment horizontal="center"/>
    </xf>
    <xf numFmtId="43" fontId="0" fillId="28" borderId="15" xfId="0" applyNumberFormat="1" applyFill="1" applyBorder="1"/>
    <xf numFmtId="164" fontId="0" fillId="28" borderId="15" xfId="0" applyNumberFormat="1" applyFill="1" applyBorder="1"/>
    <xf numFmtId="0" fontId="7" fillId="23" borderId="0" xfId="0" applyFont="1" applyFill="1" applyBorder="1" applyAlignment="1">
      <alignment horizontal="justify"/>
    </xf>
    <xf numFmtId="0" fontId="3" fillId="23" borderId="0" xfId="0" applyFont="1" applyFill="1" applyBorder="1" applyAlignment="1">
      <alignment horizontal="justify"/>
    </xf>
    <xf numFmtId="0" fontId="3" fillId="23" borderId="0" xfId="0" applyFont="1" applyFill="1" applyBorder="1" applyAlignment="1">
      <alignment horizontal="justify"/>
    </xf>
    <xf numFmtId="0" fontId="22" fillId="0" borderId="0" xfId="0" applyFont="1" applyFill="1" applyAlignment="1">
      <alignment horizontal="center"/>
    </xf>
    <xf numFmtId="14" fontId="0" fillId="0" borderId="5" xfId="0" applyNumberFormat="1" applyFill="1" applyBorder="1"/>
    <xf numFmtId="0" fontId="0" fillId="2" borderId="4" xfId="0" applyFill="1" applyBorder="1" applyAlignment="1">
      <alignment horizontal="center"/>
    </xf>
    <xf numFmtId="0" fontId="0" fillId="2" borderId="7" xfId="0" applyFill="1" applyBorder="1" applyAlignment="1">
      <alignment horizontal="center"/>
    </xf>
    <xf numFmtId="0" fontId="0" fillId="10" borderId="7" xfId="0" applyFill="1" applyBorder="1" applyAlignment="1">
      <alignment horizontal="center"/>
    </xf>
    <xf numFmtId="0" fontId="0" fillId="13" borderId="7" xfId="0" applyFont="1" applyFill="1" applyBorder="1" applyAlignment="1">
      <alignment horizontal="center" vertical="top"/>
    </xf>
    <xf numFmtId="0" fontId="0" fillId="5" borderId="7" xfId="0" applyFill="1" applyBorder="1" applyAlignment="1">
      <alignment horizontal="center" vertical="top"/>
    </xf>
    <xf numFmtId="0" fontId="0" fillId="14" borderId="7" xfId="0" applyFont="1" applyFill="1" applyBorder="1" applyAlignment="1">
      <alignment horizontal="center" vertical="top"/>
    </xf>
    <xf numFmtId="0" fontId="0" fillId="15" borderId="7" xfId="0" applyFont="1" applyFill="1" applyBorder="1" applyAlignment="1">
      <alignment horizontal="center" vertical="top"/>
    </xf>
    <xf numFmtId="0" fontId="0" fillId="15" borderId="13" xfId="0" applyFont="1" applyFill="1" applyBorder="1" applyAlignment="1">
      <alignment horizontal="center" vertical="top"/>
    </xf>
    <xf numFmtId="0" fontId="0" fillId="0" borderId="12" xfId="0" applyFill="1" applyBorder="1" applyAlignment="1">
      <alignment horizontal="center"/>
    </xf>
    <xf numFmtId="0" fontId="0" fillId="0" borderId="24" xfId="0" applyFill="1" applyBorder="1" applyAlignment="1">
      <alignment horizontal="center"/>
    </xf>
    <xf numFmtId="3" fontId="0" fillId="29" borderId="40" xfId="0" applyNumberFormat="1" applyFill="1" applyBorder="1"/>
    <xf numFmtId="164" fontId="13" fillId="21" borderId="1" xfId="1" applyNumberFormat="1" applyFont="1" applyFill="1" applyBorder="1" applyAlignment="1">
      <alignment horizontal="right" wrapText="1"/>
    </xf>
    <xf numFmtId="0" fontId="21" fillId="29" borderId="36" xfId="0" applyFont="1" applyFill="1" applyBorder="1"/>
    <xf numFmtId="0" fontId="0" fillId="23" borderId="1" xfId="0" applyFill="1" applyBorder="1" applyAlignment="1">
      <alignment horizontal="center" vertical="center" wrapText="1"/>
    </xf>
    <xf numFmtId="9" fontId="0" fillId="25" borderId="0" xfId="0" applyNumberFormat="1" applyFill="1" applyBorder="1" applyAlignment="1">
      <alignment horizontal="right" wrapText="1"/>
    </xf>
    <xf numFmtId="0" fontId="33" fillId="0" borderId="0" xfId="0" applyFont="1" applyFill="1" applyAlignment="1">
      <alignment wrapText="1"/>
    </xf>
    <xf numFmtId="3" fontId="5" fillId="30" borderId="5" xfId="1" applyNumberFormat="1" applyFont="1" applyFill="1" applyBorder="1"/>
    <xf numFmtId="3" fontId="0" fillId="30" borderId="0" xfId="0" applyNumberFormat="1" applyFill="1" applyBorder="1"/>
    <xf numFmtId="3" fontId="0" fillId="30" borderId="7" xfId="0" applyNumberFormat="1" applyFill="1" applyBorder="1"/>
    <xf numFmtId="3" fontId="5" fillId="38" borderId="5" xfId="1" applyNumberFormat="1" applyFont="1" applyFill="1" applyBorder="1"/>
    <xf numFmtId="3" fontId="0" fillId="38" borderId="7" xfId="0" applyNumberFormat="1" applyFill="1" applyBorder="1"/>
    <xf numFmtId="0" fontId="3" fillId="23" borderId="0" xfId="0" applyFont="1" applyFill="1" applyBorder="1" applyAlignment="1">
      <alignment horizontal="justify"/>
    </xf>
    <xf numFmtId="178" fontId="23" fillId="0" borderId="0" xfId="3" applyNumberFormat="1" applyFont="1"/>
    <xf numFmtId="9" fontId="23" fillId="0" borderId="0" xfId="2" applyFont="1" applyAlignment="1">
      <alignment horizontal="center"/>
    </xf>
    <xf numFmtId="17" fontId="23" fillId="0" borderId="0" xfId="1" applyNumberFormat="1" applyFont="1" applyAlignment="1">
      <alignment horizontal="center"/>
    </xf>
    <xf numFmtId="178" fontId="23" fillId="0" borderId="16" xfId="3" applyNumberFormat="1" applyFont="1" applyBorder="1"/>
    <xf numFmtId="179" fontId="23" fillId="0" borderId="0" xfId="3" applyNumberFormat="1" applyFont="1" applyAlignment="1">
      <alignment horizontal="center"/>
    </xf>
    <xf numFmtId="179" fontId="23" fillId="0" borderId="0" xfId="3" applyNumberFormat="1" applyFont="1"/>
    <xf numFmtId="178" fontId="0" fillId="0" borderId="0" xfId="0" applyNumberFormat="1"/>
    <xf numFmtId="179" fontId="20" fillId="0" borderId="0" xfId="3" applyNumberFormat="1" applyFont="1" applyAlignment="1">
      <alignment horizontal="right"/>
    </xf>
    <xf numFmtId="179" fontId="23" fillId="0" borderId="16" xfId="3" applyNumberFormat="1" applyFont="1" applyBorder="1"/>
    <xf numFmtId="0" fontId="22" fillId="0" borderId="0" xfId="0" applyFont="1" applyFill="1" applyBorder="1" applyAlignment="1">
      <alignment horizontal="center"/>
    </xf>
    <xf numFmtId="3" fontId="20" fillId="0" borderId="0" xfId="0" applyNumberFormat="1" applyFont="1" applyFill="1" applyBorder="1"/>
    <xf numFmtId="178" fontId="23" fillId="27" borderId="16" xfId="3" applyNumberFormat="1" applyFont="1" applyFill="1" applyBorder="1"/>
    <xf numFmtId="3" fontId="0" fillId="0" borderId="40" xfId="0" applyNumberFormat="1" applyFill="1" applyBorder="1" applyAlignment="1">
      <alignment horizontal="center" wrapText="1"/>
    </xf>
    <xf numFmtId="9" fontId="0" fillId="0" borderId="40" xfId="0" applyNumberFormat="1" applyBorder="1" applyAlignment="1">
      <alignment horizontal="center"/>
    </xf>
    <xf numFmtId="3" fontId="0" fillId="0" borderId="40" xfId="0" applyNumberFormat="1" applyBorder="1" applyAlignment="1">
      <alignment horizontal="center"/>
    </xf>
    <xf numFmtId="3" fontId="0" fillId="0" borderId="37" xfId="0" applyNumberFormat="1" applyBorder="1" applyAlignment="1">
      <alignment horizontal="center"/>
    </xf>
    <xf numFmtId="3" fontId="5" fillId="38" borderId="15" xfId="1" applyNumberFormat="1" applyFont="1" applyFill="1" applyBorder="1"/>
    <xf numFmtId="0" fontId="6" fillId="15" borderId="33" xfId="0" applyFont="1" applyFill="1" applyBorder="1" applyAlignment="1">
      <alignment horizontal="center"/>
    </xf>
    <xf numFmtId="0" fontId="0" fillId="0" borderId="57" xfId="0" applyFill="1" applyBorder="1" applyAlignment="1">
      <alignment horizontal="center"/>
    </xf>
    <xf numFmtId="3" fontId="0" fillId="38" borderId="13" xfId="0" applyNumberFormat="1" applyFill="1" applyBorder="1"/>
    <xf numFmtId="164" fontId="8" fillId="0" borderId="16" xfId="0" applyNumberFormat="1" applyFont="1" applyFill="1" applyBorder="1"/>
    <xf numFmtId="0" fontId="0" fillId="29" borderId="40" xfId="0" applyFill="1" applyBorder="1"/>
    <xf numFmtId="3" fontId="20" fillId="29" borderId="40" xfId="0" applyNumberFormat="1" applyFont="1" applyFill="1" applyBorder="1"/>
    <xf numFmtId="0" fontId="20" fillId="0" borderId="32" xfId="0" applyFont="1" applyBorder="1" applyAlignment="1">
      <alignment horizontal="left"/>
    </xf>
    <xf numFmtId="0" fontId="20" fillId="0" borderId="0" xfId="0" applyFont="1" applyAlignment="1">
      <alignment horizontal="center"/>
    </xf>
    <xf numFmtId="0" fontId="20" fillId="0" borderId="33" xfId="0" applyFont="1" applyBorder="1" applyAlignment="1">
      <alignment horizontal="left"/>
    </xf>
    <xf numFmtId="0" fontId="20" fillId="0" borderId="32" xfId="0" applyFont="1" applyBorder="1"/>
    <xf numFmtId="0" fontId="20" fillId="0" borderId="33" xfId="0" applyFont="1" applyBorder="1"/>
    <xf numFmtId="0" fontId="0" fillId="0" borderId="34" xfId="0" applyBorder="1"/>
    <xf numFmtId="3" fontId="34" fillId="29" borderId="15" xfId="0" applyNumberFormat="1" applyFont="1" applyFill="1" applyBorder="1"/>
    <xf numFmtId="0" fontId="34" fillId="29" borderId="15" xfId="0" applyFont="1" applyFill="1" applyBorder="1" applyAlignment="1">
      <alignment horizontal="center"/>
    </xf>
    <xf numFmtId="0" fontId="22" fillId="29" borderId="15" xfId="0" applyFont="1" applyFill="1" applyBorder="1"/>
    <xf numFmtId="178" fontId="0" fillId="2" borderId="41" xfId="3" applyNumberFormat="1" applyFont="1" applyFill="1" applyBorder="1"/>
    <xf numFmtId="178" fontId="5" fillId="28" borderId="1" xfId="3" applyNumberFormat="1" applyFont="1" applyFill="1" applyBorder="1"/>
    <xf numFmtId="178" fontId="0" fillId="2" borderId="18" xfId="3" applyNumberFormat="1" applyFont="1" applyFill="1" applyBorder="1"/>
    <xf numFmtId="178" fontId="0" fillId="2" borderId="1" xfId="3" applyNumberFormat="1" applyFont="1" applyFill="1" applyBorder="1"/>
    <xf numFmtId="178" fontId="0" fillId="2" borderId="6" xfId="3" applyNumberFormat="1" applyFont="1" applyFill="1" applyBorder="1"/>
    <xf numFmtId="178" fontId="0" fillId="10" borderId="41" xfId="3" applyNumberFormat="1" applyFont="1" applyFill="1" applyBorder="1"/>
    <xf numFmtId="178" fontId="5" fillId="26" borderId="1" xfId="3" applyNumberFormat="1" applyFont="1" applyFill="1" applyBorder="1"/>
    <xf numFmtId="178" fontId="0" fillId="26" borderId="18" xfId="3" applyNumberFormat="1" applyFont="1" applyFill="1" applyBorder="1"/>
    <xf numFmtId="178" fontId="0" fillId="10" borderId="1" xfId="3" applyNumberFormat="1" applyFont="1" applyFill="1" applyBorder="1"/>
    <xf numFmtId="178" fontId="0" fillId="26" borderId="6" xfId="3" applyNumberFormat="1" applyFont="1" applyFill="1" applyBorder="1"/>
    <xf numFmtId="178" fontId="0" fillId="13" borderId="41" xfId="3" applyNumberFormat="1" applyFont="1" applyFill="1" applyBorder="1"/>
    <xf numFmtId="178" fontId="5" fillId="31" borderId="1" xfId="3" applyNumberFormat="1" applyFont="1" applyFill="1" applyBorder="1"/>
    <xf numFmtId="178" fontId="0" fillId="31" borderId="18" xfId="3" applyNumberFormat="1" applyFont="1" applyFill="1" applyBorder="1"/>
    <xf numFmtId="178" fontId="0" fillId="13" borderId="1" xfId="3" applyNumberFormat="1" applyFont="1" applyFill="1" applyBorder="1"/>
    <xf numFmtId="178" fontId="0" fillId="31" borderId="6" xfId="3" applyNumberFormat="1" applyFont="1" applyFill="1" applyBorder="1"/>
    <xf numFmtId="178" fontId="0" fillId="5" borderId="41" xfId="3" applyNumberFormat="1" applyFont="1" applyFill="1" applyBorder="1"/>
    <xf numFmtId="178" fontId="5" fillId="32" borderId="1" xfId="3" applyNumberFormat="1" applyFont="1" applyFill="1" applyBorder="1"/>
    <xf numFmtId="178" fontId="0" fillId="32" borderId="18" xfId="3" applyNumberFormat="1" applyFont="1" applyFill="1" applyBorder="1"/>
    <xf numFmtId="178" fontId="0" fillId="5" borderId="1" xfId="3" applyNumberFormat="1" applyFont="1" applyFill="1" applyBorder="1"/>
    <xf numFmtId="178" fontId="0" fillId="32" borderId="6" xfId="3" applyNumberFormat="1" applyFont="1" applyFill="1" applyBorder="1"/>
    <xf numFmtId="178" fontId="0" fillId="14" borderId="41" xfId="3" applyNumberFormat="1" applyFont="1" applyFill="1" applyBorder="1"/>
    <xf numFmtId="178" fontId="5" fillId="33" borderId="1" xfId="3" applyNumberFormat="1" applyFont="1" applyFill="1" applyBorder="1"/>
    <xf numFmtId="178" fontId="0" fillId="33" borderId="18" xfId="3" applyNumberFormat="1" applyFont="1" applyFill="1" applyBorder="1"/>
    <xf numFmtId="178" fontId="0" fillId="14" borderId="1" xfId="3" applyNumberFormat="1" applyFont="1" applyFill="1" applyBorder="1"/>
    <xf numFmtId="178" fontId="0" fillId="33" borderId="6" xfId="3" applyNumberFormat="1" applyFont="1" applyFill="1" applyBorder="1"/>
    <xf numFmtId="178" fontId="0" fillId="15" borderId="41" xfId="3" applyNumberFormat="1" applyFont="1" applyFill="1" applyBorder="1"/>
    <xf numFmtId="178" fontId="5" fillId="34" borderId="1" xfId="3" applyNumberFormat="1" applyFont="1" applyFill="1" applyBorder="1"/>
    <xf numFmtId="178" fontId="0" fillId="34" borderId="19" xfId="3" applyNumberFormat="1" applyFont="1" applyFill="1" applyBorder="1"/>
    <xf numFmtId="178" fontId="0" fillId="15" borderId="17" xfId="3" applyNumberFormat="1" applyFont="1" applyFill="1" applyBorder="1"/>
    <xf numFmtId="178" fontId="0" fillId="15" borderId="10" xfId="3" applyNumberFormat="1" applyFont="1" applyFill="1" applyBorder="1"/>
    <xf numFmtId="178" fontId="0" fillId="15" borderId="1" xfId="3" applyNumberFormat="1" applyFont="1" applyFill="1" applyBorder="1"/>
    <xf numFmtId="178" fontId="0" fillId="0" borderId="0" xfId="3" applyNumberFormat="1" applyFont="1"/>
    <xf numFmtId="164" fontId="0" fillId="10" borderId="5" xfId="0" applyNumberFormat="1" applyFont="1" applyFill="1" applyBorder="1" applyAlignment="1">
      <alignment horizontal="center"/>
    </xf>
    <xf numFmtId="0" fontId="6" fillId="4" borderId="3" xfId="0" applyFont="1" applyFill="1" applyBorder="1" applyAlignment="1">
      <alignment horizontal="center"/>
    </xf>
    <xf numFmtId="0" fontId="6" fillId="12" borderId="16" xfId="0" applyFont="1" applyFill="1" applyBorder="1" applyAlignment="1">
      <alignment horizontal="center"/>
    </xf>
    <xf numFmtId="0" fontId="1" fillId="4" borderId="3" xfId="0" applyFont="1" applyFill="1" applyBorder="1" applyAlignment="1">
      <alignment horizontal="center"/>
    </xf>
    <xf numFmtId="9" fontId="0" fillId="0" borderId="9" xfId="0" applyNumberFormat="1" applyBorder="1" applyAlignment="1">
      <alignment horizontal="center"/>
    </xf>
    <xf numFmtId="14" fontId="6" fillId="4" borderId="3" xfId="0" applyNumberFormat="1" applyFont="1" applyFill="1" applyBorder="1" applyAlignment="1">
      <alignment horizontal="center"/>
    </xf>
    <xf numFmtId="0" fontId="1" fillId="12" borderId="16" xfId="0" applyFont="1" applyFill="1" applyBorder="1" applyAlignment="1">
      <alignment horizontal="center"/>
    </xf>
    <xf numFmtId="0" fontId="6" fillId="4" borderId="0" xfId="0" applyFont="1" applyFill="1" applyBorder="1" applyAlignment="1">
      <alignment horizontal="center"/>
    </xf>
    <xf numFmtId="0" fontId="11" fillId="7" borderId="0" xfId="0" applyFont="1" applyFill="1" applyBorder="1" applyAlignment="1">
      <alignment horizontal="center"/>
    </xf>
    <xf numFmtId="164" fontId="15" fillId="9" borderId="16" xfId="0" applyNumberFormat="1" applyFont="1" applyFill="1" applyBorder="1" applyAlignment="1">
      <alignment horizontal="center"/>
    </xf>
    <xf numFmtId="164" fontId="5" fillId="8" borderId="0" xfId="1" applyNumberFormat="1" applyFont="1" applyFill="1" applyBorder="1" applyAlignment="1">
      <alignment horizontal="center"/>
    </xf>
    <xf numFmtId="0" fontId="0" fillId="0" borderId="9" xfId="0" applyBorder="1" applyAlignment="1">
      <alignment horizontal="center"/>
    </xf>
    <xf numFmtId="178" fontId="20" fillId="0" borderId="0" xfId="3" applyNumberFormat="1" applyFont="1" applyAlignment="1">
      <alignment horizontal="center"/>
    </xf>
    <xf numFmtId="178" fontId="0" fillId="0" borderId="16" xfId="3" applyNumberFormat="1" applyFont="1" applyBorder="1"/>
    <xf numFmtId="0" fontId="0" fillId="13" borderId="7" xfId="0" applyFill="1" applyBorder="1" applyAlignment="1">
      <alignment horizontal="center" vertical="top"/>
    </xf>
    <xf numFmtId="0" fontId="0" fillId="14" borderId="7" xfId="0" applyFill="1" applyBorder="1" applyAlignment="1">
      <alignment horizontal="center" vertical="top"/>
    </xf>
    <xf numFmtId="0" fontId="0" fillId="15" borderId="7" xfId="0" applyFill="1" applyBorder="1" applyAlignment="1">
      <alignment horizontal="center" vertical="top"/>
    </xf>
    <xf numFmtId="3" fontId="0" fillId="10" borderId="3" xfId="0" applyNumberFormat="1" applyFill="1" applyBorder="1"/>
    <xf numFmtId="3" fontId="0" fillId="13" borderId="3" xfId="0" applyNumberFormat="1" applyFill="1" applyBorder="1"/>
    <xf numFmtId="3" fontId="0" fillId="13" borderId="0" xfId="0" applyNumberFormat="1" applyFill="1" applyBorder="1"/>
    <xf numFmtId="3" fontId="0" fillId="5" borderId="3" xfId="0" applyNumberFormat="1" applyFill="1" applyBorder="1"/>
    <xf numFmtId="3" fontId="0" fillId="5" borderId="0" xfId="0" applyNumberFormat="1" applyFill="1" applyBorder="1"/>
    <xf numFmtId="3" fontId="0" fillId="14" borderId="3" xfId="0" applyNumberFormat="1" applyFill="1" applyBorder="1"/>
    <xf numFmtId="3" fontId="0" fillId="14" borderId="0" xfId="0" applyNumberFormat="1" applyFill="1" applyBorder="1"/>
    <xf numFmtId="3" fontId="0" fillId="15" borderId="3" xfId="0" applyNumberFormat="1" applyFill="1" applyBorder="1"/>
    <xf numFmtId="3" fontId="0" fillId="15" borderId="0" xfId="0" applyNumberFormat="1" applyFill="1" applyBorder="1"/>
    <xf numFmtId="3" fontId="0" fillId="38" borderId="0" xfId="0" applyNumberFormat="1" applyFill="1" applyBorder="1"/>
    <xf numFmtId="164" fontId="8" fillId="0" borderId="0" xfId="0" applyNumberFormat="1" applyFont="1" applyBorder="1"/>
    <xf numFmtId="178" fontId="5" fillId="28" borderId="18" xfId="3" applyNumberFormat="1" applyFont="1" applyFill="1" applyBorder="1"/>
    <xf numFmtId="178" fontId="5" fillId="26" borderId="18" xfId="3" applyNumberFormat="1" applyFont="1" applyFill="1" applyBorder="1"/>
    <xf numFmtId="178" fontId="5" fillId="31" borderId="18" xfId="3" applyNumberFormat="1" applyFont="1" applyFill="1" applyBorder="1"/>
    <xf numFmtId="178" fontId="5" fillId="32" borderId="18" xfId="3" applyNumberFormat="1" applyFont="1" applyFill="1" applyBorder="1"/>
    <xf numFmtId="178" fontId="5" fillId="33" borderId="18" xfId="3" applyNumberFormat="1" applyFont="1" applyFill="1" applyBorder="1"/>
    <xf numFmtId="178" fontId="5" fillId="34" borderId="19" xfId="3" applyNumberFormat="1" applyFont="1" applyFill="1" applyBorder="1"/>
    <xf numFmtId="0" fontId="1" fillId="0" borderId="3" xfId="0" applyFont="1" applyBorder="1"/>
    <xf numFmtId="9" fontId="5" fillId="28" borderId="0" xfId="2" applyNumberFormat="1" applyFont="1" applyFill="1" applyBorder="1"/>
    <xf numFmtId="9" fontId="5" fillId="26" borderId="0" xfId="2" applyNumberFormat="1" applyFont="1" applyFill="1" applyBorder="1"/>
    <xf numFmtId="9" fontId="5" fillId="31" borderId="0" xfId="2" applyNumberFormat="1" applyFont="1" applyFill="1" applyBorder="1"/>
    <xf numFmtId="9" fontId="5" fillId="32" borderId="0" xfId="2" applyNumberFormat="1" applyFont="1" applyFill="1" applyBorder="1"/>
    <xf numFmtId="9" fontId="5" fillId="33" borderId="0" xfId="2" applyNumberFormat="1" applyFont="1" applyFill="1" applyBorder="1"/>
    <xf numFmtId="9" fontId="5" fillId="34" borderId="0" xfId="2" applyNumberFormat="1" applyFont="1" applyFill="1" applyBorder="1"/>
    <xf numFmtId="9" fontId="5" fillId="0" borderId="0" xfId="2" applyNumberFormat="1" applyFont="1" applyFill="1" applyBorder="1"/>
    <xf numFmtId="0" fontId="1" fillId="0" borderId="58" xfId="0" applyFont="1" applyBorder="1" applyAlignment="1">
      <alignment horizontal="center" vertical="center" wrapText="1"/>
    </xf>
    <xf numFmtId="178" fontId="0" fillId="2" borderId="23" xfId="3" applyNumberFormat="1" applyFont="1" applyFill="1" applyBorder="1"/>
    <xf numFmtId="178" fontId="0" fillId="10" borderId="23" xfId="3" applyNumberFormat="1" applyFont="1" applyFill="1" applyBorder="1"/>
    <xf numFmtId="178" fontId="0" fillId="13" borderId="23" xfId="3" applyNumberFormat="1" applyFont="1" applyFill="1" applyBorder="1"/>
    <xf numFmtId="178" fontId="0" fillId="5" borderId="23" xfId="3" applyNumberFormat="1" applyFont="1" applyFill="1" applyBorder="1"/>
    <xf numFmtId="178" fontId="0" fillId="14" borderId="23" xfId="3" applyNumberFormat="1" applyFont="1" applyFill="1" applyBorder="1"/>
    <xf numFmtId="178" fontId="0" fillId="15" borderId="30" xfId="3" applyNumberFormat="1" applyFont="1" applyFill="1" applyBorder="1"/>
    <xf numFmtId="0" fontId="20" fillId="0" borderId="0" xfId="0" applyFont="1" applyBorder="1" applyAlignment="1">
      <alignment horizontal="center"/>
    </xf>
    <xf numFmtId="9" fontId="24" fillId="30" borderId="0" xfId="0" applyNumberFormat="1" applyFont="1" applyFill="1" applyBorder="1"/>
    <xf numFmtId="9" fontId="24" fillId="26" borderId="0" xfId="0" applyNumberFormat="1" applyFont="1" applyFill="1" applyBorder="1"/>
    <xf numFmtId="9" fontId="24" fillId="31" borderId="0" xfId="0" applyNumberFormat="1" applyFont="1" applyFill="1" applyBorder="1"/>
    <xf numFmtId="9" fontId="24" fillId="32" borderId="0" xfId="0" applyNumberFormat="1" applyFont="1" applyFill="1" applyBorder="1"/>
    <xf numFmtId="9" fontId="24" fillId="33" borderId="0" xfId="0" applyNumberFormat="1" applyFont="1" applyFill="1" applyBorder="1"/>
    <xf numFmtId="9" fontId="24" fillId="34" borderId="0" xfId="0" applyNumberFormat="1" applyFont="1" applyFill="1" applyBorder="1"/>
    <xf numFmtId="9" fontId="24" fillId="0" borderId="0" xfId="0" applyNumberFormat="1" applyFont="1" applyFill="1" applyBorder="1"/>
    <xf numFmtId="3" fontId="0" fillId="2" borderId="34" xfId="0" applyNumberFormat="1" applyFill="1" applyBorder="1"/>
    <xf numFmtId="3" fontId="0" fillId="30" borderId="34" xfId="0" applyNumberFormat="1" applyFill="1" applyBorder="1"/>
    <xf numFmtId="3" fontId="0" fillId="10" borderId="32" xfId="0" applyNumberFormat="1" applyFill="1" applyBorder="1"/>
    <xf numFmtId="3" fontId="0" fillId="10" borderId="33" xfId="0" applyNumberFormat="1" applyFill="1" applyBorder="1"/>
    <xf numFmtId="3" fontId="0" fillId="13" borderId="32" xfId="0" applyNumberFormat="1" applyFill="1" applyBorder="1"/>
    <xf numFmtId="3" fontId="0" fillId="13" borderId="34" xfId="0" applyNumberFormat="1" applyFill="1" applyBorder="1"/>
    <xf numFmtId="3" fontId="0" fillId="13" borderId="33" xfId="0" applyNumberFormat="1" applyFill="1" applyBorder="1"/>
    <xf numFmtId="3" fontId="0" fillId="5" borderId="32" xfId="0" applyNumberFormat="1" applyFill="1" applyBorder="1"/>
    <xf numFmtId="3" fontId="0" fillId="5" borderId="34" xfId="0" applyNumberFormat="1" applyFill="1" applyBorder="1"/>
    <xf numFmtId="3" fontId="0" fillId="5" borderId="33" xfId="0" applyNumberFormat="1" applyFill="1" applyBorder="1"/>
    <xf numFmtId="3" fontId="0" fillId="14" borderId="32" xfId="0" applyNumberFormat="1" applyFill="1" applyBorder="1"/>
    <xf numFmtId="3" fontId="0" fillId="14" borderId="34" xfId="0" applyNumberFormat="1" applyFill="1" applyBorder="1"/>
    <xf numFmtId="3" fontId="0" fillId="14" borderId="33" xfId="0" applyNumberFormat="1" applyFill="1" applyBorder="1"/>
    <xf numFmtId="3" fontId="0" fillId="15" borderId="32" xfId="0" applyNumberFormat="1" applyFill="1" applyBorder="1"/>
    <xf numFmtId="3" fontId="0" fillId="15" borderId="34" xfId="0" applyNumberFormat="1" applyFill="1" applyBorder="1"/>
    <xf numFmtId="3" fontId="0" fillId="38" borderId="34" xfId="0" applyNumberFormat="1" applyFill="1" applyBorder="1"/>
    <xf numFmtId="3" fontId="0" fillId="38" borderId="33" xfId="0" applyNumberFormat="1" applyFill="1" applyBorder="1"/>
    <xf numFmtId="3" fontId="0" fillId="2" borderId="15" xfId="0" applyNumberFormat="1" applyFill="1" applyBorder="1"/>
    <xf numFmtId="164" fontId="21" fillId="0" borderId="8" xfId="0" applyNumberFormat="1" applyFont="1" applyFill="1" applyBorder="1"/>
    <xf numFmtId="9" fontId="5" fillId="2" borderId="0" xfId="2" applyFont="1" applyFill="1" applyBorder="1"/>
    <xf numFmtId="9" fontId="5" fillId="26" borderId="0" xfId="2" applyFont="1" applyFill="1" applyBorder="1"/>
    <xf numFmtId="9" fontId="5" fillId="31" borderId="0" xfId="2" applyFont="1" applyFill="1" applyBorder="1"/>
    <xf numFmtId="9" fontId="5" fillId="32" borderId="0" xfId="2" applyFont="1" applyFill="1" applyBorder="1"/>
    <xf numFmtId="9" fontId="5" fillId="33" borderId="0" xfId="2" applyFont="1" applyFill="1" applyBorder="1"/>
    <xf numFmtId="9" fontId="5" fillId="34" borderId="0" xfId="2" applyFont="1" applyFill="1" applyBorder="1"/>
    <xf numFmtId="3" fontId="0" fillId="10" borderId="34" xfId="0" applyNumberFormat="1" applyFill="1" applyBorder="1"/>
    <xf numFmtId="3" fontId="0" fillId="2" borderId="5" xfId="0" applyNumberFormat="1" applyFill="1" applyBorder="1"/>
    <xf numFmtId="3" fontId="5" fillId="2" borderId="7" xfId="1" applyNumberFormat="1" applyFont="1" applyFill="1" applyBorder="1"/>
    <xf numFmtId="3" fontId="0" fillId="30" borderId="5" xfId="0" applyNumberFormat="1" applyFill="1" applyBorder="1"/>
    <xf numFmtId="3" fontId="0" fillId="2" borderId="13" xfId="0" applyNumberFormat="1" applyFill="1" applyBorder="1"/>
    <xf numFmtId="3" fontId="0" fillId="10" borderId="15" xfId="0" applyNumberFormat="1" applyFill="1" applyBorder="1"/>
    <xf numFmtId="3" fontId="0" fillId="13" borderId="15" xfId="0" applyNumberFormat="1" applyFill="1" applyBorder="1"/>
    <xf numFmtId="3" fontId="0" fillId="5" borderId="15" xfId="0" applyNumberFormat="1" applyFill="1" applyBorder="1"/>
    <xf numFmtId="3" fontId="0" fillId="14" borderId="15" xfId="0" applyNumberFormat="1" applyFill="1" applyBorder="1"/>
    <xf numFmtId="3" fontId="0" fillId="38" borderId="15" xfId="0" applyNumberFormat="1" applyFill="1" applyBorder="1"/>
    <xf numFmtId="3" fontId="0" fillId="10" borderId="9" xfId="0" applyNumberFormat="1" applyFill="1" applyBorder="1"/>
    <xf numFmtId="3" fontId="0" fillId="10" borderId="0" xfId="0" applyNumberFormat="1" applyFill="1" applyBorder="1"/>
    <xf numFmtId="3" fontId="0" fillId="10" borderId="2" xfId="0" applyNumberFormat="1" applyFill="1" applyBorder="1"/>
    <xf numFmtId="3" fontId="0" fillId="13" borderId="9" xfId="0" applyNumberFormat="1" applyFill="1" applyBorder="1"/>
    <xf numFmtId="3" fontId="0" fillId="13" borderId="2" xfId="0" applyNumberFormat="1" applyFill="1" applyBorder="1"/>
    <xf numFmtId="3" fontId="0" fillId="13" borderId="5" xfId="0" applyNumberFormat="1" applyFill="1" applyBorder="1"/>
    <xf numFmtId="3" fontId="0" fillId="5" borderId="2" xfId="0" applyNumberFormat="1" applyFill="1" applyBorder="1"/>
    <xf numFmtId="3" fontId="0" fillId="5" borderId="5" xfId="0" applyNumberFormat="1" applyFill="1" applyBorder="1"/>
    <xf numFmtId="3" fontId="0" fillId="14" borderId="9" xfId="0" applyNumberFormat="1" applyFill="1" applyBorder="1"/>
    <xf numFmtId="3" fontId="0" fillId="14" borderId="2" xfId="0" applyNumberFormat="1" applyFill="1" applyBorder="1"/>
    <xf numFmtId="3" fontId="0" fillId="14" borderId="5" xfId="0" applyNumberFormat="1" applyFill="1" applyBorder="1"/>
    <xf numFmtId="3" fontId="0" fillId="38" borderId="9" xfId="0" applyNumberFormat="1" applyFill="1" applyBorder="1"/>
    <xf numFmtId="3" fontId="0" fillId="15" borderId="2" xfId="0" applyNumberFormat="1" applyFill="1" applyBorder="1"/>
    <xf numFmtId="3" fontId="0" fillId="15" borderId="5" xfId="0" applyNumberFormat="1" applyFill="1" applyBorder="1"/>
    <xf numFmtId="3" fontId="0" fillId="38" borderId="5" xfId="0" applyNumberFormat="1" applyFill="1" applyBorder="1"/>
    <xf numFmtId="0" fontId="1" fillId="0" borderId="13" xfId="0" applyFont="1" applyFill="1" applyBorder="1" applyAlignment="1">
      <alignment horizontal="right"/>
    </xf>
    <xf numFmtId="3" fontId="5" fillId="2" borderId="4" xfId="1" applyNumberFormat="1" applyFont="1" applyFill="1" applyBorder="1"/>
    <xf numFmtId="3" fontId="5" fillId="2" borderId="32" xfId="1" applyNumberFormat="1" applyFont="1" applyFill="1" applyBorder="1"/>
    <xf numFmtId="3" fontId="0" fillId="2" borderId="33" xfId="0" applyNumberFormat="1" applyFill="1" applyBorder="1"/>
    <xf numFmtId="0" fontId="6" fillId="0" borderId="13" xfId="0" applyFont="1" applyFill="1" applyBorder="1"/>
    <xf numFmtId="0" fontId="1" fillId="0" borderId="33" xfId="0" applyFont="1" applyFill="1" applyBorder="1" applyAlignment="1">
      <alignment horizontal="right"/>
    </xf>
    <xf numFmtId="0" fontId="1" fillId="0" borderId="8" xfId="0" applyFont="1" applyFill="1" applyBorder="1" applyAlignment="1">
      <alignment horizontal="center"/>
    </xf>
    <xf numFmtId="0" fontId="20" fillId="0" borderId="36" xfId="0" applyFont="1" applyBorder="1"/>
    <xf numFmtId="0" fontId="6" fillId="0" borderId="8" xfId="0" applyFont="1" applyFill="1" applyBorder="1"/>
    <xf numFmtId="0" fontId="1" fillId="0" borderId="9" xfId="0" applyFont="1" applyFill="1" applyBorder="1" applyAlignment="1">
      <alignment horizontal="right"/>
    </xf>
    <xf numFmtId="0" fontId="0" fillId="0" borderId="13" xfId="0" applyFill="1" applyBorder="1"/>
    <xf numFmtId="0" fontId="20" fillId="0" borderId="33" xfId="0" applyFont="1" applyFill="1" applyBorder="1" applyAlignment="1">
      <alignment horizontal="right"/>
    </xf>
    <xf numFmtId="0" fontId="1" fillId="0" borderId="7" xfId="0" applyFont="1" applyFill="1" applyBorder="1" applyAlignment="1">
      <alignment horizontal="right"/>
    </xf>
    <xf numFmtId="0" fontId="20" fillId="0" borderId="40" xfId="0" applyFont="1" applyBorder="1"/>
    <xf numFmtId="3" fontId="5" fillId="10" borderId="3" xfId="1" applyNumberFormat="1" applyFont="1" applyFill="1" applyBorder="1"/>
    <xf numFmtId="3" fontId="5" fillId="10" borderId="37" xfId="1" applyNumberFormat="1" applyFont="1" applyFill="1" applyBorder="1"/>
    <xf numFmtId="3" fontId="5" fillId="10" borderId="0" xfId="1" applyNumberFormat="1" applyFont="1" applyFill="1" applyBorder="1"/>
    <xf numFmtId="3" fontId="20" fillId="2" borderId="4" xfId="0" applyNumberFormat="1" applyFont="1" applyFill="1" applyBorder="1"/>
    <xf numFmtId="3" fontId="20" fillId="10" borderId="15" xfId="0" applyNumberFormat="1" applyFont="1" applyFill="1" applyBorder="1"/>
    <xf numFmtId="3" fontId="5" fillId="5" borderId="37" xfId="1" applyNumberFormat="1" applyFont="1" applyFill="1" applyBorder="1"/>
    <xf numFmtId="3" fontId="5" fillId="15" borderId="0" xfId="1" applyNumberFormat="1" applyFont="1" applyFill="1" applyBorder="1"/>
    <xf numFmtId="3" fontId="5" fillId="38" borderId="0" xfId="1" applyNumberFormat="1" applyFont="1" applyFill="1" applyBorder="1"/>
    <xf numFmtId="3" fontId="5" fillId="38" borderId="37" xfId="1" applyNumberFormat="1" applyFont="1" applyFill="1" applyBorder="1"/>
    <xf numFmtId="3" fontId="5" fillId="15" borderId="3" xfId="1" applyNumberFormat="1" applyFont="1" applyFill="1" applyBorder="1"/>
    <xf numFmtId="3" fontId="0" fillId="15" borderId="13" xfId="0" applyNumberFormat="1" applyFill="1" applyBorder="1"/>
    <xf numFmtId="0" fontId="1" fillId="0" borderId="25" xfId="0" applyFont="1" applyBorder="1" applyAlignment="1">
      <alignment horizontal="center" vertical="center" wrapText="1"/>
    </xf>
    <xf numFmtId="0" fontId="1" fillId="0" borderId="31" xfId="0" applyFont="1" applyBorder="1" applyAlignment="1">
      <alignment horizontal="center" vertical="center" wrapText="1"/>
    </xf>
    <xf numFmtId="0" fontId="22" fillId="0" borderId="36" xfId="0" applyFont="1" applyBorder="1" applyAlignment="1">
      <alignment horizontal="center"/>
    </xf>
    <xf numFmtId="0" fontId="22" fillId="0" borderId="40" xfId="0" applyFont="1" applyBorder="1" applyAlignment="1">
      <alignment horizontal="center"/>
    </xf>
    <xf numFmtId="178" fontId="0" fillId="26" borderId="1" xfId="3" applyNumberFormat="1" applyFont="1" applyFill="1" applyBorder="1"/>
    <xf numFmtId="178" fontId="0" fillId="31" borderId="1" xfId="3" applyNumberFormat="1" applyFont="1" applyFill="1" applyBorder="1"/>
    <xf numFmtId="178" fontId="0" fillId="32" borderId="1" xfId="3" applyNumberFormat="1" applyFont="1" applyFill="1" applyBorder="1"/>
    <xf numFmtId="178" fontId="0" fillId="33" borderId="1" xfId="3" applyNumberFormat="1" applyFont="1" applyFill="1" applyBorder="1"/>
    <xf numFmtId="178" fontId="0" fillId="34" borderId="1" xfId="3" applyNumberFormat="1" applyFont="1" applyFill="1" applyBorder="1"/>
    <xf numFmtId="164" fontId="21" fillId="0" borderId="36" xfId="0" applyNumberFormat="1" applyFont="1" applyFill="1" applyBorder="1"/>
    <xf numFmtId="164" fontId="5" fillId="0" borderId="40" xfId="1" applyNumberFormat="1" applyFont="1" applyBorder="1"/>
    <xf numFmtId="0" fontId="1" fillId="0" borderId="59" xfId="0" applyFont="1" applyBorder="1" applyAlignment="1">
      <alignment horizontal="center" vertical="center" wrapText="1"/>
    </xf>
    <xf numFmtId="178" fontId="0" fillId="26" borderId="41" xfId="3" applyNumberFormat="1" applyFont="1" applyFill="1" applyBorder="1"/>
    <xf numFmtId="178" fontId="0" fillId="31" borderId="41" xfId="3" applyNumberFormat="1" applyFont="1" applyFill="1" applyBorder="1"/>
    <xf numFmtId="178" fontId="0" fillId="32" borderId="41" xfId="3" applyNumberFormat="1" applyFont="1" applyFill="1" applyBorder="1"/>
    <xf numFmtId="178" fontId="0" fillId="33" borderId="41" xfId="3" applyNumberFormat="1" applyFont="1" applyFill="1" applyBorder="1"/>
    <xf numFmtId="178" fontId="0" fillId="34" borderId="41" xfId="3" applyNumberFormat="1" applyFont="1" applyFill="1" applyBorder="1"/>
    <xf numFmtId="164" fontId="5" fillId="0" borderId="36" xfId="1" applyNumberFormat="1" applyFont="1" applyBorder="1"/>
    <xf numFmtId="178" fontId="0" fillId="34" borderId="6" xfId="3" applyNumberFormat="1" applyFont="1" applyFill="1" applyBorder="1"/>
    <xf numFmtId="178" fontId="0" fillId="36" borderId="6" xfId="3" applyNumberFormat="1" applyFont="1" applyFill="1" applyBorder="1"/>
    <xf numFmtId="0" fontId="1" fillId="0" borderId="60" xfId="0" applyFont="1" applyBorder="1"/>
    <xf numFmtId="9" fontId="5" fillId="2" borderId="61" xfId="2" applyFont="1" applyFill="1" applyBorder="1"/>
    <xf numFmtId="9" fontId="5" fillId="26" borderId="61" xfId="2" applyFont="1" applyFill="1" applyBorder="1"/>
    <xf numFmtId="9" fontId="5" fillId="31" borderId="61" xfId="2" applyFont="1" applyFill="1" applyBorder="1"/>
    <xf numFmtId="9" fontId="5" fillId="32" borderId="61" xfId="2" applyFont="1" applyFill="1" applyBorder="1"/>
    <xf numFmtId="9" fontId="5" fillId="33" borderId="61" xfId="2" applyFont="1" applyFill="1" applyBorder="1"/>
    <xf numFmtId="9" fontId="5" fillId="34" borderId="61" xfId="2" applyFont="1" applyFill="1" applyBorder="1"/>
    <xf numFmtId="9" fontId="5" fillId="0" borderId="61" xfId="2" applyNumberFormat="1" applyFont="1" applyFill="1" applyBorder="1"/>
    <xf numFmtId="9" fontId="5" fillId="28" borderId="34" xfId="2" applyNumberFormat="1" applyFont="1" applyFill="1" applyBorder="1"/>
    <xf numFmtId="9" fontId="5" fillId="26" borderId="34" xfId="2" applyNumberFormat="1" applyFont="1" applyFill="1" applyBorder="1"/>
    <xf numFmtId="9" fontId="5" fillId="31" borderId="34" xfId="2" applyNumberFormat="1" applyFont="1" applyFill="1" applyBorder="1"/>
    <xf numFmtId="9" fontId="5" fillId="32" borderId="34" xfId="2" applyNumberFormat="1" applyFont="1" applyFill="1" applyBorder="1"/>
    <xf numFmtId="9" fontId="5" fillId="33" borderId="34" xfId="2" applyNumberFormat="1" applyFont="1" applyFill="1" applyBorder="1"/>
    <xf numFmtId="9" fontId="5" fillId="34" borderId="34" xfId="2" applyNumberFormat="1" applyFont="1" applyFill="1" applyBorder="1"/>
    <xf numFmtId="0" fontId="0" fillId="0" borderId="33" xfId="0" applyBorder="1"/>
    <xf numFmtId="0" fontId="20" fillId="0" borderId="46" xfId="0" applyFont="1" applyBorder="1" applyAlignment="1">
      <alignment horizontal="center"/>
    </xf>
    <xf numFmtId="9" fontId="5" fillId="28" borderId="5" xfId="2" applyNumberFormat="1" applyFont="1" applyFill="1" applyBorder="1"/>
    <xf numFmtId="9" fontId="24" fillId="30" borderId="6" xfId="0" applyNumberFormat="1" applyFont="1" applyFill="1" applyBorder="1"/>
    <xf numFmtId="9" fontId="5" fillId="26" borderId="5" xfId="2" applyNumberFormat="1" applyFont="1" applyFill="1" applyBorder="1"/>
    <xf numFmtId="9" fontId="24" fillId="26" borderId="6" xfId="0" applyNumberFormat="1" applyFont="1" applyFill="1" applyBorder="1"/>
    <xf numFmtId="9" fontId="5" fillId="31" borderId="5" xfId="2" applyNumberFormat="1" applyFont="1" applyFill="1" applyBorder="1"/>
    <xf numFmtId="9" fontId="24" fillId="31" borderId="6" xfId="0" applyNumberFormat="1" applyFont="1" applyFill="1" applyBorder="1"/>
    <xf numFmtId="9" fontId="5" fillId="32" borderId="5" xfId="2" applyNumberFormat="1" applyFont="1" applyFill="1" applyBorder="1"/>
    <xf numFmtId="9" fontId="24" fillId="32" borderId="6" xfId="0" applyNumberFormat="1" applyFont="1" applyFill="1" applyBorder="1"/>
    <xf numFmtId="9" fontId="5" fillId="33" borderId="5" xfId="2" applyNumberFormat="1" applyFont="1" applyFill="1" applyBorder="1"/>
    <xf numFmtId="9" fontId="24" fillId="33" borderId="6" xfId="0" applyNumberFormat="1" applyFont="1" applyFill="1" applyBorder="1"/>
    <xf numFmtId="9" fontId="5" fillId="34" borderId="5" xfId="2" applyNumberFormat="1" applyFont="1" applyFill="1" applyBorder="1"/>
    <xf numFmtId="9" fontId="24" fillId="34" borderId="6" xfId="0" applyNumberFormat="1" applyFont="1" applyFill="1" applyBorder="1"/>
    <xf numFmtId="9" fontId="24" fillId="0" borderId="11" xfId="0" applyNumberFormat="1" applyFont="1" applyFill="1" applyBorder="1"/>
    <xf numFmtId="9" fontId="5" fillId="28" borderId="31" xfId="2" applyNumberFormat="1" applyFont="1" applyFill="1" applyBorder="1"/>
    <xf numFmtId="9" fontId="5" fillId="26" borderId="31" xfId="2" applyNumberFormat="1" applyFont="1" applyFill="1" applyBorder="1"/>
    <xf numFmtId="9" fontId="5" fillId="31" borderId="31" xfId="2" applyNumberFormat="1" applyFont="1" applyFill="1" applyBorder="1"/>
    <xf numFmtId="9" fontId="5" fillId="32" borderId="31" xfId="2" applyNumberFormat="1" applyFont="1" applyFill="1" applyBorder="1"/>
    <xf numFmtId="9" fontId="5" fillId="33" borderId="31" xfId="2" applyNumberFormat="1" applyFont="1" applyFill="1" applyBorder="1"/>
    <xf numFmtId="9" fontId="5" fillId="34" borderId="31" xfId="2" applyNumberFormat="1" applyFont="1" applyFill="1" applyBorder="1"/>
    <xf numFmtId="9" fontId="5" fillId="0" borderId="62" xfId="2" applyNumberFormat="1" applyFont="1" applyFill="1" applyBorder="1"/>
    <xf numFmtId="0" fontId="0" fillId="0" borderId="0" xfId="0" applyAlignment="1">
      <alignment horizontal="left"/>
    </xf>
    <xf numFmtId="9" fontId="0" fillId="0" borderId="5" xfId="0" applyNumberFormat="1" applyFill="1" applyBorder="1" applyAlignment="1">
      <alignment horizontal="center"/>
    </xf>
    <xf numFmtId="0" fontId="0" fillId="0" borderId="40" xfId="0" applyBorder="1" applyAlignment="1">
      <alignment horizontal="center" wrapText="1"/>
    </xf>
    <xf numFmtId="0" fontId="0" fillId="0" borderId="37" xfId="0" applyFill="1" applyBorder="1" applyAlignment="1">
      <alignment horizontal="center" wrapText="1"/>
    </xf>
    <xf numFmtId="164" fontId="0" fillId="28" borderId="36" xfId="0" applyNumberFormat="1" applyFill="1" applyBorder="1" applyAlignment="1">
      <alignment wrapText="1"/>
    </xf>
    <xf numFmtId="164" fontId="20" fillId="28" borderId="15" xfId="0" applyNumberFormat="1" applyFont="1" applyFill="1" applyBorder="1"/>
    <xf numFmtId="164" fontId="20" fillId="28" borderId="33" xfId="0" applyNumberFormat="1" applyFont="1" applyFill="1" applyBorder="1" applyAlignment="1">
      <alignment horizontal="center"/>
    </xf>
    <xf numFmtId="43" fontId="0" fillId="2" borderId="37" xfId="0" applyNumberFormat="1" applyFill="1" applyBorder="1" applyAlignment="1">
      <alignment wrapText="1"/>
    </xf>
    <xf numFmtId="9" fontId="0" fillId="37" borderId="15" xfId="2" applyFont="1" applyFill="1" applyBorder="1" applyAlignment="1">
      <alignment horizontal="center" wrapText="1"/>
    </xf>
    <xf numFmtId="9" fontId="0" fillId="0" borderId="7" xfId="2" applyFont="1" applyBorder="1" applyAlignment="1">
      <alignment horizontal="center" wrapText="1"/>
    </xf>
    <xf numFmtId="9" fontId="0" fillId="0" borderId="13" xfId="2" applyFont="1" applyFill="1" applyBorder="1" applyAlignment="1">
      <alignment horizontal="center" wrapText="1"/>
    </xf>
    <xf numFmtId="0" fontId="0" fillId="0" borderId="7" xfId="0" applyBorder="1" applyAlignment="1">
      <alignment horizontal="center"/>
    </xf>
    <xf numFmtId="9" fontId="0" fillId="0" borderId="7" xfId="2" applyFont="1" applyBorder="1" applyAlignment="1">
      <alignment horizontal="center"/>
    </xf>
    <xf numFmtId="9" fontId="0" fillId="0" borderId="13" xfId="2" applyFont="1" applyBorder="1" applyAlignment="1">
      <alignment horizontal="center"/>
    </xf>
    <xf numFmtId="3" fontId="20" fillId="13" borderId="37" xfId="0" applyNumberFormat="1" applyFont="1" applyFill="1" applyBorder="1"/>
    <xf numFmtId="3" fontId="0" fillId="5" borderId="37" xfId="0" applyNumberFormat="1" applyFill="1" applyBorder="1"/>
    <xf numFmtId="3" fontId="20" fillId="14" borderId="37" xfId="0" applyNumberFormat="1" applyFont="1" applyFill="1" applyBorder="1"/>
    <xf numFmtId="3" fontId="0" fillId="38" borderId="37" xfId="0" applyNumberFormat="1" applyFill="1" applyBorder="1"/>
    <xf numFmtId="3" fontId="0" fillId="5" borderId="8" xfId="0" applyNumberFormat="1" applyFill="1" applyBorder="1"/>
    <xf numFmtId="3" fontId="0" fillId="2" borderId="2" xfId="0" applyNumberFormat="1" applyFill="1" applyBorder="1"/>
    <xf numFmtId="0" fontId="20" fillId="0" borderId="5" xfId="0" applyFont="1" applyFill="1" applyBorder="1" applyAlignment="1">
      <alignment horizontal="right"/>
    </xf>
    <xf numFmtId="3" fontId="5" fillId="2" borderId="13" xfId="1" applyNumberFormat="1" applyFont="1" applyFill="1" applyBorder="1"/>
    <xf numFmtId="0" fontId="0" fillId="0" borderId="33" xfId="0" applyBorder="1" applyAlignment="1">
      <alignment horizontal="center"/>
    </xf>
    <xf numFmtId="178" fontId="0" fillId="0" borderId="4" xfId="3" applyNumberFormat="1" applyFont="1" applyBorder="1"/>
    <xf numFmtId="178" fontId="0" fillId="0" borderId="7" xfId="3" applyNumberFormat="1" applyFont="1" applyBorder="1"/>
    <xf numFmtId="178" fontId="0" fillId="0" borderId="13" xfId="3" applyNumberFormat="1" applyFont="1" applyBorder="1"/>
    <xf numFmtId="0" fontId="0" fillId="0" borderId="32" xfId="0" applyFill="1" applyBorder="1"/>
    <xf numFmtId="0" fontId="0" fillId="0" borderId="34" xfId="0" applyFill="1" applyBorder="1"/>
    <xf numFmtId="14" fontId="0" fillId="0" borderId="34" xfId="0" applyNumberFormat="1" applyFill="1" applyBorder="1"/>
    <xf numFmtId="0" fontId="0" fillId="0" borderId="33" xfId="0" applyFill="1" applyBorder="1"/>
    <xf numFmtId="0" fontId="6" fillId="2" borderId="34" xfId="0" applyFont="1" applyFill="1" applyBorder="1" applyAlignment="1">
      <alignment horizontal="center"/>
    </xf>
    <xf numFmtId="0" fontId="6" fillId="5" borderId="5" xfId="0" applyFont="1" applyFill="1" applyBorder="1" applyAlignment="1">
      <alignment horizontal="center"/>
    </xf>
    <xf numFmtId="0" fontId="1" fillId="2" borderId="34" xfId="0" applyFont="1" applyFill="1" applyBorder="1" applyAlignment="1">
      <alignment horizontal="center"/>
    </xf>
    <xf numFmtId="14" fontId="6" fillId="14" borderId="5" xfId="0" applyNumberFormat="1" applyFont="1" applyFill="1" applyBorder="1" applyAlignment="1">
      <alignment horizontal="center"/>
    </xf>
    <xf numFmtId="0" fontId="6" fillId="15" borderId="2" xfId="0" applyFont="1" applyFill="1" applyBorder="1" applyAlignment="1">
      <alignment horizontal="center"/>
    </xf>
    <xf numFmtId="0" fontId="6" fillId="15" borderId="5" xfId="0" applyFont="1" applyFill="1" applyBorder="1" applyAlignment="1">
      <alignment horizontal="center"/>
    </xf>
    <xf numFmtId="0" fontId="6" fillId="13" borderId="5" xfId="0" applyFont="1" applyFill="1" applyBorder="1" applyAlignment="1">
      <alignment horizontal="center"/>
    </xf>
    <xf numFmtId="0" fontId="6" fillId="14" borderId="5" xfId="0" applyFont="1" applyFill="1" applyBorder="1" applyAlignment="1">
      <alignment horizontal="center"/>
    </xf>
    <xf numFmtId="0" fontId="6" fillId="10" borderId="5" xfId="0" applyFont="1" applyFill="1" applyBorder="1" applyAlignment="1">
      <alignment horizontal="center"/>
    </xf>
    <xf numFmtId="14" fontId="6" fillId="15" borderId="5" xfId="0" applyNumberFormat="1" applyFont="1" applyFill="1" applyBorder="1" applyAlignment="1">
      <alignment horizontal="center"/>
    </xf>
    <xf numFmtId="0" fontId="0" fillId="15" borderId="4" xfId="0" applyFont="1" applyFill="1" applyBorder="1" applyAlignment="1">
      <alignment horizontal="center" vertical="top"/>
    </xf>
    <xf numFmtId="0" fontId="0" fillId="33" borderId="50" xfId="0" applyFont="1" applyFill="1" applyBorder="1" applyAlignment="1">
      <alignment vertical="top"/>
    </xf>
    <xf numFmtId="0" fontId="0" fillId="0" borderId="16" xfId="0" applyBorder="1" applyAlignment="1"/>
    <xf numFmtId="0" fontId="0" fillId="0" borderId="23" xfId="0" applyBorder="1" applyAlignment="1"/>
    <xf numFmtId="0" fontId="0" fillId="34" borderId="50" xfId="0" applyFont="1" applyFill="1" applyBorder="1" applyAlignment="1">
      <alignment vertical="top"/>
    </xf>
    <xf numFmtId="0" fontId="22" fillId="0" borderId="2"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40" xfId="0" applyFont="1" applyBorder="1" applyAlignment="1">
      <alignment horizontal="center"/>
    </xf>
    <xf numFmtId="0" fontId="22" fillId="0" borderId="37" xfId="0" applyFont="1" applyBorder="1" applyAlignment="1">
      <alignment horizontal="center"/>
    </xf>
    <xf numFmtId="0" fontId="0" fillId="28" borderId="50" xfId="0" applyFont="1" applyFill="1" applyBorder="1" applyAlignment="1">
      <alignment vertical="top"/>
    </xf>
    <xf numFmtId="0" fontId="0" fillId="26" borderId="50" xfId="0" applyFont="1" applyFill="1" applyBorder="1" applyAlignment="1">
      <alignment vertical="top"/>
    </xf>
    <xf numFmtId="0" fontId="0" fillId="31" borderId="50" xfId="0" applyFont="1" applyFill="1" applyBorder="1" applyAlignment="1">
      <alignment vertical="top"/>
    </xf>
    <xf numFmtId="0" fontId="0" fillId="32" borderId="50" xfId="0" applyFont="1" applyFill="1" applyBorder="1" applyAlignment="1">
      <alignment vertical="top"/>
    </xf>
    <xf numFmtId="0" fontId="7" fillId="23" borderId="0" xfId="0" applyFont="1" applyFill="1" applyBorder="1" applyAlignment="1">
      <alignment horizontal="justify"/>
    </xf>
    <xf numFmtId="0" fontId="0" fillId="23" borderId="0" xfId="0" applyFill="1" applyAlignment="1"/>
    <xf numFmtId="0" fontId="3" fillId="23" borderId="0" xfId="0" applyFont="1" applyFill="1" applyBorder="1" applyAlignment="1">
      <alignment horizontal="justify"/>
    </xf>
    <xf numFmtId="0" fontId="0" fillId="23" borderId="0" xfId="0" applyFill="1" applyBorder="1" applyAlignment="1"/>
    <xf numFmtId="0" fontId="0" fillId="25" borderId="0" xfId="0" applyFill="1" applyBorder="1" applyAlignment="1">
      <alignment horizontal="right"/>
    </xf>
    <xf numFmtId="0" fontId="0" fillId="25" borderId="0" xfId="0" applyFill="1" applyAlignment="1">
      <alignment horizontal="right"/>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colors>
    <mruColors>
      <color rgb="FF008E40"/>
      <color rgb="FFCCFF99"/>
      <color rgb="FF007434"/>
      <color rgb="FF006C31"/>
      <color rgb="FF00A249"/>
      <color rgb="FFFFCC29"/>
      <color rgb="FFFFFF99"/>
      <color rgb="FF0171BA"/>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hartsheet" Target="chartsheets/sheet2.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7.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hartsheet" Target="chartsheets/sheet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68.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Benefit</a:t>
            </a:r>
            <a:r>
              <a:rPr lang="en-GB" baseline="0"/>
              <a:t> Split by Type</a:t>
            </a:r>
            <a:endParaRPr lang="en-GB"/>
          </a:p>
        </c:rich>
      </c:tx>
    </c:title>
    <c:view3D>
      <c:rotX val="30"/>
      <c:perspective val="30"/>
    </c:view3D>
    <c:plotArea>
      <c:layout/>
      <c:pie3DChart>
        <c:varyColors val="1"/>
        <c:ser>
          <c:idx val="0"/>
          <c:order val="0"/>
          <c:dLbls>
            <c:txPr>
              <a:bodyPr/>
              <a:lstStyle/>
              <a:p>
                <a:pPr>
                  <a:defRPr sz="1800">
                    <a:latin typeface="Times New Roman" pitchFamily="18" charset="0"/>
                    <a:cs typeface="Times New Roman" pitchFamily="18" charset="0"/>
                  </a:defRPr>
                </a:pPr>
                <a:endParaRPr lang="en-US"/>
              </a:p>
            </c:txPr>
            <c:showPercent val="1"/>
          </c:dLbls>
          <c:cat>
            <c:strRef>
              <c:f>Summary!$F$98:$F$100</c:f>
              <c:strCache>
                <c:ptCount val="3"/>
                <c:pt idx="0">
                  <c:v>Avoided Costs</c:v>
                </c:pt>
                <c:pt idx="1">
                  <c:v>Additional Investment</c:v>
                </c:pt>
                <c:pt idx="2">
                  <c:v>Efficiency Gain</c:v>
                </c:pt>
              </c:strCache>
            </c:strRef>
          </c:cat>
          <c:val>
            <c:numRef>
              <c:f>Summary!$S$98:$S$100</c:f>
              <c:numCache>
                <c:formatCode>_-"£"* #,##0_-;\-"£"* #,##0_-;_-"£"* "-"??_-;_-@_-</c:formatCode>
                <c:ptCount val="3"/>
                <c:pt idx="0">
                  <c:v>2421935.2649876741</c:v>
                </c:pt>
                <c:pt idx="1">
                  <c:v>38060010.690408915</c:v>
                </c:pt>
                <c:pt idx="2">
                  <c:v>92688591.465447456</c:v>
                </c:pt>
              </c:numCache>
            </c:numRef>
          </c:val>
        </c:ser>
        <c:dLbls>
          <c:showPercent val="1"/>
        </c:dLbls>
      </c:pie3DChart>
    </c:plotArea>
    <c:legend>
      <c:legendPos val="t"/>
      <c:txPr>
        <a:bodyPr/>
        <a:lstStyle/>
        <a:p>
          <a:pPr>
            <a:defRPr sz="1400">
              <a:latin typeface="Times New Roman" pitchFamily="18" charset="0"/>
              <a:cs typeface="Times New Roman" pitchFamily="18" charset="0"/>
            </a:defRPr>
          </a:pPr>
          <a:endParaRPr lang="en-US"/>
        </a:p>
      </c:txPr>
    </c:legend>
    <c:plotVisOnly val="1"/>
  </c:chart>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Benefit Sharing with Partners</a:t>
            </a:r>
          </a:p>
        </c:rich>
      </c:tx>
    </c:title>
    <c:view3D>
      <c:rotX val="30"/>
      <c:perspective val="30"/>
    </c:view3D>
    <c:plotArea>
      <c:layout/>
      <c:pie3DChart>
        <c:varyColors val="1"/>
        <c:ser>
          <c:idx val="0"/>
          <c:order val="0"/>
          <c:dLbls>
            <c:txPr>
              <a:bodyPr/>
              <a:lstStyle/>
              <a:p>
                <a:pPr>
                  <a:defRPr sz="1800" b="0">
                    <a:latin typeface="Times New Roman" pitchFamily="18" charset="0"/>
                    <a:cs typeface="Times New Roman" pitchFamily="18" charset="0"/>
                  </a:defRPr>
                </a:pPr>
                <a:endParaRPr lang="en-US"/>
              </a:p>
            </c:txPr>
            <c:showPercent val="1"/>
            <c:showLeaderLines val="1"/>
          </c:dLbls>
          <c:cat>
            <c:strRef>
              <c:f>'2010-11 Sharing %'!$J$66:$J$68</c:f>
              <c:strCache>
                <c:ptCount val="3"/>
                <c:pt idx="0">
                  <c:v>SFT</c:v>
                </c:pt>
                <c:pt idx="1">
                  <c:v>Central</c:v>
                </c:pt>
                <c:pt idx="2">
                  <c:v>Local</c:v>
                </c:pt>
              </c:strCache>
            </c:strRef>
          </c:cat>
          <c:val>
            <c:numRef>
              <c:f>'2010-11 Sharing %'!$L$66:$L$68</c:f>
              <c:numCache>
                <c:formatCode>0%</c:formatCode>
                <c:ptCount val="3"/>
                <c:pt idx="0">
                  <c:v>0.4256871871222489</c:v>
                </c:pt>
                <c:pt idx="1">
                  <c:v>0.31260734813080809</c:v>
                </c:pt>
                <c:pt idx="2">
                  <c:v>0.26170546474694295</c:v>
                </c:pt>
              </c:numCache>
            </c:numRef>
          </c:val>
        </c:ser>
        <c:dLbls>
          <c:showPercent val="1"/>
        </c:dLbls>
      </c:pie3DChart>
    </c:plotArea>
    <c:legend>
      <c:legendPos val="t"/>
      <c:txPr>
        <a:bodyPr/>
        <a:lstStyle/>
        <a:p>
          <a:pPr>
            <a:defRPr sz="1800">
              <a:latin typeface="Times New Roman" pitchFamily="18" charset="0"/>
              <a:cs typeface="Times New Roman" pitchFamily="18" charset="0"/>
            </a:defRPr>
          </a:pPr>
          <a:endParaRPr lang="en-US"/>
        </a:p>
      </c:txPr>
    </c:legend>
    <c:plotVisOnly val="1"/>
  </c:chart>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Benefit</a:t>
            </a:r>
            <a:r>
              <a:rPr lang="en-GB" baseline="0"/>
              <a:t> Split by Sector</a:t>
            </a:r>
            <a:endParaRPr lang="en-GB"/>
          </a:p>
        </c:rich>
      </c:tx>
    </c:title>
    <c:view3D>
      <c:rotX val="30"/>
      <c:perspective val="30"/>
    </c:view3D>
    <c:plotArea>
      <c:layout/>
      <c:pie3DChart>
        <c:varyColors val="1"/>
        <c:ser>
          <c:idx val="0"/>
          <c:order val="0"/>
          <c:dLbls>
            <c:dLbl>
              <c:idx val="10"/>
              <c:layout>
                <c:manualLayout>
                  <c:x val="0.14632256519265888"/>
                  <c:y val="-1.7309672111881537E-2"/>
                </c:manualLayout>
              </c:layout>
              <c:showCatName val="1"/>
              <c:showPercent val="1"/>
            </c:dLbl>
            <c:showCatName val="1"/>
            <c:showPercent val="1"/>
            <c:showLeaderLines val="1"/>
          </c:dLbls>
          <c:cat>
            <c:strRef>
              <c:f>'Resource Input'!$A$2:$A$12</c:f>
              <c:strCache>
                <c:ptCount val="11"/>
                <c:pt idx="0">
                  <c:v>Hub</c:v>
                </c:pt>
                <c:pt idx="1">
                  <c:v>Schools</c:v>
                </c:pt>
                <c:pt idx="2">
                  <c:v>Environment</c:v>
                </c:pt>
                <c:pt idx="3">
                  <c:v>Transport</c:v>
                </c:pt>
                <c:pt idx="4">
                  <c:v>TIF</c:v>
                </c:pt>
                <c:pt idx="5">
                  <c:v>Funding and Finance</c:v>
                </c:pt>
                <c:pt idx="6">
                  <c:v>Operational Projects</c:v>
                </c:pt>
                <c:pt idx="7">
                  <c:v>Legacy Projects</c:v>
                </c:pt>
                <c:pt idx="8">
                  <c:v>NHT/Housing</c:v>
                </c:pt>
                <c:pt idx="9">
                  <c:v>Validation</c:v>
                </c:pt>
                <c:pt idx="10">
                  <c:v>Others (Incl Budget Recast &amp; Asset Management)</c:v>
                </c:pt>
              </c:strCache>
            </c:strRef>
          </c:cat>
          <c:val>
            <c:numRef>
              <c:f>'Resource Input'!$B$2:$B$12</c:f>
              <c:numCache>
                <c:formatCode>_-"£"* #,##0_-;\-"£"* #,##0_-;_-"£"* "-"??_-;_-@_-</c:formatCode>
                <c:ptCount val="11"/>
                <c:pt idx="0">
                  <c:v>6800000</c:v>
                </c:pt>
                <c:pt idx="1">
                  <c:v>2500000</c:v>
                </c:pt>
                <c:pt idx="2">
                  <c:v>4100000</c:v>
                </c:pt>
                <c:pt idx="3">
                  <c:v>6100000</c:v>
                </c:pt>
                <c:pt idx="4">
                  <c:v>16000000</c:v>
                </c:pt>
                <c:pt idx="5">
                  <c:v>3100000</c:v>
                </c:pt>
                <c:pt idx="6">
                  <c:v>1500000</c:v>
                </c:pt>
                <c:pt idx="7">
                  <c:v>11800000</c:v>
                </c:pt>
                <c:pt idx="8">
                  <c:v>17600000</c:v>
                </c:pt>
                <c:pt idx="9">
                  <c:v>6500000</c:v>
                </c:pt>
                <c:pt idx="10">
                  <c:v>37500000</c:v>
                </c:pt>
              </c:numCache>
            </c:numRef>
          </c:val>
        </c:ser>
        <c:dLbls>
          <c:showCatName val="1"/>
          <c:showPercent val="1"/>
        </c:dLbls>
      </c:pie3DChart>
    </c:plotArea>
    <c:plotVisOnly val="1"/>
  </c:chart>
  <c:printSettings>
    <c:headerFooter/>
    <c:pageMargins b="0.750000000000001" l="0.70000000000000062" r="0.70000000000000062" t="0.750000000000001"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99408" cy="60909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9408" cy="60909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180975</xdr:colOff>
      <xdr:row>18</xdr:row>
      <xdr:rowOff>0</xdr:rowOff>
    </xdr:from>
    <xdr:to>
      <xdr:col>1</xdr:col>
      <xdr:colOff>504825</xdr:colOff>
      <xdr:row>34</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mpanyweb/Users/lynnemarie.thom/AppData/Local/Microsoft/Windows/Temporary%20Internet%20Files/Content.Outlook/UF86M3TR/110322%20Benefits%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mpanyweb/Shared%20Documents/Benefits%20Realisation/2010%2011%20Benefits/Benefit%20Calculations%202010%2011/NG%20hub/hub%20benefits%20from%20NG%2018%20April%20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ompanyweb/Shared%20Documents/Benefits%20Realisation/2009-10%20Benefits%20Announcement%20-%201%20Sep%2010/SFT%20Statement%20of%20Benefits%2009_10%20Calculation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
      <sheetName val="A6 - ESA95 "/>
      <sheetName val="C1 Western Isles  Orkney"/>
      <sheetName val="C3 Bord Rail - Comp"/>
      <sheetName val="RHSC DCN - Comp"/>
      <sheetName val="NPD Contract - Consult Cost"/>
      <sheetName val="NPD Cont - Saved Proct Time"/>
      <sheetName val="Ops PPP "/>
      <sheetName val="NPD - Red Risk Tfr "/>
      <sheetName val="C2 Bord Rail Fin"/>
      <sheetName val="NPD Prog - Red WACC"/>
    </sheetNames>
    <sheetDataSet>
      <sheetData sheetId="0" refreshError="1"/>
      <sheetData sheetId="1" refreshError="1"/>
      <sheetData sheetId="2" refreshError="1"/>
      <sheetData sheetId="3" refreshError="1"/>
      <sheetData sheetId="4" refreshError="1"/>
      <sheetData sheetId="5" refreshError="1"/>
      <sheetData sheetId="6">
        <row r="107">
          <cell r="M107">
            <v>2</v>
          </cell>
          <cell r="N107">
            <v>2</v>
          </cell>
          <cell r="O107">
            <v>3</v>
          </cell>
        </row>
      </sheetData>
      <sheetData sheetId="7" refreshError="1"/>
      <sheetData sheetId="8">
        <row r="79">
          <cell r="O79">
            <v>5.4249999999999998</v>
          </cell>
        </row>
      </sheetData>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Top 10"/>
      <sheetName val="Summary"/>
      <sheetName val="Calcs - Scen 1"/>
      <sheetName val="Calcs - Scen 2"/>
      <sheetName val="Calcs - Scen 3"/>
      <sheetName val="Confidence Factors"/>
      <sheetName val="A1 PUK KSR Fees"/>
      <sheetName val="A2 Waste Validation Fees"/>
      <sheetName val="A3 Data Capture"/>
      <sheetName val="A4 Prog Support"/>
      <sheetName val="A5 Proc Cost Benefits"/>
      <sheetName val="A6 ESA95 Consult Fees"/>
      <sheetName val="A7 TIF Consult Fees"/>
      <sheetName val="A8 NHT Consult Fees"/>
      <sheetName val="B1 TIF Develop"/>
      <sheetName val="B2 NHT Develop"/>
      <sheetName val="C1 West &amp; Ork"/>
      <sheetName val="C2 Borders Rail Fin"/>
      <sheetName val="C3 Borders Rail Comp"/>
      <sheetName val="D1 Reduced Proc Time"/>
      <sheetName val="D2 Cont Improvement"/>
      <sheetName val="D3 Savings in Bid Costs"/>
      <sheetName val="D4 Public Sector Inv Returns"/>
      <sheetName val="D5 Reduced IRR"/>
      <sheetName val="D1-D5 hub Benefit Summary"/>
      <sheetName val="D1-D5 hub Benefit Assumptions"/>
      <sheetName val="D6 Dialogue Stage Intervention"/>
      <sheetName val="D7 Schools Pilot Project"/>
      <sheetName val="D8 Schools Needs Ident"/>
      <sheetName val="D8 cont - Needs ID"/>
      <sheetName val="D9 Schools Cont Improv"/>
      <sheetName val="E1 Validation Non-Std Civils"/>
      <sheetName val="E2 Validation Std Accom"/>
      <sheetName val="E1-E2 Validation Backup"/>
      <sheetName val="F1 Ops project support"/>
      <sheetName val="G1 Proc Time Benefits"/>
      <sheetName val="G2 Serv Cost Benefits"/>
      <sheetName val="Nxt Spnd Rev inc 09-10 &amp; 11-12"/>
      <sheetName val="Nxt Spnd Rev 11-12 to 14-15"/>
      <sheetName val="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0">
          <cell r="D10" t="str">
            <v>D1</v>
          </cell>
        </row>
      </sheetData>
      <sheetData sheetId="21">
        <row r="10">
          <cell r="D10" t="str">
            <v>D2</v>
          </cell>
        </row>
      </sheetData>
      <sheetData sheetId="22">
        <row r="10">
          <cell r="D10" t="str">
            <v>D3</v>
          </cell>
        </row>
      </sheetData>
      <sheetData sheetId="23">
        <row r="10">
          <cell r="D10" t="str">
            <v>D4</v>
          </cell>
        </row>
      </sheetData>
      <sheetData sheetId="24">
        <row r="10">
          <cell r="D10" t="str">
            <v>D5</v>
          </cell>
        </row>
      </sheetData>
      <sheetData sheetId="25">
        <row r="8">
          <cell r="B8" t="str">
            <v>D1</v>
          </cell>
        </row>
        <row r="10">
          <cell r="B10" t="str">
            <v>D2</v>
          </cell>
        </row>
        <row r="12">
          <cell r="B12" t="str">
            <v>D3</v>
          </cell>
        </row>
        <row r="14">
          <cell r="B14" t="str">
            <v>D4</v>
          </cell>
        </row>
        <row r="16">
          <cell r="B16" t="str">
            <v>D5</v>
          </cell>
        </row>
      </sheetData>
      <sheetData sheetId="26">
        <row r="56">
          <cell r="F56">
            <v>0.66</v>
          </cell>
          <cell r="G56">
            <v>0.85699999999999987</v>
          </cell>
          <cell r="H56">
            <v>0.59070833333333339</v>
          </cell>
          <cell r="I56">
            <v>0.73245833333333343</v>
          </cell>
          <cell r="J56">
            <v>0.79325000000000001</v>
          </cell>
          <cell r="K56">
            <v>0.85404166666666681</v>
          </cell>
          <cell r="L56">
            <v>0.91483333333333339</v>
          </cell>
          <cell r="M56">
            <v>0.97562500000000019</v>
          </cell>
          <cell r="N56">
            <v>1.0364166666666668</v>
          </cell>
          <cell r="O56">
            <v>1.0972083333333336</v>
          </cell>
          <cell r="P56">
            <v>0.63687500000000008</v>
          </cell>
          <cell r="Q56">
            <v>0.69766666666666677</v>
          </cell>
          <cell r="R56">
            <v>0.69766666666666677</v>
          </cell>
          <cell r="S56">
            <v>0.69766666666666677</v>
          </cell>
          <cell r="T56">
            <v>0.69766666666666677</v>
          </cell>
          <cell r="U56">
            <v>0.69766666666666677</v>
          </cell>
          <cell r="V56">
            <v>0.69766666666666677</v>
          </cell>
          <cell r="W56">
            <v>0.69766666666666677</v>
          </cell>
          <cell r="X56">
            <v>0.69766666666666677</v>
          </cell>
          <cell r="Y56">
            <v>0.69766666666666677</v>
          </cell>
          <cell r="Z56">
            <v>0.69766666666666677</v>
          </cell>
          <cell r="AA56">
            <v>0.69766666666666677</v>
          </cell>
          <cell r="AB56">
            <v>0.69766666666666677</v>
          </cell>
          <cell r="AC56">
            <v>0.69766666666666677</v>
          </cell>
          <cell r="AD56">
            <v>0.69766666666666677</v>
          </cell>
          <cell r="AE56">
            <v>0.69766666666666677</v>
          </cell>
          <cell r="AF56">
            <v>0.69766666666666677</v>
          </cell>
          <cell r="AG56">
            <v>0.62808333333333344</v>
          </cell>
          <cell r="AH56">
            <v>0.4863333333333334</v>
          </cell>
          <cell r="AI56">
            <v>0.42554166666666671</v>
          </cell>
          <cell r="AJ56">
            <v>0.36475000000000002</v>
          </cell>
          <cell r="AK56">
            <v>0.30395833333333333</v>
          </cell>
          <cell r="AL56">
            <v>0.24316666666666667</v>
          </cell>
          <cell r="AM56">
            <v>0.18237500000000001</v>
          </cell>
          <cell r="AN56">
            <v>0.12158333333333333</v>
          </cell>
          <cell r="AO56">
            <v>6.0791666666666667E-2</v>
          </cell>
          <cell r="AP56">
            <v>0</v>
          </cell>
        </row>
        <row r="87">
          <cell r="F87">
            <v>0</v>
          </cell>
          <cell r="G87">
            <v>0.20750000000000002</v>
          </cell>
          <cell r="H87">
            <v>0.41750000000000004</v>
          </cell>
          <cell r="I87">
            <v>0.71320000000000006</v>
          </cell>
          <cell r="J87">
            <v>1.01810625</v>
          </cell>
          <cell r="K87">
            <v>1.3503687500000001</v>
          </cell>
          <cell r="L87">
            <v>1.7099875</v>
          </cell>
          <cell r="M87">
            <v>2.0969625000000005</v>
          </cell>
          <cell r="N87">
            <v>2.5112937500000001</v>
          </cell>
          <cell r="O87">
            <v>2.9529812499999997</v>
          </cell>
          <cell r="P87">
            <v>0.92002499999999998</v>
          </cell>
          <cell r="Q87">
            <v>1.1558625</v>
          </cell>
          <cell r="R87">
            <v>1.1558625</v>
          </cell>
          <cell r="S87">
            <v>1.1558625</v>
          </cell>
          <cell r="T87">
            <v>1.1558625</v>
          </cell>
          <cell r="U87">
            <v>1.1558625</v>
          </cell>
          <cell r="V87">
            <v>1.1558625</v>
          </cell>
          <cell r="W87">
            <v>1.1558625</v>
          </cell>
          <cell r="X87">
            <v>1.1558625</v>
          </cell>
          <cell r="Y87">
            <v>1.1558625</v>
          </cell>
          <cell r="Z87">
            <v>1.1558625</v>
          </cell>
          <cell r="AA87">
            <v>1.1558625</v>
          </cell>
          <cell r="AB87">
            <v>1.1558625</v>
          </cell>
          <cell r="AC87">
            <v>1.1558625</v>
          </cell>
          <cell r="AD87">
            <v>1.1558625</v>
          </cell>
          <cell r="AE87">
            <v>1.1558625</v>
          </cell>
          <cell r="AF87">
            <v>1.1558625</v>
          </cell>
          <cell r="AG87">
            <v>1.1558625</v>
          </cell>
          <cell r="AH87">
            <v>1.1207250000000002</v>
          </cell>
          <cell r="AI87">
            <v>1.0763812500000001</v>
          </cell>
          <cell r="AJ87">
            <v>1.0046812500000002</v>
          </cell>
          <cell r="AK87">
            <v>0.90562500000000012</v>
          </cell>
          <cell r="AL87">
            <v>0.77921250000000009</v>
          </cell>
          <cell r="AM87">
            <v>0.62544375000000008</v>
          </cell>
          <cell r="AN87">
            <v>0.44431874999999998</v>
          </cell>
          <cell r="AO87">
            <v>0.23583749999999998</v>
          </cell>
          <cell r="AP87">
            <v>0</v>
          </cell>
        </row>
        <row r="117">
          <cell r="F117">
            <v>0</v>
          </cell>
          <cell r="G117">
            <v>0</v>
          </cell>
          <cell r="H117">
            <v>0.140625</v>
          </cell>
          <cell r="I117">
            <v>0.28125</v>
          </cell>
          <cell r="J117">
            <v>0.3984375</v>
          </cell>
          <cell r="K117">
            <v>0.515625</v>
          </cell>
          <cell r="L117">
            <v>0.6328125</v>
          </cell>
          <cell r="M117">
            <v>0.75</v>
          </cell>
          <cell r="N117">
            <v>0.8671875</v>
          </cell>
          <cell r="O117">
            <v>0.984375</v>
          </cell>
          <cell r="P117">
            <v>1.1015625</v>
          </cell>
          <cell r="Q117">
            <v>1.21875</v>
          </cell>
          <cell r="R117">
            <v>1.21875</v>
          </cell>
          <cell r="S117">
            <v>1.21875</v>
          </cell>
          <cell r="T117">
            <v>1.21875</v>
          </cell>
          <cell r="U117">
            <v>1.21875</v>
          </cell>
          <cell r="V117">
            <v>1.21875</v>
          </cell>
          <cell r="W117">
            <v>1.21875</v>
          </cell>
          <cell r="X117">
            <v>1.21875</v>
          </cell>
          <cell r="Y117">
            <v>1.21875</v>
          </cell>
          <cell r="Z117">
            <v>1.21875</v>
          </cell>
          <cell r="AA117">
            <v>1.21875</v>
          </cell>
          <cell r="AB117">
            <v>1.21875</v>
          </cell>
          <cell r="AC117">
            <v>1.21875</v>
          </cell>
          <cell r="AD117">
            <v>1.21875</v>
          </cell>
          <cell r="AE117">
            <v>1.21875</v>
          </cell>
          <cell r="AF117">
            <v>1.21875</v>
          </cell>
          <cell r="AG117">
            <v>1.078125</v>
          </cell>
          <cell r="AH117">
            <v>0.9375</v>
          </cell>
          <cell r="AI117">
            <v>0.8203125</v>
          </cell>
          <cell r="AJ117">
            <v>0.703125</v>
          </cell>
          <cell r="AK117">
            <v>0.5859375</v>
          </cell>
          <cell r="AL117">
            <v>0.46875</v>
          </cell>
          <cell r="AM117">
            <v>0.3515625</v>
          </cell>
          <cell r="AN117">
            <v>0.234375</v>
          </cell>
          <cell r="AO117">
            <v>0.1171875</v>
          </cell>
          <cell r="AP117">
            <v>0</v>
          </cell>
        </row>
        <row r="145">
          <cell r="F145">
            <v>0</v>
          </cell>
          <cell r="G145">
            <v>0</v>
          </cell>
          <cell r="H145">
            <v>6.5296999999999994E-2</v>
          </cell>
          <cell r="I145">
            <v>0.1983152</v>
          </cell>
          <cell r="J145">
            <v>0.25536209999999998</v>
          </cell>
          <cell r="K145">
            <v>0.31240899999999999</v>
          </cell>
          <cell r="L145">
            <v>0.3694559</v>
          </cell>
          <cell r="M145">
            <v>0.42650280000000002</v>
          </cell>
          <cell r="N145">
            <v>0.48354970000000003</v>
          </cell>
          <cell r="O145">
            <v>0.54059659999999998</v>
          </cell>
          <cell r="P145">
            <v>0.59764349999999999</v>
          </cell>
          <cell r="Q145">
            <v>0.65469040000000001</v>
          </cell>
          <cell r="R145">
            <v>0.65469040000000001</v>
          </cell>
          <cell r="S145">
            <v>0.65469040000000001</v>
          </cell>
          <cell r="T145">
            <v>0.65469040000000001</v>
          </cell>
          <cell r="U145">
            <v>0.65469040000000001</v>
          </cell>
          <cell r="V145">
            <v>0.65469040000000001</v>
          </cell>
          <cell r="W145">
            <v>0.65469040000000001</v>
          </cell>
          <cell r="X145">
            <v>0.65469040000000001</v>
          </cell>
          <cell r="Y145">
            <v>0.65469040000000001</v>
          </cell>
          <cell r="Z145">
            <v>0.65469040000000001</v>
          </cell>
          <cell r="AA145">
            <v>0.65469040000000001</v>
          </cell>
          <cell r="AB145">
            <v>0.65469040000000001</v>
          </cell>
          <cell r="AC145">
            <v>0.65469040000000001</v>
          </cell>
          <cell r="AD145">
            <v>0.65469040000000001</v>
          </cell>
          <cell r="AE145">
            <v>0.65469040000000001</v>
          </cell>
          <cell r="AF145">
            <v>0.65469040000000001</v>
          </cell>
          <cell r="AG145">
            <v>0.58939339999999996</v>
          </cell>
          <cell r="AH145">
            <v>0.45637519999999998</v>
          </cell>
          <cell r="AI145">
            <v>0.39932829999999997</v>
          </cell>
          <cell r="AJ145">
            <v>0.34228139999999996</v>
          </cell>
          <cell r="AK145">
            <v>0.28523449999999995</v>
          </cell>
          <cell r="AL145">
            <v>0.22818759999999996</v>
          </cell>
          <cell r="AM145">
            <v>0.17114069999999998</v>
          </cell>
          <cell r="AN145">
            <v>0.11409379999999998</v>
          </cell>
          <cell r="AO145">
            <v>5.7046899999999991E-2</v>
          </cell>
          <cell r="AP145">
            <v>0</v>
          </cell>
        </row>
        <row r="172">
          <cell r="F172">
            <v>0</v>
          </cell>
          <cell r="G172">
            <v>0</v>
          </cell>
          <cell r="H172">
            <v>0.12525</v>
          </cell>
          <cell r="I172">
            <v>0.38040000000000007</v>
          </cell>
          <cell r="J172">
            <v>0.48982500000000007</v>
          </cell>
          <cell r="K172">
            <v>0.59925000000000006</v>
          </cell>
          <cell r="L172">
            <v>0.70867500000000005</v>
          </cell>
          <cell r="M172">
            <v>0.81810000000000005</v>
          </cell>
          <cell r="N172">
            <v>0.92752500000000004</v>
          </cell>
          <cell r="O172">
            <v>1.03695</v>
          </cell>
          <cell r="P172">
            <v>1.1463749999999999</v>
          </cell>
          <cell r="Q172">
            <v>1.2557999999999998</v>
          </cell>
          <cell r="R172">
            <v>1.2557999999999998</v>
          </cell>
          <cell r="S172">
            <v>1.2557999999999998</v>
          </cell>
          <cell r="T172">
            <v>1.2557999999999998</v>
          </cell>
          <cell r="U172">
            <v>1.2557999999999998</v>
          </cell>
          <cell r="V172">
            <v>1.2557999999999998</v>
          </cell>
          <cell r="W172">
            <v>1.2557999999999998</v>
          </cell>
          <cell r="X172">
            <v>1.2557999999999998</v>
          </cell>
          <cell r="Y172">
            <v>1.2557999999999998</v>
          </cell>
          <cell r="Z172">
            <v>1.2557999999999998</v>
          </cell>
          <cell r="AA172">
            <v>1.2557999999999998</v>
          </cell>
          <cell r="AB172">
            <v>1.2557999999999998</v>
          </cell>
          <cell r="AC172">
            <v>1.2557999999999998</v>
          </cell>
          <cell r="AD172">
            <v>1.2557999999999998</v>
          </cell>
          <cell r="AE172">
            <v>1.2557999999999998</v>
          </cell>
          <cell r="AF172">
            <v>1.2557999999999998</v>
          </cell>
          <cell r="AG172">
            <v>1.1305499999999999</v>
          </cell>
          <cell r="AH172">
            <v>0.87539999999999996</v>
          </cell>
          <cell r="AI172">
            <v>0.76597499999999996</v>
          </cell>
          <cell r="AJ172">
            <v>0.65654999999999997</v>
          </cell>
          <cell r="AK172">
            <v>0.54712499999999997</v>
          </cell>
          <cell r="AL172">
            <v>0.43769999999999998</v>
          </cell>
          <cell r="AM172">
            <v>0.32827499999999998</v>
          </cell>
          <cell r="AN172">
            <v>0.21884999999999999</v>
          </cell>
          <cell r="AO172">
            <v>0.10942499999999999</v>
          </cell>
          <cell r="AP172">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Top 10"/>
      <sheetName val="Summary"/>
      <sheetName val="Calcs - Scen 1"/>
      <sheetName val="Calcs - Scen 2"/>
      <sheetName val="Calcs - Scen 3"/>
      <sheetName val="Confidence Factors"/>
      <sheetName val="A1 PUK KSR Fees"/>
      <sheetName val="A2 Waste Validation Fees"/>
      <sheetName val="A3 Data Capture"/>
      <sheetName val="A4 Prog Support"/>
      <sheetName val="A5 Proc Cost Benefits"/>
      <sheetName val="A6 ESA95 Consult Fees"/>
      <sheetName val="A7 TIF Consult Fees"/>
      <sheetName val="A8 NHT Consult Fees"/>
      <sheetName val="B1 TIF Develop"/>
      <sheetName val="B2 NHT Develop"/>
      <sheetName val="C1 West &amp; Ork"/>
      <sheetName val="C2 Borders Rail Fin"/>
      <sheetName val="C3 Borders Rail Comp"/>
      <sheetName val="D1 Reduced Proc Time"/>
      <sheetName val="D2 Cont Improvement"/>
      <sheetName val="D3 Savings in Bid Costs"/>
      <sheetName val="D4 Public Sector Inv Returns"/>
      <sheetName val="D5 Reduced IRR"/>
      <sheetName val="D1-D5 hub Benefit Summary"/>
      <sheetName val="D1-D5 hub Benefit Assumptions"/>
      <sheetName val="D6 Pub Sec Prtnsp Est Costs"/>
      <sheetName val="D7 Schools Pilot Project"/>
      <sheetName val="D8 Schools Needs Ident"/>
      <sheetName val="D8 cont - Needs ID"/>
      <sheetName val="D9 Schools Cont Improv"/>
      <sheetName val="E1 Validation Non-Std Civils"/>
      <sheetName val="E2 Validation Std Accom"/>
      <sheetName val="E1-E2 Validation Backup"/>
      <sheetName val="F1 Ops project support"/>
      <sheetName val="G1 Proc Time Benefits"/>
      <sheetName val="G2 Serv Cost Benefits"/>
      <sheetName val="Nxt Spnd Rev inc 09-10 &amp; 11-12"/>
      <sheetName val="Nxt Spnd Rev 11-12 to 14-15"/>
      <sheetName val="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23">
          <cell r="D23">
            <v>1.5299999999999999E-2</v>
          </cell>
        </row>
      </sheetData>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7.bin"/><Relationship Id="rId4" Type="http://schemas.openxmlformats.org/officeDocument/2006/relationships/comments" Target="../comments5.xm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F3:J14"/>
  <sheetViews>
    <sheetView zoomScale="75" zoomScaleNormal="75" workbookViewId="0">
      <selection activeCell="O24" sqref="O24"/>
    </sheetView>
  </sheetViews>
  <sheetFormatPr defaultRowHeight="15"/>
  <sheetData>
    <row r="3" spans="6:10" ht="26.25">
      <c r="F3" s="39"/>
      <c r="G3" s="39"/>
      <c r="H3" s="241"/>
      <c r="I3" s="39"/>
      <c r="J3" s="39"/>
    </row>
    <row r="8" spans="6:10">
      <c r="F8" s="281"/>
      <c r="G8" s="281"/>
      <c r="H8" s="281"/>
      <c r="I8" s="281"/>
      <c r="J8" s="281"/>
    </row>
    <row r="9" spans="6:10">
      <c r="F9" s="281"/>
      <c r="G9" s="281"/>
      <c r="H9" s="281"/>
      <c r="I9" s="281"/>
      <c r="J9" s="281"/>
    </row>
    <row r="10" spans="6:10" ht="18.75">
      <c r="F10" s="281"/>
      <c r="G10" s="281"/>
      <c r="H10" s="282" t="s">
        <v>60</v>
      </c>
      <c r="I10" s="281"/>
      <c r="J10" s="283"/>
    </row>
    <row r="11" spans="6:10" ht="18.75">
      <c r="F11" s="281"/>
      <c r="G11" s="281"/>
      <c r="H11" s="282" t="s">
        <v>347</v>
      </c>
      <c r="I11" s="281"/>
      <c r="J11" s="283"/>
    </row>
    <row r="12" spans="6:10" ht="18.75">
      <c r="F12" s="281"/>
      <c r="G12" s="281"/>
      <c r="H12" s="451" t="s">
        <v>372</v>
      </c>
      <c r="I12" s="281"/>
      <c r="J12" s="281"/>
    </row>
    <row r="13" spans="6:10" ht="18.75">
      <c r="F13" s="281"/>
      <c r="G13" s="281"/>
      <c r="H13" s="282" t="s">
        <v>348</v>
      </c>
      <c r="I13" s="281"/>
      <c r="J13" s="281"/>
    </row>
    <row r="14" spans="6:10">
      <c r="F14" s="281"/>
      <c r="G14" s="281"/>
      <c r="H14" s="281"/>
      <c r="I14" s="281"/>
      <c r="J14" s="281"/>
    </row>
  </sheetData>
  <phoneticPr fontId="19"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B1:I76"/>
  <sheetViews>
    <sheetView topLeftCell="A41" zoomScale="75" zoomScaleNormal="75" workbookViewId="0">
      <selection activeCell="I73" sqref="I73"/>
    </sheetView>
  </sheetViews>
  <sheetFormatPr defaultRowHeight="15"/>
  <cols>
    <col min="1" max="2" width="3.7109375" customWidth="1"/>
    <col min="3" max="3" width="61.42578125" bestFit="1" customWidth="1"/>
    <col min="4" max="4" width="34.28515625" style="26" bestFit="1" customWidth="1"/>
    <col min="5" max="5" width="5.85546875" bestFit="1" customWidth="1"/>
    <col min="6" max="7" width="3.7109375" customWidth="1"/>
    <col min="8" max="8" width="13.42578125" bestFit="1" customWidth="1"/>
    <col min="9" max="9" width="12.7109375" bestFit="1" customWidth="1"/>
    <col min="10" max="11" width="12.28515625" bestFit="1" customWidth="1"/>
    <col min="12" max="12" width="13.85546875" bestFit="1" customWidth="1"/>
  </cols>
  <sheetData>
    <row r="1" spans="2:6" ht="18.75">
      <c r="B1" s="25" t="s">
        <v>60</v>
      </c>
    </row>
    <row r="2" spans="2:6" ht="18.75">
      <c r="B2" s="25" t="s">
        <v>347</v>
      </c>
      <c r="C2" s="25"/>
    </row>
    <row r="3" spans="2:6" ht="18.75">
      <c r="B3" s="25" t="s">
        <v>299</v>
      </c>
      <c r="C3" s="33"/>
    </row>
    <row r="4" spans="2:6" ht="19.5" thickBot="1">
      <c r="B4" s="25"/>
      <c r="C4" s="33"/>
    </row>
    <row r="5" spans="2:6" ht="18.75">
      <c r="B5" s="285"/>
      <c r="C5" s="286" t="s">
        <v>105</v>
      </c>
      <c r="D5" s="287"/>
      <c r="E5" s="288"/>
      <c r="F5" s="289"/>
    </row>
    <row r="6" spans="2:6" ht="18.75">
      <c r="B6" s="290"/>
      <c r="C6" s="291" t="s">
        <v>299</v>
      </c>
      <c r="D6" s="292"/>
      <c r="E6" s="293"/>
      <c r="F6" s="294"/>
    </row>
    <row r="7" spans="2:6" ht="18.75">
      <c r="B7" s="290"/>
      <c r="C7" s="291" t="s">
        <v>104</v>
      </c>
      <c r="D7" s="292"/>
      <c r="E7" s="293"/>
      <c r="F7" s="294"/>
    </row>
    <row r="8" spans="2:6" s="32" customFormat="1">
      <c r="B8" s="295"/>
      <c r="C8" s="296"/>
      <c r="D8" s="297"/>
      <c r="E8" s="298"/>
      <c r="F8" s="299"/>
    </row>
    <row r="9" spans="2:6" s="32" customFormat="1">
      <c r="B9" s="295"/>
      <c r="C9" s="296" t="s">
        <v>103</v>
      </c>
      <c r="D9" s="300"/>
      <c r="E9" s="298"/>
      <c r="F9" s="299"/>
    </row>
    <row r="10" spans="2:6" s="32" customFormat="1">
      <c r="B10" s="295"/>
      <c r="C10" s="296" t="s">
        <v>102</v>
      </c>
      <c r="D10" s="469" t="s">
        <v>36</v>
      </c>
      <c r="E10" s="298"/>
      <c r="F10" s="299"/>
    </row>
    <row r="11" spans="2:6" s="32" customFormat="1">
      <c r="B11" s="295"/>
      <c r="C11" s="296" t="s">
        <v>109</v>
      </c>
      <c r="D11" s="301">
        <v>40235</v>
      </c>
      <c r="E11" s="298"/>
      <c r="F11" s="299"/>
    </row>
    <row r="12" spans="2:6" s="32" customFormat="1">
      <c r="B12" s="295"/>
      <c r="C12" s="296" t="s">
        <v>101</v>
      </c>
      <c r="D12" s="301">
        <v>40816</v>
      </c>
      <c r="E12" s="298"/>
      <c r="F12" s="299"/>
    </row>
    <row r="13" spans="2:6" s="32" customFormat="1">
      <c r="B13" s="295"/>
      <c r="C13" s="296"/>
      <c r="D13" s="297"/>
      <c r="E13" s="298"/>
      <c r="F13" s="299"/>
    </row>
    <row r="14" spans="2:6">
      <c r="B14" s="290"/>
      <c r="C14" s="296" t="s">
        <v>100</v>
      </c>
      <c r="D14" s="302" t="s">
        <v>99</v>
      </c>
      <c r="E14" s="302"/>
      <c r="F14" s="294"/>
    </row>
    <row r="15" spans="2:6">
      <c r="B15" s="290"/>
      <c r="C15" s="293"/>
      <c r="D15" s="302" t="s">
        <v>98</v>
      </c>
      <c r="E15" s="302"/>
      <c r="F15" s="294"/>
    </row>
    <row r="16" spans="2:6">
      <c r="B16" s="290"/>
      <c r="C16" s="293"/>
      <c r="D16" s="302" t="s">
        <v>97</v>
      </c>
      <c r="E16" s="302"/>
      <c r="F16" s="294"/>
    </row>
    <row r="17" spans="2:6">
      <c r="B17" s="290"/>
      <c r="C17" s="293"/>
      <c r="D17" s="302" t="s">
        <v>45</v>
      </c>
      <c r="E17" s="303" t="s">
        <v>96</v>
      </c>
      <c r="F17" s="294"/>
    </row>
    <row r="18" spans="2:6">
      <c r="B18" s="290"/>
      <c r="C18" s="293"/>
      <c r="D18" s="302" t="s">
        <v>95</v>
      </c>
      <c r="E18" s="302"/>
      <c r="F18" s="294"/>
    </row>
    <row r="19" spans="2:6">
      <c r="B19" s="290"/>
      <c r="C19" s="293"/>
      <c r="D19" s="302" t="s">
        <v>66</v>
      </c>
      <c r="E19" s="302"/>
      <c r="F19" s="294"/>
    </row>
    <row r="20" spans="2:6">
      <c r="B20" s="290"/>
      <c r="C20" s="293"/>
      <c r="D20" s="292"/>
      <c r="E20" s="293"/>
      <c r="F20" s="294"/>
    </row>
    <row r="21" spans="2:6">
      <c r="B21" s="290"/>
      <c r="C21" s="304" t="s">
        <v>65</v>
      </c>
      <c r="D21" s="300"/>
      <c r="E21" s="293"/>
      <c r="F21" s="294"/>
    </row>
    <row r="22" spans="2:6">
      <c r="B22" s="290"/>
      <c r="C22" s="305"/>
      <c r="D22" s="292"/>
      <c r="E22" s="293"/>
      <c r="F22" s="294"/>
    </row>
    <row r="23" spans="2:6">
      <c r="B23" s="290"/>
      <c r="C23" s="296" t="s">
        <v>94</v>
      </c>
      <c r="D23" s="300" t="s">
        <v>66</v>
      </c>
      <c r="E23" s="293"/>
      <c r="F23" s="294"/>
    </row>
    <row r="24" spans="2:6" hidden="1">
      <c r="B24" s="290"/>
      <c r="C24" s="296"/>
      <c r="D24" s="300"/>
      <c r="E24" s="293"/>
      <c r="F24" s="294"/>
    </row>
    <row r="25" spans="2:6" hidden="1">
      <c r="B25" s="290"/>
      <c r="C25" s="296"/>
      <c r="D25" s="300" t="s">
        <v>93</v>
      </c>
      <c r="E25" s="293"/>
      <c r="F25" s="294"/>
    </row>
    <row r="26" spans="2:6" hidden="1">
      <c r="B26" s="290"/>
      <c r="C26" s="296"/>
      <c r="D26" s="300" t="s">
        <v>58</v>
      </c>
      <c r="E26" s="293"/>
      <c r="F26" s="294"/>
    </row>
    <row r="27" spans="2:6" hidden="1">
      <c r="B27" s="290"/>
      <c r="C27" s="296"/>
      <c r="D27" s="300" t="s">
        <v>92</v>
      </c>
      <c r="E27" s="293"/>
      <c r="F27" s="294"/>
    </row>
    <row r="28" spans="2:6" hidden="1">
      <c r="B28" s="290"/>
      <c r="C28" s="296"/>
      <c r="D28" s="300" t="s">
        <v>91</v>
      </c>
      <c r="E28" s="293"/>
      <c r="F28" s="294"/>
    </row>
    <row r="29" spans="2:6" hidden="1">
      <c r="B29" s="290"/>
      <c r="C29" s="296"/>
      <c r="D29" s="300" t="s">
        <v>90</v>
      </c>
      <c r="E29" s="293"/>
      <c r="F29" s="294"/>
    </row>
    <row r="30" spans="2:6" hidden="1">
      <c r="B30" s="290"/>
      <c r="C30" s="296"/>
      <c r="D30" s="300" t="s">
        <v>89</v>
      </c>
      <c r="E30" s="293"/>
      <c r="F30" s="294"/>
    </row>
    <row r="31" spans="2:6" hidden="1">
      <c r="B31" s="290"/>
      <c r="C31" s="296"/>
      <c r="D31" s="300" t="s">
        <v>88</v>
      </c>
      <c r="E31" s="293"/>
      <c r="F31" s="294"/>
    </row>
    <row r="32" spans="2:6" hidden="1">
      <c r="B32" s="290"/>
      <c r="C32" s="296"/>
      <c r="D32" s="300" t="s">
        <v>87</v>
      </c>
      <c r="E32" s="293"/>
      <c r="F32" s="294"/>
    </row>
    <row r="33" spans="2:6" hidden="1">
      <c r="B33" s="290"/>
      <c r="C33" s="296"/>
      <c r="D33" s="300" t="s">
        <v>86</v>
      </c>
      <c r="E33" s="293"/>
      <c r="F33" s="294"/>
    </row>
    <row r="34" spans="2:6" hidden="1">
      <c r="B34" s="290"/>
      <c r="C34" s="296"/>
      <c r="D34" s="300" t="s">
        <v>85</v>
      </c>
      <c r="E34" s="293"/>
      <c r="F34" s="294"/>
    </row>
    <row r="35" spans="2:6" hidden="1">
      <c r="B35" s="290"/>
      <c r="C35" s="296"/>
      <c r="D35" s="300" t="s">
        <v>84</v>
      </c>
      <c r="E35" s="293"/>
      <c r="F35" s="294"/>
    </row>
    <row r="36" spans="2:6" hidden="1">
      <c r="B36" s="290"/>
      <c r="C36" s="296"/>
      <c r="D36" s="300" t="s">
        <v>83</v>
      </c>
      <c r="E36" s="293"/>
      <c r="F36" s="294"/>
    </row>
    <row r="37" spans="2:6" hidden="1">
      <c r="B37" s="290"/>
      <c r="C37" s="296"/>
      <c r="D37" s="300" t="s">
        <v>82</v>
      </c>
      <c r="E37" s="293"/>
      <c r="F37" s="294"/>
    </row>
    <row r="38" spans="2:6" hidden="1">
      <c r="B38" s="290"/>
      <c r="C38" s="296"/>
      <c r="D38" s="300" t="s">
        <v>81</v>
      </c>
      <c r="E38" s="293"/>
      <c r="F38" s="294"/>
    </row>
    <row r="39" spans="2:6" hidden="1">
      <c r="B39" s="290"/>
      <c r="C39" s="296"/>
      <c r="D39" s="306" t="s">
        <v>66</v>
      </c>
      <c r="E39" s="293"/>
      <c r="F39" s="294"/>
    </row>
    <row r="40" spans="2:6">
      <c r="B40" s="290"/>
      <c r="C40" s="296"/>
      <c r="D40" s="292"/>
      <c r="E40" s="293"/>
      <c r="F40" s="294"/>
    </row>
    <row r="41" spans="2:6" ht="45">
      <c r="B41" s="290"/>
      <c r="C41" s="304" t="s">
        <v>65</v>
      </c>
      <c r="D41" s="300" t="s">
        <v>361</v>
      </c>
      <c r="E41" s="293"/>
      <c r="F41" s="294"/>
    </row>
    <row r="42" spans="2:6">
      <c r="B42" s="290"/>
      <c r="C42" s="305"/>
      <c r="D42" s="292"/>
      <c r="E42" s="293"/>
      <c r="F42" s="294"/>
    </row>
    <row r="43" spans="2:6" ht="18.75">
      <c r="B43" s="307"/>
      <c r="C43" s="308" t="s">
        <v>80</v>
      </c>
      <c r="D43" s="309"/>
      <c r="E43" s="310"/>
      <c r="F43" s="311"/>
    </row>
    <row r="44" spans="2:6" ht="38.25" customHeight="1">
      <c r="B44" s="307"/>
      <c r="C44" s="391" t="s">
        <v>79</v>
      </c>
      <c r="D44" s="313" t="s">
        <v>693</v>
      </c>
      <c r="E44" s="310"/>
      <c r="F44" s="311"/>
    </row>
    <row r="45" spans="2:6">
      <c r="B45" s="307"/>
      <c r="C45" s="312" t="s">
        <v>78</v>
      </c>
      <c r="D45" s="313" t="s">
        <v>693</v>
      </c>
      <c r="E45" s="310"/>
      <c r="F45" s="311"/>
    </row>
    <row r="46" spans="2:6" ht="30">
      <c r="B46" s="307"/>
      <c r="C46" s="314" t="s">
        <v>77</v>
      </c>
      <c r="D46" s="313" t="s">
        <v>693</v>
      </c>
      <c r="E46" s="310"/>
      <c r="F46" s="311"/>
    </row>
    <row r="47" spans="2:6" ht="30">
      <c r="B47" s="307"/>
      <c r="C47" s="315" t="s">
        <v>76</v>
      </c>
      <c r="D47" s="313" t="s">
        <v>209</v>
      </c>
      <c r="E47" s="316"/>
      <c r="F47" s="311"/>
    </row>
    <row r="48" spans="2:6" hidden="1">
      <c r="B48" s="307"/>
      <c r="C48" s="315"/>
      <c r="D48" s="317" t="s">
        <v>209</v>
      </c>
      <c r="E48" s="310"/>
      <c r="F48" s="311"/>
    </row>
    <row r="49" spans="2:6" hidden="1">
      <c r="B49" s="307"/>
      <c r="C49" s="315"/>
      <c r="D49" s="317" t="s">
        <v>277</v>
      </c>
      <c r="E49" s="310"/>
      <c r="F49" s="311"/>
    </row>
    <row r="50" spans="2:6" hidden="1">
      <c r="B50" s="307"/>
      <c r="C50" s="315"/>
      <c r="D50" s="317" t="s">
        <v>276</v>
      </c>
      <c r="E50" s="310"/>
      <c r="F50" s="311"/>
    </row>
    <row r="51" spans="2:6" hidden="1">
      <c r="B51" s="307"/>
      <c r="C51" s="315"/>
      <c r="D51" s="317" t="s">
        <v>278</v>
      </c>
      <c r="E51" s="310"/>
      <c r="F51" s="311"/>
    </row>
    <row r="52" spans="2:6">
      <c r="B52" s="307"/>
      <c r="C52" s="318"/>
      <c r="D52" s="309"/>
      <c r="E52" s="310"/>
      <c r="F52" s="311"/>
    </row>
    <row r="53" spans="2:6" ht="18.75">
      <c r="B53" s="319"/>
      <c r="C53" s="320" t="s">
        <v>75</v>
      </c>
      <c r="D53" s="321"/>
      <c r="E53" s="322"/>
      <c r="F53" s="323"/>
    </row>
    <row r="54" spans="2:6">
      <c r="B54" s="319"/>
      <c r="C54" s="324" t="s">
        <v>74</v>
      </c>
      <c r="D54" s="325" t="s">
        <v>72</v>
      </c>
      <c r="E54" s="322"/>
      <c r="F54" s="323"/>
    </row>
    <row r="55" spans="2:6" hidden="1">
      <c r="B55" s="319"/>
      <c r="C55" s="326"/>
      <c r="D55" s="327"/>
      <c r="E55" s="322"/>
      <c r="F55" s="323"/>
    </row>
    <row r="56" spans="2:6" hidden="1">
      <c r="B56" s="319"/>
      <c r="C56" s="326"/>
      <c r="D56" s="328" t="s">
        <v>73</v>
      </c>
      <c r="E56" s="322"/>
      <c r="F56" s="323"/>
    </row>
    <row r="57" spans="2:6" hidden="1">
      <c r="B57" s="319"/>
      <c r="C57" s="326"/>
      <c r="D57" s="328" t="s">
        <v>72</v>
      </c>
      <c r="E57" s="322"/>
      <c r="F57" s="323"/>
    </row>
    <row r="58" spans="2:6" hidden="1">
      <c r="B58" s="319"/>
      <c r="C58" s="326"/>
      <c r="D58" s="328" t="s">
        <v>71</v>
      </c>
      <c r="E58" s="322"/>
      <c r="F58" s="323"/>
    </row>
    <row r="59" spans="2:6">
      <c r="B59" s="319"/>
      <c r="C59" s="351"/>
      <c r="D59" s="321"/>
      <c r="E59" s="322"/>
      <c r="F59" s="323"/>
    </row>
    <row r="60" spans="2:6">
      <c r="B60" s="319"/>
      <c r="C60" s="324" t="s">
        <v>70</v>
      </c>
      <c r="D60" s="325" t="s">
        <v>69</v>
      </c>
      <c r="E60" s="322"/>
      <c r="F60" s="323"/>
    </row>
    <row r="61" spans="2:6" hidden="1">
      <c r="B61" s="319"/>
      <c r="C61" s="324"/>
      <c r="D61" s="329" t="s">
        <v>69</v>
      </c>
      <c r="E61" s="330"/>
      <c r="F61" s="323"/>
    </row>
    <row r="62" spans="2:6" hidden="1">
      <c r="B62" s="319"/>
      <c r="C62" s="324"/>
      <c r="D62" s="329" t="s">
        <v>68</v>
      </c>
      <c r="E62" s="330"/>
      <c r="F62" s="323"/>
    </row>
    <row r="63" spans="2:6" hidden="1">
      <c r="B63" s="319"/>
      <c r="C63" s="324"/>
      <c r="D63" s="329" t="s">
        <v>67</v>
      </c>
      <c r="E63" s="330"/>
      <c r="F63" s="323"/>
    </row>
    <row r="64" spans="2:6" hidden="1">
      <c r="B64" s="319"/>
      <c r="C64" s="324"/>
      <c r="D64" s="329" t="s">
        <v>66</v>
      </c>
      <c r="E64" s="330"/>
      <c r="F64" s="323"/>
    </row>
    <row r="65" spans="2:9">
      <c r="B65" s="319"/>
      <c r="C65" s="331" t="s">
        <v>65</v>
      </c>
      <c r="D65" s="325"/>
      <c r="E65" s="322"/>
      <c r="F65" s="323"/>
    </row>
    <row r="66" spans="2:9">
      <c r="B66" s="319"/>
      <c r="C66" s="324"/>
      <c r="D66" s="321"/>
      <c r="E66" s="322"/>
      <c r="F66" s="323"/>
    </row>
    <row r="67" spans="2:9" ht="18.75">
      <c r="B67" s="332"/>
      <c r="C67" s="333" t="s">
        <v>64</v>
      </c>
      <c r="D67" s="334"/>
      <c r="E67" s="335"/>
      <c r="F67" s="336"/>
    </row>
    <row r="68" spans="2:9">
      <c r="B68" s="332"/>
      <c r="C68" s="337" t="s">
        <v>118</v>
      </c>
      <c r="D68" s="338">
        <v>247000000</v>
      </c>
      <c r="E68" s="335"/>
      <c r="F68" s="336"/>
    </row>
    <row r="69" spans="2:9">
      <c r="B69" s="332"/>
      <c r="C69" s="418" t="s">
        <v>107</v>
      </c>
      <c r="D69" s="339"/>
      <c r="E69" s="335"/>
      <c r="F69" s="336"/>
    </row>
    <row r="70" spans="2:9">
      <c r="B70" s="332"/>
      <c r="C70" s="418" t="s">
        <v>119</v>
      </c>
      <c r="D70" s="338">
        <v>204996</v>
      </c>
      <c r="E70" s="335"/>
      <c r="F70" s="336"/>
      <c r="H70">
        <f>76996+128000</f>
        <v>204996</v>
      </c>
    </row>
    <row r="71" spans="2:9">
      <c r="B71" s="332"/>
      <c r="C71" s="337"/>
      <c r="D71" s="340"/>
      <c r="E71" s="335"/>
      <c r="F71" s="336"/>
    </row>
    <row r="72" spans="2:9" ht="15.75" thickBot="1">
      <c r="B72" s="332"/>
      <c r="C72" s="337" t="s">
        <v>223</v>
      </c>
      <c r="D72" s="341" t="s">
        <v>718</v>
      </c>
      <c r="E72" s="335"/>
      <c r="F72" s="336"/>
      <c r="H72" s="82"/>
    </row>
    <row r="73" spans="2:9" ht="24.75" customHeight="1" thickBot="1">
      <c r="B73" s="332"/>
      <c r="C73" s="337" t="s">
        <v>62</v>
      </c>
      <c r="D73" s="341" t="s">
        <v>742</v>
      </c>
      <c r="E73" s="335"/>
      <c r="F73" s="336"/>
      <c r="H73" s="598">
        <v>76996</v>
      </c>
      <c r="I73" s="614">
        <v>128000</v>
      </c>
    </row>
    <row r="74" spans="2:9">
      <c r="B74" s="332"/>
      <c r="C74" s="337"/>
      <c r="D74" s="340"/>
      <c r="E74" s="335"/>
      <c r="F74" s="336"/>
    </row>
    <row r="75" spans="2:9">
      <c r="B75" s="332"/>
      <c r="C75" s="337" t="s">
        <v>61</v>
      </c>
      <c r="D75" s="339">
        <v>1</v>
      </c>
      <c r="E75" s="335"/>
      <c r="F75" s="336"/>
      <c r="H75">
        <f>H73/H70</f>
        <v>0.37559757263556365</v>
      </c>
      <c r="I75" s="82">
        <f>I73/H70</f>
        <v>0.62440242736443641</v>
      </c>
    </row>
    <row r="76" spans="2:9" ht="15.75" thickBot="1">
      <c r="B76" s="342"/>
      <c r="C76" s="343"/>
      <c r="D76" s="344"/>
      <c r="E76" s="343"/>
      <c r="F76" s="345"/>
    </row>
  </sheetData>
  <phoneticPr fontId="19" type="noConversion"/>
  <pageMargins left="0.7" right="0.7" top="0.75" bottom="0.75" header="0.3" footer="0.3"/>
  <pageSetup paperSize="9" scale="61" orientation="portrait" copies="2" r:id="rId1"/>
</worksheet>
</file>

<file path=xl/worksheets/sheet11.xml><?xml version="1.0" encoding="utf-8"?>
<worksheet xmlns="http://schemas.openxmlformats.org/spreadsheetml/2006/main" xmlns:r="http://schemas.openxmlformats.org/officeDocument/2006/relationships">
  <sheetPr>
    <pageSetUpPr fitToPage="1"/>
  </sheetPr>
  <dimension ref="B1:F78"/>
  <sheetViews>
    <sheetView topLeftCell="A8" zoomScale="75" zoomScaleNormal="75" workbookViewId="0">
      <selection activeCell="D83" sqref="D83"/>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row>
    <row r="2" spans="2:6" ht="18.75">
      <c r="B2" s="25" t="s">
        <v>347</v>
      </c>
    </row>
    <row r="3" spans="2:6" ht="18.75">
      <c r="B3" s="25" t="s">
        <v>350</v>
      </c>
      <c r="C3" s="33"/>
    </row>
    <row r="4" spans="2:6" ht="19.5" thickBot="1">
      <c r="B4" s="25"/>
      <c r="C4" s="33"/>
    </row>
    <row r="5" spans="2:6" ht="18.75">
      <c r="B5" s="356"/>
      <c r="C5" s="357" t="s">
        <v>105</v>
      </c>
      <c r="D5" s="358"/>
      <c r="E5" s="359"/>
      <c r="F5" s="360"/>
    </row>
    <row r="6" spans="2:6" ht="18.75">
      <c r="B6" s="361"/>
      <c r="C6" s="362" t="s">
        <v>350</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372" t="s">
        <v>38</v>
      </c>
      <c r="E10" s="369"/>
      <c r="F10" s="370"/>
    </row>
    <row r="11" spans="2:6" s="32" customFormat="1">
      <c r="B11" s="366"/>
      <c r="C11" s="367" t="s">
        <v>109</v>
      </c>
      <c r="D11" s="373">
        <v>40235</v>
      </c>
      <c r="E11" s="369"/>
      <c r="F11" s="370"/>
    </row>
    <row r="12" spans="2:6" s="32" customFormat="1">
      <c r="B12" s="366"/>
      <c r="C12" s="367" t="s">
        <v>101</v>
      </c>
      <c r="D12" s="373">
        <v>40816</v>
      </c>
      <c r="E12" s="369"/>
      <c r="F12" s="370"/>
    </row>
    <row r="13" spans="2:6" s="32" customFormat="1">
      <c r="B13" s="366"/>
      <c r="C13" s="367"/>
      <c r="D13" s="368"/>
      <c r="E13" s="369"/>
      <c r="F13" s="370"/>
    </row>
    <row r="14" spans="2:6">
      <c r="B14" s="361"/>
      <c r="C14" s="367" t="s">
        <v>100</v>
      </c>
      <c r="D14" s="383" t="s">
        <v>99</v>
      </c>
      <c r="E14" s="374"/>
      <c r="F14" s="365"/>
    </row>
    <row r="15" spans="2:6">
      <c r="B15" s="361"/>
      <c r="C15" s="364"/>
      <c r="D15" s="383" t="s">
        <v>98</v>
      </c>
      <c r="E15" s="374"/>
      <c r="F15" s="365"/>
    </row>
    <row r="16" spans="2:6">
      <c r="B16" s="361"/>
      <c r="C16" s="364"/>
      <c r="D16" s="383" t="s">
        <v>97</v>
      </c>
      <c r="E16" s="375" t="s">
        <v>106</v>
      </c>
      <c r="F16" s="365"/>
    </row>
    <row r="17" spans="2:6">
      <c r="B17" s="361"/>
      <c r="C17" s="364"/>
      <c r="D17" s="383" t="s">
        <v>45</v>
      </c>
      <c r="E17" s="374" t="s">
        <v>96</v>
      </c>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92</v>
      </c>
      <c r="E23" s="364"/>
      <c r="F23" s="365"/>
    </row>
    <row r="24" spans="2:6" hidden="1">
      <c r="B24" s="361"/>
      <c r="C24" s="367"/>
      <c r="D24" s="382"/>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80"/>
      <c r="E40" s="364"/>
      <c r="F40" s="365"/>
    </row>
    <row r="41" spans="2:6">
      <c r="B41" s="361"/>
      <c r="C41" s="376" t="s">
        <v>65</v>
      </c>
      <c r="D41" s="382"/>
      <c r="E41" s="364"/>
      <c r="F41" s="365"/>
    </row>
    <row r="42" spans="2:6">
      <c r="B42" s="361"/>
      <c r="C42" s="377"/>
      <c r="D42" s="380"/>
      <c r="E42" s="364"/>
      <c r="F42" s="365"/>
    </row>
    <row r="43" spans="2:6" ht="18.75">
      <c r="B43" s="392"/>
      <c r="C43" s="393" t="s">
        <v>80</v>
      </c>
      <c r="D43" s="404"/>
      <c r="E43" s="395"/>
      <c r="F43" s="396"/>
    </row>
    <row r="44" spans="2:6">
      <c r="B44" s="392"/>
      <c r="C44" s="391" t="s">
        <v>79</v>
      </c>
      <c r="D44" s="399" t="s">
        <v>693</v>
      </c>
      <c r="E44" s="395"/>
      <c r="F44" s="396"/>
    </row>
    <row r="45" spans="2:6">
      <c r="B45" s="392"/>
      <c r="C45" s="391" t="s">
        <v>78</v>
      </c>
      <c r="D45" s="399" t="s">
        <v>693</v>
      </c>
      <c r="E45" s="395"/>
      <c r="F45" s="396"/>
    </row>
    <row r="46" spans="2:6" ht="30">
      <c r="B46" s="392"/>
      <c r="C46" s="398" t="s">
        <v>77</v>
      </c>
      <c r="D46" s="399" t="s">
        <v>693</v>
      </c>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67</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6">
      <c r="B65" s="346"/>
      <c r="C65" s="354" t="s">
        <v>65</v>
      </c>
      <c r="D65" s="413"/>
      <c r="E65" s="349"/>
      <c r="F65" s="350"/>
    </row>
    <row r="66" spans="2:6">
      <c r="B66" s="346"/>
      <c r="C66" s="351"/>
      <c r="D66" s="412"/>
      <c r="E66" s="349"/>
      <c r="F66" s="350"/>
    </row>
    <row r="67" spans="2:6" ht="18.75">
      <c r="B67" s="419"/>
      <c r="C67" s="420" t="s">
        <v>64</v>
      </c>
      <c r="D67" s="434"/>
      <c r="E67" s="422"/>
      <c r="F67" s="423"/>
    </row>
    <row r="68" spans="2:6">
      <c r="B68" s="419"/>
      <c r="C68" s="418" t="s">
        <v>118</v>
      </c>
      <c r="D68" s="424" t="s">
        <v>106</v>
      </c>
      <c r="E68" s="422"/>
      <c r="F68" s="423"/>
    </row>
    <row r="69" spans="2:6">
      <c r="B69" s="419"/>
      <c r="C69" s="418" t="s">
        <v>107</v>
      </c>
      <c r="D69" s="427"/>
      <c r="E69" s="422"/>
      <c r="F69" s="423"/>
    </row>
    <row r="70" spans="2:6">
      <c r="B70" s="419"/>
      <c r="C70" s="418" t="s">
        <v>119</v>
      </c>
      <c r="D70" s="424">
        <v>45000</v>
      </c>
      <c r="E70" s="422"/>
      <c r="F70" s="423"/>
    </row>
    <row r="71" spans="2:6">
      <c r="B71" s="419"/>
      <c r="C71" s="418"/>
      <c r="D71" s="433"/>
      <c r="E71" s="422"/>
      <c r="F71" s="423"/>
    </row>
    <row r="72" spans="2:6">
      <c r="B72" s="419"/>
      <c r="C72" s="418" t="s">
        <v>223</v>
      </c>
      <c r="D72" s="426" t="s">
        <v>412</v>
      </c>
      <c r="E72" s="422"/>
      <c r="F72" s="423"/>
    </row>
    <row r="73" spans="2:6">
      <c r="B73" s="419"/>
      <c r="C73" s="418" t="s">
        <v>62</v>
      </c>
      <c r="D73" s="438" t="s">
        <v>411</v>
      </c>
      <c r="E73" s="422"/>
      <c r="F73" s="423"/>
    </row>
    <row r="74" spans="2:6">
      <c r="B74" s="419"/>
      <c r="C74" s="418"/>
      <c r="D74" s="433"/>
      <c r="E74" s="422"/>
      <c r="F74" s="423"/>
    </row>
    <row r="75" spans="2:6">
      <c r="B75" s="419"/>
      <c r="C75" s="418" t="s">
        <v>61</v>
      </c>
      <c r="D75" s="427">
        <v>1</v>
      </c>
      <c r="E75" s="422"/>
      <c r="F75" s="423"/>
    </row>
    <row r="76" spans="2:6">
      <c r="B76" s="419"/>
      <c r="C76" s="418"/>
      <c r="D76" s="421"/>
      <c r="E76" s="422"/>
      <c r="F76" s="423"/>
    </row>
    <row r="77" spans="2:6">
      <c r="B77" s="419"/>
      <c r="C77" s="428"/>
      <c r="D77" s="421"/>
      <c r="E77" s="422"/>
      <c r="F77" s="423"/>
    </row>
    <row r="78" spans="2:6" ht="15.75" thickBot="1">
      <c r="B78" s="429"/>
      <c r="C78" s="430"/>
      <c r="D78" s="431"/>
      <c r="E78" s="430"/>
      <c r="F78" s="432"/>
    </row>
  </sheetData>
  <phoneticPr fontId="19" type="noConversion"/>
  <dataValidations count="7">
    <dataValidation type="list" allowBlank="1" showInputMessage="1" showErrorMessage="1" sqref="D60">
      <formula1>$D$61:$D$64</formula1>
    </dataValidation>
    <dataValidation type="list" allowBlank="1" showInputMessage="1" showErrorMessage="1" sqref="D23">
      <formula1>$D$25:$D$39</formula1>
    </dataValidation>
    <dataValidation type="list" allowBlank="1" showInputMessage="1" showErrorMessage="1" sqref="D47">
      <formula1>$D$48:$D$51</formula1>
    </dataValidation>
    <dataValidation type="list" allowBlank="1" showInputMessage="1" showErrorMessage="1" sqref="D54">
      <formula1>$D$56:$D$58</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78" orientation="portrait" copies="2" r:id="rId1"/>
</worksheet>
</file>

<file path=xl/worksheets/sheet12.xml><?xml version="1.0" encoding="utf-8"?>
<worksheet xmlns="http://schemas.openxmlformats.org/spreadsheetml/2006/main" xmlns:r="http://schemas.openxmlformats.org/officeDocument/2006/relationships">
  <sheetPr>
    <pageSetUpPr fitToPage="1"/>
  </sheetPr>
  <dimension ref="B1:F78"/>
  <sheetViews>
    <sheetView topLeftCell="A7" zoomScale="75" zoomScaleNormal="75" workbookViewId="0">
      <selection activeCell="J76" sqref="J76"/>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row>
    <row r="2" spans="2:6" ht="18.75">
      <c r="B2" s="25" t="s">
        <v>347</v>
      </c>
    </row>
    <row r="3" spans="2:6" ht="18.75">
      <c r="B3" s="25" t="s">
        <v>267</v>
      </c>
      <c r="C3" s="33"/>
    </row>
    <row r="4" spans="2:6" ht="19.5" thickBot="1">
      <c r="B4" s="38"/>
      <c r="C4" s="33"/>
    </row>
    <row r="5" spans="2:6" ht="18.75">
      <c r="B5" s="356"/>
      <c r="C5" s="357" t="s">
        <v>105</v>
      </c>
      <c r="D5" s="358"/>
      <c r="E5" s="359"/>
      <c r="F5" s="360"/>
    </row>
    <row r="6" spans="2:6" ht="18.75">
      <c r="B6" s="361"/>
      <c r="C6" s="362" t="s">
        <v>267</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372" t="s">
        <v>39</v>
      </c>
      <c r="E10" s="369"/>
      <c r="F10" s="370"/>
    </row>
    <row r="11" spans="2:6" s="32" customFormat="1">
      <c r="B11" s="366"/>
      <c r="C11" s="367" t="s">
        <v>109</v>
      </c>
      <c r="D11" s="373">
        <v>40235</v>
      </c>
      <c r="E11" s="369"/>
      <c r="F11" s="370"/>
    </row>
    <row r="12" spans="2:6" s="32" customFormat="1">
      <c r="B12" s="366"/>
      <c r="C12" s="367" t="s">
        <v>101</v>
      </c>
      <c r="D12" s="373">
        <v>40816</v>
      </c>
      <c r="E12" s="369"/>
      <c r="F12" s="370"/>
    </row>
    <row r="13" spans="2:6" s="32" customFormat="1">
      <c r="B13" s="366"/>
      <c r="C13" s="367"/>
      <c r="D13" s="368"/>
      <c r="E13" s="369"/>
      <c r="F13" s="370"/>
    </row>
    <row r="14" spans="2:6">
      <c r="B14" s="361"/>
      <c r="C14" s="367" t="s">
        <v>100</v>
      </c>
      <c r="D14" s="374" t="s">
        <v>99</v>
      </c>
      <c r="E14" s="374"/>
      <c r="F14" s="365"/>
    </row>
    <row r="15" spans="2:6">
      <c r="B15" s="361"/>
      <c r="C15" s="364"/>
      <c r="D15" s="374" t="s">
        <v>98</v>
      </c>
      <c r="E15" s="374"/>
      <c r="F15" s="365"/>
    </row>
    <row r="16" spans="2:6">
      <c r="B16" s="361"/>
      <c r="C16" s="364"/>
      <c r="D16" s="374" t="s">
        <v>97</v>
      </c>
      <c r="E16" s="374"/>
      <c r="F16" s="365"/>
    </row>
    <row r="17" spans="2:6">
      <c r="B17" s="361"/>
      <c r="C17" s="364"/>
      <c r="D17" s="374" t="s">
        <v>45</v>
      </c>
      <c r="E17" s="375"/>
      <c r="F17" s="365"/>
    </row>
    <row r="18" spans="2:6">
      <c r="B18" s="361"/>
      <c r="C18" s="364"/>
      <c r="D18" s="374" t="s">
        <v>95</v>
      </c>
      <c r="E18" s="375" t="s">
        <v>96</v>
      </c>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67" t="s">
        <v>94</v>
      </c>
      <c r="D23" s="371" t="s">
        <v>92</v>
      </c>
      <c r="E23" s="364"/>
      <c r="F23" s="365"/>
    </row>
    <row r="24" spans="2:6" hidden="1">
      <c r="B24" s="361"/>
      <c r="C24" s="367"/>
      <c r="D24" s="371"/>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63"/>
      <c r="E40" s="364"/>
      <c r="F40" s="365"/>
    </row>
    <row r="41" spans="2:6">
      <c r="B41" s="361"/>
      <c r="C41" s="376" t="s">
        <v>65</v>
      </c>
      <c r="D41" s="371"/>
      <c r="E41" s="364"/>
      <c r="F41" s="365"/>
    </row>
    <row r="42" spans="2:6">
      <c r="B42" s="361"/>
      <c r="C42" s="377"/>
      <c r="D42" s="363"/>
      <c r="E42" s="364"/>
      <c r="F42" s="365"/>
    </row>
    <row r="43" spans="2:6" ht="18.75">
      <c r="B43" s="392"/>
      <c r="C43" s="393" t="s">
        <v>80</v>
      </c>
      <c r="D43" s="394"/>
      <c r="E43" s="395"/>
      <c r="F43" s="396"/>
    </row>
    <row r="44" spans="2:6">
      <c r="B44" s="392"/>
      <c r="C44" s="391" t="s">
        <v>79</v>
      </c>
      <c r="D44" s="399" t="s">
        <v>693</v>
      </c>
      <c r="E44" s="395"/>
      <c r="F44" s="396"/>
    </row>
    <row r="45" spans="2:6">
      <c r="B45" s="392"/>
      <c r="C45" s="391" t="s">
        <v>78</v>
      </c>
      <c r="D45" s="399" t="s">
        <v>693</v>
      </c>
      <c r="E45" s="395"/>
      <c r="F45" s="396"/>
    </row>
    <row r="46" spans="2:6" ht="30">
      <c r="B46" s="392"/>
      <c r="C46" s="398" t="s">
        <v>77</v>
      </c>
      <c r="D46" s="399" t="s">
        <v>693</v>
      </c>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67</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6">
      <c r="B65" s="346"/>
      <c r="C65" s="354" t="s">
        <v>65</v>
      </c>
      <c r="D65" s="413"/>
      <c r="E65" s="349"/>
      <c r="F65" s="350"/>
    </row>
    <row r="66" spans="2:6">
      <c r="B66" s="346"/>
      <c r="C66" s="351"/>
      <c r="D66" s="412"/>
      <c r="E66" s="349"/>
      <c r="F66" s="350"/>
    </row>
    <row r="67" spans="2:6" ht="18.75">
      <c r="B67" s="419"/>
      <c r="C67" s="420" t="s">
        <v>64</v>
      </c>
      <c r="D67" s="434"/>
      <c r="E67" s="422"/>
      <c r="F67" s="423"/>
    </row>
    <row r="68" spans="2:6">
      <c r="B68" s="419"/>
      <c r="C68" s="418" t="s">
        <v>118</v>
      </c>
      <c r="D68" s="424" t="s">
        <v>106</v>
      </c>
      <c r="E68" s="422"/>
      <c r="F68" s="423"/>
    </row>
    <row r="69" spans="2:6">
      <c r="B69" s="419"/>
      <c r="C69" s="418" t="s">
        <v>107</v>
      </c>
      <c r="D69" s="427"/>
      <c r="E69" s="422"/>
      <c r="F69" s="423"/>
    </row>
    <row r="70" spans="2:6">
      <c r="B70" s="419"/>
      <c r="C70" s="418" t="s">
        <v>119</v>
      </c>
      <c r="D70" s="424">
        <v>63200</v>
      </c>
      <c r="E70" s="422"/>
      <c r="F70" s="423"/>
    </row>
    <row r="71" spans="2:6">
      <c r="B71" s="419"/>
      <c r="C71" s="418"/>
      <c r="D71" s="433"/>
      <c r="E71" s="422"/>
      <c r="F71" s="423"/>
    </row>
    <row r="72" spans="2:6">
      <c r="B72" s="419"/>
      <c r="C72" s="418" t="s">
        <v>223</v>
      </c>
      <c r="D72" s="426" t="s">
        <v>782</v>
      </c>
      <c r="E72" s="422"/>
      <c r="F72" s="423"/>
    </row>
    <row r="73" spans="2:6">
      <c r="B73" s="419"/>
      <c r="C73" s="418" t="s">
        <v>62</v>
      </c>
      <c r="D73" s="426" t="s">
        <v>781</v>
      </c>
      <c r="E73" s="422"/>
      <c r="F73" s="423"/>
    </row>
    <row r="74" spans="2:6">
      <c r="B74" s="419"/>
      <c r="C74" s="418"/>
      <c r="D74" s="433"/>
      <c r="E74" s="422"/>
      <c r="F74" s="423"/>
    </row>
    <row r="75" spans="2:6">
      <c r="B75" s="419"/>
      <c r="C75" s="418" t="s">
        <v>61</v>
      </c>
      <c r="D75" s="427">
        <v>1</v>
      </c>
      <c r="E75" s="422"/>
      <c r="F75" s="423"/>
    </row>
    <row r="76" spans="2:6">
      <c r="B76" s="419"/>
      <c r="C76" s="418"/>
      <c r="D76" s="421"/>
      <c r="E76" s="422"/>
      <c r="F76" s="423"/>
    </row>
    <row r="77" spans="2:6">
      <c r="B77" s="419"/>
      <c r="C77" s="428"/>
      <c r="D77" s="421"/>
      <c r="E77" s="422"/>
      <c r="F77" s="423"/>
    </row>
    <row r="78" spans="2:6" ht="15.75" thickBot="1">
      <c r="B78" s="429"/>
      <c r="C78" s="430"/>
      <c r="D78" s="431"/>
      <c r="E78" s="430"/>
      <c r="F78" s="432"/>
    </row>
  </sheetData>
  <phoneticPr fontId="19" type="noConversion"/>
  <dataValidations count="7">
    <dataValidation type="list" allowBlank="1" showInputMessage="1" showErrorMessage="1" sqref="D60:E60">
      <formula1>$D$61:$D$64</formula1>
    </dataValidation>
    <dataValidation type="list" allowBlank="1" showInputMessage="1" showErrorMessage="1" sqref="E55">
      <formula1>$D$56:$D$57</formula1>
    </dataValidation>
    <dataValidation type="list" allowBlank="1" showInputMessage="1" showErrorMessage="1" sqref="E58">
      <formula1>#REF!</formula1>
    </dataValidation>
    <dataValidation type="list" allowBlank="1" showInputMessage="1" showErrorMessage="1" sqref="E22 D24">
      <formula1>$D$25:$D$39</formula1>
    </dataValidation>
    <dataValidation type="list" allowBlank="1" showInputMessage="1" showErrorMessage="1" sqref="D47">
      <formula1>$D$48:$D$51</formula1>
    </dataValidation>
    <dataValidation type="list" allowBlank="1" showInputMessage="1" showErrorMessage="1" sqref="D23">
      <formula1>$D$24:$D$39</formula1>
    </dataValidation>
    <dataValidation type="list" allowBlank="1" showInputMessage="1" showErrorMessage="1" sqref="D54">
      <formula1>$D$56:$D$58</formula1>
    </dataValidation>
  </dataValidations>
  <pageMargins left="0.7" right="0.7" top="0.75" bottom="0.75" header="0.3" footer="0.3"/>
  <pageSetup paperSize="9" scale="78" orientation="portrait" copies="2" r:id="rId1"/>
</worksheet>
</file>

<file path=xl/worksheets/sheet13.xml><?xml version="1.0" encoding="utf-8"?>
<worksheet xmlns="http://schemas.openxmlformats.org/spreadsheetml/2006/main" xmlns:r="http://schemas.openxmlformats.org/officeDocument/2006/relationships">
  <sheetPr>
    <pageSetUpPr fitToPage="1"/>
  </sheetPr>
  <dimension ref="B1:F78"/>
  <sheetViews>
    <sheetView topLeftCell="A73" zoomScale="75" zoomScaleNormal="75" workbookViewId="0">
      <selection activeCell="B1" sqref="B1:F78"/>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row>
    <row r="2" spans="2:6" ht="18.75">
      <c r="B2" s="25" t="s">
        <v>347</v>
      </c>
    </row>
    <row r="3" spans="2:6" ht="18.75">
      <c r="B3" s="25" t="s">
        <v>219</v>
      </c>
      <c r="C3" s="37"/>
    </row>
    <row r="4" spans="2:6" ht="19.5" thickBot="1">
      <c r="B4" s="25"/>
      <c r="C4" s="37"/>
    </row>
    <row r="5" spans="2:6" ht="18.75">
      <c r="B5" s="356"/>
      <c r="C5" s="357" t="s">
        <v>105</v>
      </c>
      <c r="D5" s="358"/>
      <c r="E5" s="359"/>
      <c r="F5" s="360"/>
    </row>
    <row r="6" spans="2:6" ht="18.75">
      <c r="B6" s="361"/>
      <c r="C6" s="475" t="s">
        <v>413</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372" t="s">
        <v>40</v>
      </c>
      <c r="E10" s="369"/>
      <c r="F10" s="370"/>
    </row>
    <row r="11" spans="2:6" s="32" customFormat="1">
      <c r="B11" s="366"/>
      <c r="C11" s="367" t="s">
        <v>109</v>
      </c>
      <c r="D11" s="373">
        <v>40235</v>
      </c>
      <c r="E11" s="369"/>
      <c r="F11" s="370"/>
    </row>
    <row r="12" spans="2:6" s="32" customFormat="1">
      <c r="B12" s="366"/>
      <c r="C12" s="367" t="s">
        <v>101</v>
      </c>
      <c r="D12" s="373">
        <v>40816</v>
      </c>
      <c r="E12" s="369"/>
      <c r="F12" s="370"/>
    </row>
    <row r="13" spans="2:6" s="32" customFormat="1">
      <c r="B13" s="366"/>
      <c r="C13" s="367"/>
      <c r="D13" s="368"/>
      <c r="E13" s="369"/>
      <c r="F13" s="370"/>
    </row>
    <row r="14" spans="2:6">
      <c r="B14" s="361"/>
      <c r="C14" s="367" t="s">
        <v>100</v>
      </c>
      <c r="D14" s="374" t="s">
        <v>99</v>
      </c>
      <c r="E14" s="374"/>
      <c r="F14" s="365"/>
    </row>
    <row r="15" spans="2:6">
      <c r="B15" s="361"/>
      <c r="C15" s="364"/>
      <c r="D15" s="374" t="s">
        <v>98</v>
      </c>
      <c r="E15" s="374"/>
      <c r="F15" s="365"/>
    </row>
    <row r="16" spans="2:6">
      <c r="B16" s="361"/>
      <c r="C16" s="364"/>
      <c r="D16" s="374" t="s">
        <v>97</v>
      </c>
      <c r="E16" s="374"/>
      <c r="F16" s="365"/>
    </row>
    <row r="17" spans="2:6">
      <c r="B17" s="361"/>
      <c r="C17" s="364"/>
      <c r="D17" s="374" t="s">
        <v>45</v>
      </c>
      <c r="E17" s="375"/>
      <c r="F17" s="365"/>
    </row>
    <row r="18" spans="2:6">
      <c r="B18" s="361"/>
      <c r="C18" s="364"/>
      <c r="D18" s="374" t="s">
        <v>95</v>
      </c>
      <c r="E18" s="375" t="s">
        <v>96</v>
      </c>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67" t="s">
        <v>94</v>
      </c>
      <c r="D23" s="371" t="s">
        <v>92</v>
      </c>
      <c r="E23" s="364"/>
      <c r="F23" s="365"/>
    </row>
    <row r="24" spans="2:6" hidden="1">
      <c r="B24" s="361"/>
      <c r="C24" s="367"/>
      <c r="D24" s="371"/>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63"/>
      <c r="E40" s="364"/>
      <c r="F40" s="365"/>
    </row>
    <row r="41" spans="2:6">
      <c r="B41" s="361"/>
      <c r="C41" s="376" t="s">
        <v>65</v>
      </c>
      <c r="D41" s="371"/>
      <c r="E41" s="364"/>
      <c r="F41" s="365"/>
    </row>
    <row r="42" spans="2:6">
      <c r="B42" s="361"/>
      <c r="C42" s="377"/>
      <c r="D42" s="363"/>
      <c r="E42" s="364"/>
      <c r="F42" s="365"/>
    </row>
    <row r="43" spans="2:6" ht="18.75">
      <c r="B43" s="392"/>
      <c r="C43" s="393" t="s">
        <v>80</v>
      </c>
      <c r="D43" s="394"/>
      <c r="E43" s="395"/>
      <c r="F43" s="396"/>
    </row>
    <row r="44" spans="2:6" ht="27" customHeight="1">
      <c r="B44" s="392"/>
      <c r="C44" s="391" t="s">
        <v>79</v>
      </c>
      <c r="D44" s="399" t="s">
        <v>693</v>
      </c>
      <c r="E44" s="395"/>
      <c r="F44" s="396"/>
    </row>
    <row r="45" spans="2:6" ht="26.25" customHeight="1">
      <c r="B45" s="392"/>
      <c r="C45" s="391" t="s">
        <v>78</v>
      </c>
      <c r="D45" s="399" t="s">
        <v>693</v>
      </c>
      <c r="E45" s="395"/>
      <c r="F45" s="396"/>
    </row>
    <row r="46" spans="2:6" ht="30">
      <c r="B46" s="392"/>
      <c r="C46" s="398" t="s">
        <v>77</v>
      </c>
      <c r="D46" s="399" t="s">
        <v>693</v>
      </c>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67</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6">
      <c r="B65" s="346"/>
      <c r="C65" s="354" t="s">
        <v>65</v>
      </c>
      <c r="D65" s="413"/>
      <c r="E65" s="349"/>
      <c r="F65" s="350"/>
    </row>
    <row r="66" spans="2:6">
      <c r="B66" s="346"/>
      <c r="C66" s="351"/>
      <c r="D66" s="412"/>
      <c r="E66" s="349"/>
      <c r="F66" s="350"/>
    </row>
    <row r="67" spans="2:6" ht="18.75">
      <c r="B67" s="419"/>
      <c r="C67" s="420" t="s">
        <v>64</v>
      </c>
      <c r="D67" s="434"/>
      <c r="E67" s="422"/>
      <c r="F67" s="423"/>
    </row>
    <row r="68" spans="2:6">
      <c r="B68" s="419"/>
      <c r="C68" s="418" t="s">
        <v>118</v>
      </c>
      <c r="D68" s="424" t="s">
        <v>106</v>
      </c>
      <c r="E68" s="422"/>
      <c r="F68" s="423"/>
    </row>
    <row r="69" spans="2:6">
      <c r="B69" s="419"/>
      <c r="C69" s="418" t="s">
        <v>107</v>
      </c>
      <c r="D69" s="427"/>
      <c r="E69" s="422"/>
      <c r="F69" s="423"/>
    </row>
    <row r="70" spans="2:6">
      <c r="B70" s="419"/>
      <c r="C70" s="418" t="s">
        <v>119</v>
      </c>
      <c r="D70" s="424">
        <v>150000</v>
      </c>
      <c r="E70" s="422"/>
      <c r="F70" s="423"/>
    </row>
    <row r="71" spans="2:6">
      <c r="B71" s="419"/>
      <c r="C71" s="418"/>
      <c r="D71" s="433"/>
      <c r="E71" s="422"/>
      <c r="F71" s="423"/>
    </row>
    <row r="72" spans="2:6">
      <c r="B72" s="419"/>
      <c r="C72" s="418" t="s">
        <v>223</v>
      </c>
      <c r="D72" s="426" t="s">
        <v>415</v>
      </c>
      <c r="E72" s="422"/>
      <c r="F72" s="423"/>
    </row>
    <row r="73" spans="2:6">
      <c r="B73" s="419"/>
      <c r="C73" s="418" t="s">
        <v>62</v>
      </c>
      <c r="D73" s="426" t="s">
        <v>414</v>
      </c>
      <c r="E73" s="422"/>
      <c r="F73" s="423"/>
    </row>
    <row r="74" spans="2:6">
      <c r="B74" s="419"/>
      <c r="C74" s="418"/>
      <c r="D74" s="433"/>
      <c r="E74" s="422"/>
      <c r="F74" s="423"/>
    </row>
    <row r="75" spans="2:6">
      <c r="B75" s="419"/>
      <c r="C75" s="418" t="s">
        <v>61</v>
      </c>
      <c r="D75" s="427">
        <v>1</v>
      </c>
      <c r="E75" s="422"/>
      <c r="F75" s="423"/>
    </row>
    <row r="76" spans="2:6">
      <c r="B76" s="419"/>
      <c r="C76" s="418"/>
      <c r="D76" s="421"/>
      <c r="E76" s="422"/>
      <c r="F76" s="423"/>
    </row>
    <row r="77" spans="2:6">
      <c r="B77" s="419"/>
      <c r="C77" s="428"/>
      <c r="D77" s="421"/>
      <c r="E77" s="422"/>
      <c r="F77" s="423"/>
    </row>
    <row r="78" spans="2:6" ht="15.75" thickBot="1">
      <c r="B78" s="429"/>
      <c r="C78" s="430"/>
      <c r="D78" s="431"/>
      <c r="E78" s="430"/>
      <c r="F78" s="432"/>
    </row>
  </sheetData>
  <phoneticPr fontId="19" type="noConversion"/>
  <dataValidations count="7">
    <dataValidation type="list" allowBlank="1" showInputMessage="1" showErrorMessage="1" sqref="D23">
      <formula1>$D$24:$D$39</formula1>
    </dataValidation>
    <dataValidation type="list" allowBlank="1" showInputMessage="1" showErrorMessage="1" sqref="D47">
      <formula1>$D$48:$D$51</formula1>
    </dataValidation>
    <dataValidation type="list" allowBlank="1" showInputMessage="1" showErrorMessage="1" sqref="E22 D24">
      <formula1>$D$25:$D$39</formula1>
    </dataValidation>
    <dataValidation type="list" allowBlank="1" showInputMessage="1" showErrorMessage="1" sqref="E58">
      <formula1>#REF!</formula1>
    </dataValidation>
    <dataValidation type="list" allowBlank="1" showInputMessage="1" showErrorMessage="1" sqref="E55">
      <formula1>$D$56:$D$57</formula1>
    </dataValidation>
    <dataValidation type="list" allowBlank="1" showInputMessage="1" showErrorMessage="1" sqref="D60:E60">
      <formula1>$D$61:$D$64</formula1>
    </dataValidation>
    <dataValidation type="list" allowBlank="1" showInputMessage="1" showErrorMessage="1" sqref="D54">
      <formula1>$D$56:$D$58</formula1>
    </dataValidation>
  </dataValidations>
  <pageMargins left="0.7" right="0.7" top="0.75" bottom="0.75" header="0.3" footer="0.3"/>
  <pageSetup paperSize="9" scale="78" orientation="portrait" copies="2" r:id="rId1"/>
</worksheet>
</file>

<file path=xl/worksheets/sheet14.xml><?xml version="1.0" encoding="utf-8"?>
<worksheet xmlns="http://schemas.openxmlformats.org/spreadsheetml/2006/main" xmlns:r="http://schemas.openxmlformats.org/officeDocument/2006/relationships">
  <sheetPr>
    <pageSetUpPr fitToPage="1"/>
  </sheetPr>
  <dimension ref="B1:F78"/>
  <sheetViews>
    <sheetView topLeftCell="A73" zoomScale="75" zoomScaleNormal="75" workbookViewId="0">
      <selection activeCell="B1" sqref="B1:F78"/>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row>
    <row r="2" spans="2:6" ht="18.75">
      <c r="B2" s="25" t="s">
        <v>347</v>
      </c>
    </row>
    <row r="3" spans="2:6" ht="18.75">
      <c r="B3" s="280" t="s">
        <v>459</v>
      </c>
    </row>
    <row r="4" spans="2:6" ht="19.5" thickBot="1">
      <c r="B4" s="25"/>
      <c r="C4" s="33"/>
    </row>
    <row r="5" spans="2:6" ht="18.75">
      <c r="B5" s="356"/>
      <c r="C5" s="357" t="s">
        <v>105</v>
      </c>
      <c r="D5" s="358"/>
      <c r="E5" s="359"/>
      <c r="F5" s="360"/>
    </row>
    <row r="6" spans="2:6" ht="37.5">
      <c r="B6" s="361"/>
      <c r="C6" s="475" t="s">
        <v>460</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372" t="s">
        <v>41</v>
      </c>
      <c r="E10" s="369"/>
      <c r="F10" s="370"/>
    </row>
    <row r="11" spans="2:6" s="32" customFormat="1">
      <c r="B11" s="366"/>
      <c r="C11" s="367" t="s">
        <v>109</v>
      </c>
      <c r="D11" s="373">
        <v>40235</v>
      </c>
      <c r="E11" s="369"/>
      <c r="F11" s="370"/>
    </row>
    <row r="12" spans="2:6" s="32" customFormat="1">
      <c r="B12" s="366"/>
      <c r="C12" s="367" t="s">
        <v>101</v>
      </c>
      <c r="D12" s="373">
        <v>40816</v>
      </c>
      <c r="E12" s="369"/>
      <c r="F12" s="370"/>
    </row>
    <row r="13" spans="2:6" s="32" customFormat="1">
      <c r="B13" s="366"/>
      <c r="C13" s="367"/>
      <c r="D13" s="368"/>
      <c r="E13" s="369"/>
      <c r="F13" s="370"/>
    </row>
    <row r="14" spans="2:6">
      <c r="B14" s="361"/>
      <c r="C14" s="367" t="s">
        <v>100</v>
      </c>
      <c r="D14" s="383" t="s">
        <v>99</v>
      </c>
      <c r="E14" s="374"/>
      <c r="F14" s="365"/>
    </row>
    <row r="15" spans="2:6">
      <c r="B15" s="361"/>
      <c r="C15" s="364"/>
      <c r="D15" s="383" t="s">
        <v>98</v>
      </c>
      <c r="E15" s="374"/>
      <c r="F15" s="365"/>
    </row>
    <row r="16" spans="2:6">
      <c r="B16" s="361"/>
      <c r="C16" s="364"/>
      <c r="D16" s="383" t="s">
        <v>97</v>
      </c>
      <c r="E16" s="375" t="s">
        <v>106</v>
      </c>
      <c r="F16" s="365"/>
    </row>
    <row r="17" spans="2:6">
      <c r="B17" s="361"/>
      <c r="C17" s="364"/>
      <c r="D17" s="383" t="s">
        <v>45</v>
      </c>
      <c r="E17" s="374"/>
      <c r="F17" s="365"/>
    </row>
    <row r="18" spans="2:6">
      <c r="B18" s="361"/>
      <c r="C18" s="364"/>
      <c r="D18" s="383" t="s">
        <v>95</v>
      </c>
      <c r="E18" s="374" t="s">
        <v>96</v>
      </c>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92</v>
      </c>
      <c r="E23" s="364"/>
      <c r="F23" s="365"/>
    </row>
    <row r="24" spans="2:6" hidden="1">
      <c r="B24" s="361"/>
      <c r="C24" s="367"/>
      <c r="D24" s="382"/>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80"/>
      <c r="E40" s="364"/>
      <c r="F40" s="365"/>
    </row>
    <row r="41" spans="2:6">
      <c r="B41" s="361"/>
      <c r="C41" s="376" t="s">
        <v>65</v>
      </c>
      <c r="D41" s="382"/>
      <c r="E41" s="364"/>
      <c r="F41" s="365"/>
    </row>
    <row r="42" spans="2:6">
      <c r="B42" s="361"/>
      <c r="C42" s="377"/>
      <c r="D42" s="380"/>
      <c r="E42" s="364"/>
      <c r="F42" s="365"/>
    </row>
    <row r="43" spans="2:6" ht="18.75">
      <c r="B43" s="392"/>
      <c r="C43" s="393" t="s">
        <v>80</v>
      </c>
      <c r="D43" s="404"/>
      <c r="E43" s="395"/>
      <c r="F43" s="396"/>
    </row>
    <row r="44" spans="2:6">
      <c r="B44" s="392"/>
      <c r="C44" s="391" t="s">
        <v>79</v>
      </c>
      <c r="D44" s="399" t="s">
        <v>693</v>
      </c>
      <c r="E44" s="395"/>
      <c r="F44" s="396"/>
    </row>
    <row r="45" spans="2:6">
      <c r="B45" s="392"/>
      <c r="C45" s="391" t="s">
        <v>78</v>
      </c>
      <c r="D45" s="399" t="s">
        <v>693</v>
      </c>
      <c r="E45" s="395"/>
      <c r="F45" s="396"/>
    </row>
    <row r="46" spans="2:6" ht="30">
      <c r="B46" s="392"/>
      <c r="C46" s="398" t="s">
        <v>77</v>
      </c>
      <c r="D46" s="399" t="s">
        <v>693</v>
      </c>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67</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6">
      <c r="B65" s="346"/>
      <c r="C65" s="354" t="s">
        <v>65</v>
      </c>
      <c r="D65" s="413"/>
      <c r="E65" s="349"/>
      <c r="F65" s="350"/>
    </row>
    <row r="66" spans="2:6">
      <c r="B66" s="346"/>
      <c r="C66" s="351"/>
      <c r="D66" s="412"/>
      <c r="E66" s="349"/>
      <c r="F66" s="350"/>
    </row>
    <row r="67" spans="2:6" ht="18.75">
      <c r="B67" s="419"/>
      <c r="C67" s="420" t="s">
        <v>64</v>
      </c>
      <c r="D67" s="434"/>
      <c r="E67" s="422"/>
      <c r="F67" s="423"/>
    </row>
    <row r="68" spans="2:6">
      <c r="B68" s="419"/>
      <c r="C68" s="418" t="s">
        <v>118</v>
      </c>
      <c r="D68" s="424"/>
      <c r="E68" s="422"/>
      <c r="F68" s="423"/>
    </row>
    <row r="69" spans="2:6">
      <c r="B69" s="419"/>
      <c r="C69" s="418" t="s">
        <v>107</v>
      </c>
      <c r="D69" s="427"/>
      <c r="E69" s="422"/>
      <c r="F69" s="423"/>
    </row>
    <row r="70" spans="2:6">
      <c r="B70" s="419"/>
      <c r="C70" s="418" t="s">
        <v>119</v>
      </c>
      <c r="D70" s="424">
        <v>594000</v>
      </c>
      <c r="E70" s="422"/>
      <c r="F70" s="423"/>
    </row>
    <row r="71" spans="2:6">
      <c r="B71" s="419"/>
      <c r="C71" s="418"/>
      <c r="D71" s="433"/>
      <c r="E71" s="422"/>
      <c r="F71" s="423"/>
    </row>
    <row r="72" spans="2:6">
      <c r="B72" s="419"/>
      <c r="C72" s="418" t="s">
        <v>223</v>
      </c>
      <c r="D72" s="426" t="s">
        <v>415</v>
      </c>
      <c r="E72" s="422"/>
      <c r="F72" s="423"/>
    </row>
    <row r="73" spans="2:6">
      <c r="B73" s="419"/>
      <c r="C73" s="418" t="s">
        <v>62</v>
      </c>
      <c r="D73" s="426" t="s">
        <v>416</v>
      </c>
      <c r="E73" s="422"/>
      <c r="F73" s="423"/>
    </row>
    <row r="74" spans="2:6">
      <c r="B74" s="419"/>
      <c r="C74" s="418"/>
      <c r="D74" s="433"/>
      <c r="E74" s="422"/>
      <c r="F74" s="423"/>
    </row>
    <row r="75" spans="2:6">
      <c r="B75" s="419"/>
      <c r="C75" s="418" t="s">
        <v>61</v>
      </c>
      <c r="D75" s="427">
        <v>1</v>
      </c>
      <c r="E75" s="422"/>
      <c r="F75" s="423"/>
    </row>
    <row r="76" spans="2:6">
      <c r="B76" s="419"/>
      <c r="C76" s="418"/>
      <c r="D76" s="421"/>
      <c r="E76" s="422"/>
      <c r="F76" s="423"/>
    </row>
    <row r="77" spans="2:6">
      <c r="B77" s="419"/>
      <c r="C77" s="428"/>
      <c r="D77" s="421"/>
      <c r="E77" s="422"/>
      <c r="F77" s="423"/>
    </row>
    <row r="78" spans="2:6" ht="15.75" thickBot="1">
      <c r="B78" s="429"/>
      <c r="C78" s="430"/>
      <c r="D78" s="431"/>
      <c r="E78" s="430"/>
      <c r="F78" s="432"/>
    </row>
  </sheetData>
  <phoneticPr fontId="19" type="noConversion"/>
  <dataValidations count="7">
    <dataValidation type="list" allowBlank="1" showInputMessage="1" showErrorMessage="1" sqref="D60">
      <formula1>$D$61:$D$64</formula1>
    </dataValidation>
    <dataValidation type="list" allowBlank="1" showInputMessage="1" showErrorMessage="1" sqref="D54">
      <formula1>$D$56:$D$58</formula1>
    </dataValidation>
    <dataValidation type="list" allowBlank="1" showInputMessage="1" showErrorMessage="1" sqref="D23">
      <formula1>$D$25:$D$39</formula1>
    </dataValidation>
    <dataValidation type="list" allowBlank="1" showInputMessage="1" showErrorMessage="1" sqref="D47">
      <formula1>$D$48:$D$51</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78" orientation="portrait" copies="2" r:id="rId1"/>
</worksheet>
</file>

<file path=xl/worksheets/sheet15.xml><?xml version="1.0" encoding="utf-8"?>
<worksheet xmlns="http://schemas.openxmlformats.org/spreadsheetml/2006/main" xmlns:r="http://schemas.openxmlformats.org/officeDocument/2006/relationships">
  <sheetPr>
    <pageSetUpPr fitToPage="1"/>
  </sheetPr>
  <dimension ref="A1:O79"/>
  <sheetViews>
    <sheetView topLeftCell="A73" zoomScale="75" zoomScaleNormal="75" workbookViewId="0">
      <selection activeCell="H52" sqref="H52"/>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s>
  <sheetData>
    <row r="1" spans="1:6" ht="18.75">
      <c r="B1" s="25" t="s">
        <v>60</v>
      </c>
    </row>
    <row r="2" spans="1:6" ht="18.75">
      <c r="B2" s="25" t="s">
        <v>347</v>
      </c>
    </row>
    <row r="3" spans="1:6" ht="18.75">
      <c r="B3" s="25" t="s">
        <v>304</v>
      </c>
    </row>
    <row r="4" spans="1:6" ht="19.5" thickBot="1">
      <c r="A4" t="s">
        <v>106</v>
      </c>
      <c r="B4" s="38"/>
      <c r="C4" s="33"/>
    </row>
    <row r="5" spans="1:6" ht="18.75">
      <c r="B5" s="356"/>
      <c r="C5" s="357" t="s">
        <v>105</v>
      </c>
      <c r="D5" s="379"/>
      <c r="E5" s="359"/>
      <c r="F5" s="360"/>
    </row>
    <row r="6" spans="1:6" ht="18.75">
      <c r="B6" s="361"/>
      <c r="C6" s="362" t="s">
        <v>304</v>
      </c>
      <c r="D6" s="380"/>
      <c r="E6" s="364"/>
      <c r="F6" s="365"/>
    </row>
    <row r="7" spans="1:6" ht="18.75">
      <c r="B7" s="361"/>
      <c r="C7" s="362" t="s">
        <v>104</v>
      </c>
      <c r="D7" s="380"/>
      <c r="E7" s="364"/>
      <c r="F7" s="365"/>
    </row>
    <row r="8" spans="1:6" s="32" customFormat="1">
      <c r="B8" s="366"/>
      <c r="C8" s="367"/>
      <c r="D8" s="381"/>
      <c r="E8" s="369"/>
      <c r="F8" s="370"/>
    </row>
    <row r="9" spans="1:6" s="32" customFormat="1">
      <c r="B9" s="366"/>
      <c r="C9" s="367" t="s">
        <v>103</v>
      </c>
      <c r="D9" s="382"/>
      <c r="E9" s="369"/>
      <c r="F9" s="370"/>
    </row>
    <row r="10" spans="1:6" s="32" customFormat="1">
      <c r="B10" s="366"/>
      <c r="C10" s="367" t="s">
        <v>102</v>
      </c>
      <c r="D10" s="453" t="s">
        <v>42</v>
      </c>
      <c r="E10" s="369"/>
      <c r="F10" s="370"/>
    </row>
    <row r="11" spans="1:6" s="32" customFormat="1">
      <c r="B11" s="366"/>
      <c r="C11" s="367" t="s">
        <v>109</v>
      </c>
      <c r="D11" s="373">
        <v>40268</v>
      </c>
      <c r="E11" s="369"/>
      <c r="F11" s="370"/>
    </row>
    <row r="12" spans="1:6" s="32" customFormat="1">
      <c r="B12" s="366"/>
      <c r="C12" s="367" t="s">
        <v>101</v>
      </c>
      <c r="D12" s="373">
        <v>40816</v>
      </c>
      <c r="E12" s="369"/>
      <c r="F12" s="370"/>
    </row>
    <row r="13" spans="1:6" s="32" customFormat="1">
      <c r="B13" s="366"/>
      <c r="C13" s="367"/>
      <c r="D13" s="381"/>
      <c r="E13" s="369"/>
      <c r="F13" s="370"/>
    </row>
    <row r="14" spans="1:6">
      <c r="B14" s="361"/>
      <c r="C14" s="367" t="s">
        <v>100</v>
      </c>
      <c r="D14" s="383" t="s">
        <v>99</v>
      </c>
      <c r="E14" s="374"/>
      <c r="F14" s="365"/>
    </row>
    <row r="15" spans="1:6">
      <c r="B15" s="361"/>
      <c r="C15" s="364"/>
      <c r="D15" s="383" t="s">
        <v>98</v>
      </c>
      <c r="E15" s="374"/>
      <c r="F15" s="365"/>
    </row>
    <row r="16" spans="1:6">
      <c r="B16" s="361"/>
      <c r="C16" s="364"/>
      <c r="D16" s="383" t="s">
        <v>97</v>
      </c>
      <c r="E16" s="375" t="s">
        <v>96</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89</v>
      </c>
      <c r="E23" s="364"/>
      <c r="F23" s="365"/>
    </row>
    <row r="24" spans="2:6" hidden="1">
      <c r="B24" s="361"/>
      <c r="C24" s="367"/>
      <c r="D24" s="382"/>
      <c r="E24" s="364"/>
      <c r="F24" s="365"/>
    </row>
    <row r="25" spans="2:6" hidden="1">
      <c r="B25" s="361"/>
      <c r="C25" s="367"/>
      <c r="D25" s="382" t="s">
        <v>93</v>
      </c>
      <c r="E25" s="364"/>
      <c r="F25" s="365"/>
    </row>
    <row r="26" spans="2:6" hidden="1">
      <c r="B26" s="361"/>
      <c r="C26" s="367"/>
      <c r="D26" s="382" t="s">
        <v>58</v>
      </c>
      <c r="E26" s="364"/>
      <c r="F26" s="365"/>
    </row>
    <row r="27" spans="2:6" hidden="1">
      <c r="B27" s="361"/>
      <c r="C27" s="367"/>
      <c r="D27" s="382" t="s">
        <v>92</v>
      </c>
      <c r="E27" s="364"/>
      <c r="F27" s="365"/>
    </row>
    <row r="28" spans="2:6" hidden="1">
      <c r="B28" s="361"/>
      <c r="C28" s="367"/>
      <c r="D28" s="382" t="s">
        <v>91</v>
      </c>
      <c r="E28" s="364"/>
      <c r="F28" s="365"/>
    </row>
    <row r="29" spans="2:6" hidden="1">
      <c r="B29" s="361"/>
      <c r="C29" s="367"/>
      <c r="D29" s="382" t="s">
        <v>90</v>
      </c>
      <c r="E29" s="364"/>
      <c r="F29" s="365"/>
    </row>
    <row r="30" spans="2:6" hidden="1">
      <c r="B30" s="361"/>
      <c r="C30" s="367"/>
      <c r="D30" s="382" t="s">
        <v>89</v>
      </c>
      <c r="E30" s="364"/>
      <c r="F30" s="365"/>
    </row>
    <row r="31" spans="2:6" hidden="1">
      <c r="B31" s="361"/>
      <c r="C31" s="367"/>
      <c r="D31" s="382" t="s">
        <v>88</v>
      </c>
      <c r="E31" s="364"/>
      <c r="F31" s="365"/>
    </row>
    <row r="32" spans="2:6" hidden="1">
      <c r="B32" s="361"/>
      <c r="C32" s="367"/>
      <c r="D32" s="382" t="s">
        <v>87</v>
      </c>
      <c r="E32" s="364"/>
      <c r="F32" s="365"/>
    </row>
    <row r="33" spans="2:6" hidden="1">
      <c r="B33" s="361"/>
      <c r="C33" s="367"/>
      <c r="D33" s="382" t="s">
        <v>86</v>
      </c>
      <c r="E33" s="364"/>
      <c r="F33" s="365"/>
    </row>
    <row r="34" spans="2:6" hidden="1">
      <c r="B34" s="361"/>
      <c r="C34" s="367"/>
      <c r="D34" s="382" t="s">
        <v>85</v>
      </c>
      <c r="E34" s="364"/>
      <c r="F34" s="365"/>
    </row>
    <row r="35" spans="2:6" hidden="1">
      <c r="B35" s="361"/>
      <c r="C35" s="367"/>
      <c r="D35" s="382" t="s">
        <v>84</v>
      </c>
      <c r="E35" s="364"/>
      <c r="F35" s="365"/>
    </row>
    <row r="36" spans="2:6" hidden="1">
      <c r="B36" s="361"/>
      <c r="C36" s="367"/>
      <c r="D36" s="382" t="s">
        <v>83</v>
      </c>
      <c r="E36" s="364"/>
      <c r="F36" s="365"/>
    </row>
    <row r="37" spans="2:6" hidden="1">
      <c r="B37" s="361"/>
      <c r="C37" s="367"/>
      <c r="D37" s="382" t="s">
        <v>82</v>
      </c>
      <c r="E37" s="364"/>
      <c r="F37" s="365"/>
    </row>
    <row r="38" spans="2:6" hidden="1">
      <c r="B38" s="361"/>
      <c r="C38" s="367"/>
      <c r="D38" s="382" t="s">
        <v>81</v>
      </c>
      <c r="E38" s="364"/>
      <c r="F38" s="365"/>
    </row>
    <row r="39" spans="2:6" hidden="1">
      <c r="B39" s="361"/>
      <c r="C39" s="367"/>
      <c r="D39" s="384" t="s">
        <v>66</v>
      </c>
      <c r="E39" s="364"/>
      <c r="F39" s="365"/>
    </row>
    <row r="40" spans="2:6">
      <c r="B40" s="361"/>
      <c r="C40" s="367"/>
      <c r="D40" s="380"/>
      <c r="E40" s="364"/>
      <c r="F40" s="365"/>
    </row>
    <row r="41" spans="2:6">
      <c r="B41" s="361"/>
      <c r="C41" s="376" t="s">
        <v>65</v>
      </c>
      <c r="D41" s="382"/>
      <c r="E41" s="364"/>
      <c r="F41" s="365"/>
    </row>
    <row r="42" spans="2:6">
      <c r="B42" s="361"/>
      <c r="C42" s="377"/>
      <c r="D42" s="380"/>
      <c r="E42" s="364"/>
      <c r="F42" s="365"/>
    </row>
    <row r="43" spans="2:6" ht="18.75">
      <c r="B43" s="392"/>
      <c r="C43" s="393" t="s">
        <v>80</v>
      </c>
      <c r="D43" s="404"/>
      <c r="E43" s="395"/>
      <c r="F43" s="396"/>
    </row>
    <row r="44" spans="2:6" ht="30.75" customHeight="1">
      <c r="B44" s="392"/>
      <c r="C44" s="391" t="s">
        <v>79</v>
      </c>
      <c r="D44" s="399" t="s">
        <v>693</v>
      </c>
      <c r="E44" s="395"/>
      <c r="F44" s="396"/>
    </row>
    <row r="45" spans="2:6">
      <c r="B45" s="392"/>
      <c r="C45" s="391" t="s">
        <v>78</v>
      </c>
      <c r="D45" s="399" t="s">
        <v>693</v>
      </c>
      <c r="E45" s="395"/>
      <c r="F45" s="396"/>
    </row>
    <row r="46" spans="2:6" ht="30">
      <c r="B46" s="392"/>
      <c r="C46" s="398" t="s">
        <v>77</v>
      </c>
      <c r="D46" s="399" t="s">
        <v>693</v>
      </c>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67</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15">
      <c r="B65" s="346"/>
      <c r="C65" s="354" t="s">
        <v>65</v>
      </c>
      <c r="D65" s="413"/>
      <c r="E65" s="349"/>
      <c r="F65" s="350"/>
    </row>
    <row r="66" spans="2:15">
      <c r="B66" s="346"/>
      <c r="C66" s="351"/>
      <c r="D66" s="412"/>
      <c r="E66" s="349"/>
      <c r="F66" s="350"/>
    </row>
    <row r="67" spans="2:15" ht="18.75">
      <c r="B67" s="419"/>
      <c r="C67" s="420" t="s">
        <v>64</v>
      </c>
      <c r="D67" s="434"/>
      <c r="E67" s="422"/>
      <c r="F67" s="423"/>
    </row>
    <row r="68" spans="2:15">
      <c r="B68" s="419"/>
      <c r="C68" s="418" t="s">
        <v>118</v>
      </c>
      <c r="D68" s="426" t="s">
        <v>111</v>
      </c>
      <c r="E68" s="422"/>
      <c r="F68" s="423"/>
      <c r="I68" t="s">
        <v>3</v>
      </c>
    </row>
    <row r="69" spans="2:15">
      <c r="B69" s="419"/>
      <c r="C69" s="418" t="s">
        <v>107</v>
      </c>
      <c r="D69" s="427"/>
      <c r="E69" s="422"/>
      <c r="F69" s="423"/>
      <c r="I69" s="455" t="s">
        <v>163</v>
      </c>
      <c r="J69" s="455" t="s">
        <v>162</v>
      </c>
      <c r="K69" s="455" t="s">
        <v>190</v>
      </c>
      <c r="L69" s="455" t="s">
        <v>160</v>
      </c>
      <c r="M69" s="455" t="s">
        <v>161</v>
      </c>
    </row>
    <row r="70" spans="2:15">
      <c r="B70" s="419"/>
      <c r="C70" s="418" t="s">
        <v>119</v>
      </c>
      <c r="D70" s="424">
        <f>M72+M79</f>
        <v>53250</v>
      </c>
      <c r="E70" s="422"/>
      <c r="F70" s="423"/>
      <c r="I70" s="74" t="s">
        <v>164</v>
      </c>
      <c r="J70" s="74">
        <v>1.5</v>
      </c>
      <c r="K70" s="74">
        <v>1</v>
      </c>
      <c r="L70" s="74">
        <v>300</v>
      </c>
      <c r="M70" s="75">
        <f>((J70*K70)*7.5)*L70</f>
        <v>3375</v>
      </c>
    </row>
    <row r="71" spans="2:15">
      <c r="B71" s="419"/>
      <c r="C71" s="418"/>
      <c r="D71" s="433"/>
      <c r="E71" s="422"/>
      <c r="F71" s="423"/>
      <c r="I71" s="74" t="s">
        <v>191</v>
      </c>
      <c r="J71" s="74">
        <v>4</v>
      </c>
      <c r="K71" s="74">
        <v>2.5</v>
      </c>
      <c r="L71" s="74">
        <v>275</v>
      </c>
      <c r="M71" s="75">
        <f>((J71*K71)*7.5)*L71</f>
        <v>20625</v>
      </c>
    </row>
    <row r="72" spans="2:15">
      <c r="B72" s="419"/>
      <c r="C72" s="418" t="s">
        <v>223</v>
      </c>
      <c r="D72" s="426" t="s">
        <v>471</v>
      </c>
      <c r="E72" s="422"/>
      <c r="F72" s="423"/>
      <c r="I72" s="76"/>
      <c r="J72" s="76"/>
      <c r="K72" s="76"/>
      <c r="L72" s="456" t="s">
        <v>130</v>
      </c>
      <c r="M72" s="457">
        <f>SUM(M70:M71)</f>
        <v>24000</v>
      </c>
      <c r="O72">
        <f>24000/53250</f>
        <v>0.45070422535211269</v>
      </c>
    </row>
    <row r="73" spans="2:15" ht="38.25" customHeight="1">
      <c r="B73" s="419"/>
      <c r="C73" s="418" t="s">
        <v>62</v>
      </c>
      <c r="D73" s="426" t="s">
        <v>472</v>
      </c>
      <c r="E73" s="422"/>
      <c r="F73" s="423"/>
    </row>
    <row r="74" spans="2:15">
      <c r="B74" s="419"/>
      <c r="C74" s="418"/>
      <c r="D74" s="433"/>
      <c r="E74" s="422"/>
      <c r="F74" s="423"/>
    </row>
    <row r="75" spans="2:15">
      <c r="B75" s="419"/>
      <c r="C75" s="418" t="s">
        <v>61</v>
      </c>
      <c r="D75" s="425">
        <v>1</v>
      </c>
      <c r="E75" s="422"/>
      <c r="F75" s="423"/>
      <c r="I75" t="s">
        <v>5</v>
      </c>
    </row>
    <row r="76" spans="2:15">
      <c r="B76" s="419"/>
      <c r="C76" s="418"/>
      <c r="D76" s="434"/>
      <c r="E76" s="422"/>
      <c r="F76" s="423"/>
      <c r="I76" s="455" t="s">
        <v>163</v>
      </c>
      <c r="J76" s="455" t="s">
        <v>162</v>
      </c>
      <c r="K76" s="455" t="s">
        <v>190</v>
      </c>
      <c r="L76" s="455" t="s">
        <v>160</v>
      </c>
      <c r="M76" s="455" t="s">
        <v>161</v>
      </c>
    </row>
    <row r="77" spans="2:15">
      <c r="B77" s="419"/>
      <c r="C77" s="428"/>
      <c r="D77" s="434"/>
      <c r="E77" s="422"/>
      <c r="F77" s="423"/>
      <c r="I77" s="74" t="s">
        <v>164</v>
      </c>
      <c r="J77" s="74">
        <v>2</v>
      </c>
      <c r="K77" s="74">
        <v>1</v>
      </c>
      <c r="L77" s="74">
        <v>300</v>
      </c>
      <c r="M77" s="75">
        <f>((J77*K77)*7.5)*L77</f>
        <v>4500</v>
      </c>
    </row>
    <row r="78" spans="2:15" ht="15.75" thickBot="1">
      <c r="B78" s="429"/>
      <c r="C78" s="430"/>
      <c r="D78" s="435"/>
      <c r="E78" s="430"/>
      <c r="F78" s="432"/>
      <c r="I78" s="74" t="s">
        <v>191</v>
      </c>
      <c r="J78" s="74">
        <v>4</v>
      </c>
      <c r="K78" s="74">
        <v>3</v>
      </c>
      <c r="L78" s="74">
        <v>275</v>
      </c>
      <c r="M78" s="75">
        <f>((J78*K78)*7.5)*L78</f>
        <v>24750</v>
      </c>
    </row>
    <row r="79" spans="2:15">
      <c r="I79" s="76"/>
      <c r="J79" s="76"/>
      <c r="K79" s="76"/>
      <c r="L79" s="456" t="s">
        <v>130</v>
      </c>
      <c r="M79" s="457">
        <f>SUM(M77:M78)</f>
        <v>29250</v>
      </c>
      <c r="O79">
        <f>M79/D70</f>
        <v>0.54929577464788737</v>
      </c>
    </row>
  </sheetData>
  <phoneticPr fontId="19" type="noConversion"/>
  <pageMargins left="0.7" right="0.7" top="0.75" bottom="0.75" header="0.3" footer="0.3"/>
  <pageSetup paperSize="9" scale="46" orientation="portrait" copies="2" r:id="rId1"/>
</worksheet>
</file>

<file path=xl/worksheets/sheet16.xml><?xml version="1.0" encoding="utf-8"?>
<worksheet xmlns="http://schemas.openxmlformats.org/spreadsheetml/2006/main" xmlns:r="http://schemas.openxmlformats.org/officeDocument/2006/relationships">
  <sheetPr>
    <pageSetUpPr fitToPage="1"/>
  </sheetPr>
  <dimension ref="A1:M78"/>
  <sheetViews>
    <sheetView topLeftCell="A74" zoomScale="75" zoomScaleNormal="75" workbookViewId="0">
      <selection activeCell="G46" sqref="G46"/>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 min="13" max="13" width="11.5703125" customWidth="1"/>
  </cols>
  <sheetData>
    <row r="1" spans="1:6" ht="18.75">
      <c r="B1" s="25" t="s">
        <v>60</v>
      </c>
    </row>
    <row r="2" spans="1:6" ht="18.75">
      <c r="B2" s="25" t="s">
        <v>347</v>
      </c>
    </row>
    <row r="3" spans="1:6" ht="18.75">
      <c r="B3" s="25" t="s">
        <v>305</v>
      </c>
    </row>
    <row r="4" spans="1:6" ht="19.5" thickBot="1">
      <c r="A4" t="s">
        <v>106</v>
      </c>
      <c r="B4" s="25"/>
      <c r="C4" s="33"/>
    </row>
    <row r="5" spans="1:6" ht="18.75">
      <c r="B5" s="356"/>
      <c r="C5" s="386" t="s">
        <v>105</v>
      </c>
      <c r="D5" s="379"/>
      <c r="E5" s="359"/>
      <c r="F5" s="360"/>
    </row>
    <row r="6" spans="1:6" ht="18.75">
      <c r="B6" s="361"/>
      <c r="C6" s="452" t="s">
        <v>305</v>
      </c>
      <c r="D6" s="380"/>
      <c r="E6" s="364"/>
      <c r="F6" s="365"/>
    </row>
    <row r="7" spans="1:6" ht="18.75">
      <c r="B7" s="361"/>
      <c r="C7" s="452" t="s">
        <v>104</v>
      </c>
      <c r="D7" s="380"/>
      <c r="E7" s="364"/>
      <c r="F7" s="365"/>
    </row>
    <row r="8" spans="1:6" s="32" customFormat="1">
      <c r="B8" s="366"/>
      <c r="C8" s="388"/>
      <c r="D8" s="381"/>
      <c r="E8" s="369"/>
      <c r="F8" s="370"/>
    </row>
    <row r="9" spans="1:6" s="32" customFormat="1">
      <c r="B9" s="366"/>
      <c r="C9" s="388" t="s">
        <v>103</v>
      </c>
      <c r="D9" s="382"/>
      <c r="E9" s="369"/>
      <c r="F9" s="370"/>
    </row>
    <row r="10" spans="1:6" s="32" customFormat="1">
      <c r="B10" s="366"/>
      <c r="C10" s="388" t="s">
        <v>102</v>
      </c>
      <c r="D10" s="453" t="s">
        <v>43</v>
      </c>
      <c r="E10" s="369"/>
      <c r="F10" s="370"/>
    </row>
    <row r="11" spans="1:6" s="32" customFormat="1">
      <c r="B11" s="366"/>
      <c r="C11" s="388" t="s">
        <v>109</v>
      </c>
      <c r="D11" s="373">
        <v>40625</v>
      </c>
      <c r="E11" s="369"/>
      <c r="F11" s="370"/>
    </row>
    <row r="12" spans="1:6" s="32" customFormat="1">
      <c r="B12" s="366"/>
      <c r="C12" s="388" t="s">
        <v>101</v>
      </c>
      <c r="D12" s="373">
        <v>40816</v>
      </c>
      <c r="E12" s="369"/>
      <c r="F12" s="370"/>
    </row>
    <row r="13" spans="1:6" s="32" customFormat="1">
      <c r="B13" s="366"/>
      <c r="C13" s="388"/>
      <c r="D13" s="381"/>
      <c r="E13" s="369"/>
      <c r="F13" s="370"/>
    </row>
    <row r="14" spans="1:6">
      <c r="B14" s="361"/>
      <c r="C14" s="388" t="s">
        <v>100</v>
      </c>
      <c r="D14" s="383" t="s">
        <v>99</v>
      </c>
      <c r="E14" s="374"/>
      <c r="F14" s="365"/>
    </row>
    <row r="15" spans="1:6">
      <c r="B15" s="361"/>
      <c r="C15" s="364"/>
      <c r="D15" s="383" t="s">
        <v>98</v>
      </c>
      <c r="E15" s="374"/>
      <c r="F15" s="365"/>
    </row>
    <row r="16" spans="1:6">
      <c r="B16" s="361"/>
      <c r="C16" s="364"/>
      <c r="D16" s="383" t="s">
        <v>97</v>
      </c>
      <c r="E16" s="375" t="s">
        <v>96</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88" t="s">
        <v>94</v>
      </c>
      <c r="D23" s="382" t="s">
        <v>90</v>
      </c>
      <c r="E23" s="364"/>
      <c r="F23" s="365"/>
    </row>
    <row r="24" spans="2:6" hidden="1">
      <c r="B24" s="361"/>
      <c r="C24" s="388"/>
      <c r="D24" s="382"/>
      <c r="E24" s="364"/>
      <c r="F24" s="365"/>
    </row>
    <row r="25" spans="2:6" hidden="1">
      <c r="B25" s="361"/>
      <c r="C25" s="388"/>
      <c r="D25" s="382" t="s">
        <v>93</v>
      </c>
      <c r="E25" s="364"/>
      <c r="F25" s="365"/>
    </row>
    <row r="26" spans="2:6" hidden="1">
      <c r="B26" s="361"/>
      <c r="C26" s="388"/>
      <c r="D26" s="382" t="s">
        <v>58</v>
      </c>
      <c r="E26" s="364"/>
      <c r="F26" s="365"/>
    </row>
    <row r="27" spans="2:6" hidden="1">
      <c r="B27" s="361"/>
      <c r="C27" s="388"/>
      <c r="D27" s="382" t="s">
        <v>92</v>
      </c>
      <c r="E27" s="364"/>
      <c r="F27" s="365"/>
    </row>
    <row r="28" spans="2:6" hidden="1">
      <c r="B28" s="361"/>
      <c r="C28" s="388"/>
      <c r="D28" s="382" t="s">
        <v>91</v>
      </c>
      <c r="E28" s="364"/>
      <c r="F28" s="365"/>
    </row>
    <row r="29" spans="2:6" hidden="1">
      <c r="B29" s="361"/>
      <c r="C29" s="388"/>
      <c r="D29" s="382" t="s">
        <v>90</v>
      </c>
      <c r="E29" s="364"/>
      <c r="F29" s="365"/>
    </row>
    <row r="30" spans="2:6" hidden="1">
      <c r="B30" s="361"/>
      <c r="C30" s="388"/>
      <c r="D30" s="382" t="s">
        <v>89</v>
      </c>
      <c r="E30" s="364"/>
      <c r="F30" s="365"/>
    </row>
    <row r="31" spans="2:6" hidden="1">
      <c r="B31" s="361"/>
      <c r="C31" s="388"/>
      <c r="D31" s="382" t="s">
        <v>88</v>
      </c>
      <c r="E31" s="364"/>
      <c r="F31" s="365"/>
    </row>
    <row r="32" spans="2:6" hidden="1">
      <c r="B32" s="361"/>
      <c r="C32" s="388"/>
      <c r="D32" s="382" t="s">
        <v>87</v>
      </c>
      <c r="E32" s="364"/>
      <c r="F32" s="365"/>
    </row>
    <row r="33" spans="2:6" hidden="1">
      <c r="B33" s="361"/>
      <c r="C33" s="388"/>
      <c r="D33" s="382" t="s">
        <v>86</v>
      </c>
      <c r="E33" s="364"/>
      <c r="F33" s="365"/>
    </row>
    <row r="34" spans="2:6" hidden="1">
      <c r="B34" s="361"/>
      <c r="C34" s="388"/>
      <c r="D34" s="382" t="s">
        <v>85</v>
      </c>
      <c r="E34" s="364"/>
      <c r="F34" s="365"/>
    </row>
    <row r="35" spans="2:6" hidden="1">
      <c r="B35" s="361"/>
      <c r="C35" s="388"/>
      <c r="D35" s="382" t="s">
        <v>84</v>
      </c>
      <c r="E35" s="364"/>
      <c r="F35" s="365"/>
    </row>
    <row r="36" spans="2:6" hidden="1">
      <c r="B36" s="361"/>
      <c r="C36" s="388"/>
      <c r="D36" s="382" t="s">
        <v>83</v>
      </c>
      <c r="E36" s="364"/>
      <c r="F36" s="365"/>
    </row>
    <row r="37" spans="2:6" hidden="1">
      <c r="B37" s="361"/>
      <c r="C37" s="388"/>
      <c r="D37" s="382" t="s">
        <v>82</v>
      </c>
      <c r="E37" s="364"/>
      <c r="F37" s="365"/>
    </row>
    <row r="38" spans="2:6" hidden="1">
      <c r="B38" s="361"/>
      <c r="C38" s="388"/>
      <c r="D38" s="382" t="s">
        <v>81</v>
      </c>
      <c r="E38" s="364"/>
      <c r="F38" s="365"/>
    </row>
    <row r="39" spans="2:6" hidden="1">
      <c r="B39" s="361"/>
      <c r="C39" s="388"/>
      <c r="D39" s="384" t="s">
        <v>66</v>
      </c>
      <c r="E39" s="364"/>
      <c r="F39" s="365"/>
    </row>
    <row r="40" spans="2:6">
      <c r="B40" s="361"/>
      <c r="C40" s="388"/>
      <c r="D40" s="380"/>
      <c r="E40" s="364"/>
      <c r="F40" s="365"/>
    </row>
    <row r="41" spans="2:6">
      <c r="B41" s="361"/>
      <c r="C41" s="376" t="s">
        <v>65</v>
      </c>
      <c r="D41" s="382"/>
      <c r="E41" s="364"/>
      <c r="F41" s="365"/>
    </row>
    <row r="42" spans="2:6">
      <c r="B42" s="361"/>
      <c r="C42" s="377"/>
      <c r="D42" s="380"/>
      <c r="E42" s="364"/>
      <c r="F42" s="365"/>
    </row>
    <row r="43" spans="2:6" ht="18.75">
      <c r="B43" s="392"/>
      <c r="C43" s="405" t="s">
        <v>80</v>
      </c>
      <c r="D43" s="404"/>
      <c r="E43" s="395"/>
      <c r="F43" s="396"/>
    </row>
    <row r="44" spans="2:6">
      <c r="B44" s="392"/>
      <c r="C44" s="406" t="s">
        <v>79</v>
      </c>
      <c r="D44" s="399" t="s">
        <v>693</v>
      </c>
      <c r="E44" s="395"/>
      <c r="F44" s="396"/>
    </row>
    <row r="45" spans="2:6">
      <c r="B45" s="392"/>
      <c r="C45" s="406" t="s">
        <v>78</v>
      </c>
      <c r="D45" s="399" t="s">
        <v>693</v>
      </c>
      <c r="E45" s="395"/>
      <c r="F45" s="396"/>
    </row>
    <row r="46" spans="2:6" ht="30">
      <c r="B46" s="392"/>
      <c r="C46" s="407" t="s">
        <v>77</v>
      </c>
      <c r="D46" s="399" t="s">
        <v>116</v>
      </c>
      <c r="E46" s="395"/>
      <c r="F46" s="396"/>
    </row>
    <row r="47" spans="2:6" ht="30">
      <c r="B47" s="392"/>
      <c r="C47" s="400" t="s">
        <v>76</v>
      </c>
      <c r="D47" s="399" t="s">
        <v>209</v>
      </c>
      <c r="E47" s="401"/>
      <c r="F47" s="396"/>
    </row>
    <row r="48" spans="2:6" hidden="1">
      <c r="B48" s="392"/>
      <c r="C48" s="400"/>
      <c r="D48" s="402" t="s">
        <v>209</v>
      </c>
      <c r="E48" s="395"/>
      <c r="F48" s="396"/>
    </row>
    <row r="49" spans="2:13" hidden="1">
      <c r="B49" s="392"/>
      <c r="C49" s="400"/>
      <c r="D49" s="402" t="s">
        <v>277</v>
      </c>
      <c r="E49" s="395"/>
      <c r="F49" s="396"/>
    </row>
    <row r="50" spans="2:13" hidden="1">
      <c r="B50" s="392"/>
      <c r="C50" s="400"/>
      <c r="D50" s="402" t="s">
        <v>276</v>
      </c>
      <c r="E50" s="395"/>
      <c r="F50" s="396"/>
    </row>
    <row r="51" spans="2:13" hidden="1">
      <c r="B51" s="392"/>
      <c r="C51" s="400"/>
      <c r="D51" s="402" t="s">
        <v>278</v>
      </c>
      <c r="E51" s="395"/>
      <c r="F51" s="396"/>
    </row>
    <row r="52" spans="2:13">
      <c r="B52" s="392"/>
      <c r="C52" s="408"/>
      <c r="D52" s="404"/>
      <c r="E52" s="395"/>
      <c r="F52" s="396"/>
    </row>
    <row r="53" spans="2:13" ht="18.75">
      <c r="B53" s="346"/>
      <c r="C53" s="416" t="s">
        <v>75</v>
      </c>
      <c r="D53" s="412"/>
      <c r="E53" s="349"/>
      <c r="F53" s="350"/>
    </row>
    <row r="54" spans="2:13">
      <c r="B54" s="346"/>
      <c r="C54" s="417" t="s">
        <v>74</v>
      </c>
      <c r="D54" s="413" t="s">
        <v>72</v>
      </c>
      <c r="E54" s="349"/>
      <c r="F54" s="350"/>
      <c r="M54" s="82"/>
    </row>
    <row r="55" spans="2:13" hidden="1">
      <c r="B55" s="346"/>
      <c r="C55" s="355"/>
      <c r="D55" s="414"/>
      <c r="E55" s="349"/>
      <c r="F55" s="350"/>
    </row>
    <row r="56" spans="2:13" hidden="1">
      <c r="B56" s="346"/>
      <c r="C56" s="355"/>
      <c r="D56" s="413" t="s">
        <v>73</v>
      </c>
      <c r="E56" s="349"/>
      <c r="F56" s="350"/>
    </row>
    <row r="57" spans="2:13" hidden="1">
      <c r="B57" s="346"/>
      <c r="C57" s="355"/>
      <c r="D57" s="413" t="s">
        <v>72</v>
      </c>
      <c r="E57" s="349"/>
      <c r="F57" s="350"/>
    </row>
    <row r="58" spans="2:13" hidden="1">
      <c r="B58" s="346"/>
      <c r="C58" s="355"/>
      <c r="D58" s="413" t="s">
        <v>71</v>
      </c>
      <c r="E58" s="349"/>
      <c r="F58" s="350"/>
    </row>
    <row r="59" spans="2:13">
      <c r="B59" s="346"/>
      <c r="C59" s="417"/>
      <c r="D59" s="412"/>
      <c r="E59" s="349"/>
      <c r="F59" s="350"/>
    </row>
    <row r="60" spans="2:13">
      <c r="B60" s="346"/>
      <c r="C60" s="417" t="s">
        <v>70</v>
      </c>
      <c r="D60" s="413" t="s">
        <v>67</v>
      </c>
      <c r="E60" s="349"/>
      <c r="F60" s="350"/>
    </row>
    <row r="61" spans="2:13" hidden="1">
      <c r="B61" s="346"/>
      <c r="C61" s="417"/>
      <c r="D61" s="415" t="s">
        <v>69</v>
      </c>
      <c r="E61" s="411"/>
      <c r="F61" s="350"/>
    </row>
    <row r="62" spans="2:13" hidden="1">
      <c r="B62" s="346"/>
      <c r="C62" s="417"/>
      <c r="D62" s="415" t="s">
        <v>68</v>
      </c>
      <c r="E62" s="411"/>
      <c r="F62" s="350"/>
    </row>
    <row r="63" spans="2:13" hidden="1">
      <c r="B63" s="346"/>
      <c r="C63" s="417"/>
      <c r="D63" s="415" t="s">
        <v>67</v>
      </c>
      <c r="E63" s="411"/>
      <c r="F63" s="350"/>
    </row>
    <row r="64" spans="2:13" hidden="1">
      <c r="B64" s="346"/>
      <c r="C64" s="417"/>
      <c r="D64" s="415" t="s">
        <v>66</v>
      </c>
      <c r="E64" s="411"/>
      <c r="F64" s="350"/>
    </row>
    <row r="65" spans="2:13">
      <c r="B65" s="346"/>
      <c r="C65" s="354" t="s">
        <v>65</v>
      </c>
      <c r="D65" s="413"/>
      <c r="E65" s="349"/>
      <c r="F65" s="350"/>
      <c r="I65" t="s">
        <v>3</v>
      </c>
      <c r="M65" s="603">
        <v>47344</v>
      </c>
    </row>
    <row r="66" spans="2:13">
      <c r="B66" s="346"/>
      <c r="C66" s="417"/>
      <c r="D66" s="412"/>
      <c r="E66" s="349"/>
      <c r="F66" s="350"/>
    </row>
    <row r="67" spans="2:13" ht="18.75">
      <c r="B67" s="419"/>
      <c r="C67" s="443" t="s">
        <v>64</v>
      </c>
      <c r="D67" s="434"/>
      <c r="E67" s="422"/>
      <c r="F67" s="423"/>
      <c r="I67" t="s">
        <v>5</v>
      </c>
    </row>
    <row r="68" spans="2:13">
      <c r="B68" s="419"/>
      <c r="C68" s="444" t="s">
        <v>118</v>
      </c>
      <c r="D68" s="424">
        <v>246000000</v>
      </c>
      <c r="E68" s="422"/>
      <c r="F68" s="423"/>
      <c r="I68" s="455" t="s">
        <v>163</v>
      </c>
      <c r="J68" s="455" t="s">
        <v>162</v>
      </c>
      <c r="K68" s="455" t="s">
        <v>190</v>
      </c>
      <c r="L68" s="455" t="s">
        <v>160</v>
      </c>
      <c r="M68" s="455" t="s">
        <v>161</v>
      </c>
    </row>
    <row r="69" spans="2:13">
      <c r="B69" s="419"/>
      <c r="C69" s="444" t="s">
        <v>107</v>
      </c>
      <c r="D69" s="427"/>
      <c r="E69" s="422"/>
      <c r="F69" s="423"/>
      <c r="I69" s="74" t="s">
        <v>373</v>
      </c>
      <c r="J69" s="74">
        <v>2.5</v>
      </c>
      <c r="K69" s="74">
        <v>5</v>
      </c>
      <c r="L69" s="74">
        <v>2250</v>
      </c>
      <c r="M69" s="75">
        <f>((J69*K69)*L69)</f>
        <v>28125</v>
      </c>
    </row>
    <row r="70" spans="2:13">
      <c r="B70" s="419"/>
      <c r="C70" s="444" t="s">
        <v>119</v>
      </c>
      <c r="D70" s="424">
        <f>M65+M72</f>
        <v>174469</v>
      </c>
      <c r="E70" s="422"/>
      <c r="F70" s="423"/>
      <c r="I70" s="74" t="s">
        <v>374</v>
      </c>
      <c r="J70" s="74">
        <v>3</v>
      </c>
      <c r="K70" s="74">
        <v>10</v>
      </c>
      <c r="L70" s="74">
        <v>1800</v>
      </c>
      <c r="M70" s="75">
        <f t="shared" ref="M70:M71" si="0">((J70*K70)*L70)</f>
        <v>54000</v>
      </c>
    </row>
    <row r="71" spans="2:13">
      <c r="B71" s="419"/>
      <c r="C71" s="444"/>
      <c r="D71" s="433"/>
      <c r="E71" s="422"/>
      <c r="F71" s="423"/>
      <c r="I71" s="74" t="s">
        <v>110</v>
      </c>
      <c r="J71" s="74">
        <v>3</v>
      </c>
      <c r="K71" s="74">
        <v>10</v>
      </c>
      <c r="L71" s="74">
        <v>1500</v>
      </c>
      <c r="M71" s="75">
        <f t="shared" si="0"/>
        <v>45000</v>
      </c>
    </row>
    <row r="72" spans="2:13">
      <c r="B72" s="419"/>
      <c r="C72" s="444" t="s">
        <v>223</v>
      </c>
      <c r="D72" s="426" t="s">
        <v>393</v>
      </c>
      <c r="E72" s="422"/>
      <c r="F72" s="423"/>
      <c r="I72" s="76"/>
      <c r="J72" s="76"/>
      <c r="K72" s="76"/>
      <c r="L72" s="456" t="s">
        <v>130</v>
      </c>
      <c r="M72" s="457">
        <f>SUM(M69:M71)</f>
        <v>127125</v>
      </c>
    </row>
    <row r="73" spans="2:13">
      <c r="B73" s="419"/>
      <c r="C73" s="444" t="s">
        <v>62</v>
      </c>
      <c r="D73" s="426" t="s">
        <v>733</v>
      </c>
      <c r="E73" s="422"/>
      <c r="F73" s="423"/>
    </row>
    <row r="74" spans="2:13">
      <c r="B74" s="419"/>
      <c r="C74" s="444"/>
      <c r="D74" s="433"/>
      <c r="E74" s="422"/>
      <c r="F74" s="423"/>
    </row>
    <row r="75" spans="2:13">
      <c r="B75" s="419"/>
      <c r="C75" s="444" t="s">
        <v>61</v>
      </c>
      <c r="D75" s="427">
        <v>1</v>
      </c>
      <c r="E75" s="422"/>
      <c r="F75" s="423"/>
    </row>
    <row r="76" spans="2:13">
      <c r="B76" s="419"/>
      <c r="C76" s="444"/>
      <c r="D76" s="434"/>
      <c r="E76" s="422"/>
      <c r="F76" s="423"/>
    </row>
    <row r="77" spans="2:13">
      <c r="B77" s="419"/>
      <c r="C77" s="446"/>
      <c r="D77" s="434"/>
      <c r="E77" s="422"/>
      <c r="F77" s="423"/>
    </row>
    <row r="78" spans="2:13" ht="15.75" thickBot="1">
      <c r="B78" s="429"/>
      <c r="C78" s="430"/>
      <c r="D78" s="435"/>
      <c r="E78" s="430"/>
      <c r="F78" s="432"/>
    </row>
  </sheetData>
  <phoneticPr fontId="19" type="noConversion"/>
  <pageMargins left="0.7" right="0.7" top="0.75" bottom="0.75" header="0.3" footer="0.3"/>
  <pageSetup paperSize="9" scale="50" orientation="portrait" copies="2" r:id="rId1"/>
</worksheet>
</file>

<file path=xl/worksheets/sheet17.xml><?xml version="1.0" encoding="utf-8"?>
<worksheet xmlns="http://schemas.openxmlformats.org/spreadsheetml/2006/main" xmlns:r="http://schemas.openxmlformats.org/officeDocument/2006/relationships">
  <sheetPr>
    <pageSetUpPr fitToPage="1"/>
  </sheetPr>
  <dimension ref="A1:O78"/>
  <sheetViews>
    <sheetView topLeftCell="A73" zoomScale="75" zoomScaleNormal="75" workbookViewId="0">
      <selection activeCell="J41" sqref="J41"/>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 min="13" max="13" width="11.5703125" bestFit="1" customWidth="1"/>
    <col min="15" max="15" width="9.85546875" bestFit="1" customWidth="1"/>
  </cols>
  <sheetData>
    <row r="1" spans="1:6" ht="18.75">
      <c r="B1" s="25" t="s">
        <v>60</v>
      </c>
    </row>
    <row r="2" spans="1:6" ht="18.75">
      <c r="B2" s="25" t="s">
        <v>347</v>
      </c>
    </row>
    <row r="3" spans="1:6" ht="18.75">
      <c r="B3" s="25" t="s">
        <v>306</v>
      </c>
    </row>
    <row r="4" spans="1:6" ht="19.5" thickBot="1">
      <c r="A4" t="s">
        <v>106</v>
      </c>
      <c r="B4" s="25"/>
      <c r="C4" s="33"/>
    </row>
    <row r="5" spans="1:6" ht="18.75">
      <c r="B5" s="356"/>
      <c r="C5" s="386" t="s">
        <v>105</v>
      </c>
      <c r="D5" s="379"/>
      <c r="E5" s="359"/>
      <c r="F5" s="360"/>
    </row>
    <row r="6" spans="1:6" ht="18.75">
      <c r="B6" s="361"/>
      <c r="C6" s="452" t="s">
        <v>306</v>
      </c>
      <c r="D6" s="380"/>
      <c r="E6" s="364"/>
      <c r="F6" s="365"/>
    </row>
    <row r="7" spans="1:6" ht="18.75">
      <c r="B7" s="361"/>
      <c r="C7" s="452" t="s">
        <v>104</v>
      </c>
      <c r="D7" s="380"/>
      <c r="E7" s="364"/>
      <c r="F7" s="365"/>
    </row>
    <row r="8" spans="1:6" s="32" customFormat="1">
      <c r="B8" s="366"/>
      <c r="C8" s="388"/>
      <c r="D8" s="381"/>
      <c r="E8" s="369"/>
      <c r="F8" s="370"/>
    </row>
    <row r="9" spans="1:6" s="32" customFormat="1">
      <c r="B9" s="366"/>
      <c r="C9" s="388" t="s">
        <v>103</v>
      </c>
      <c r="D9" s="382"/>
      <c r="E9" s="369"/>
      <c r="F9" s="370"/>
    </row>
    <row r="10" spans="1:6" s="32" customFormat="1">
      <c r="B10" s="366"/>
      <c r="C10" s="388" t="s">
        <v>102</v>
      </c>
      <c r="D10" s="453" t="s">
        <v>44</v>
      </c>
      <c r="E10" s="369"/>
      <c r="F10" s="370"/>
    </row>
    <row r="11" spans="1:6" s="32" customFormat="1">
      <c r="B11" s="366"/>
      <c r="C11" s="388" t="s">
        <v>109</v>
      </c>
      <c r="D11" s="373">
        <v>40625</v>
      </c>
      <c r="E11" s="369"/>
      <c r="F11" s="370"/>
    </row>
    <row r="12" spans="1:6" s="32" customFormat="1">
      <c r="B12" s="366"/>
      <c r="C12" s="388" t="s">
        <v>101</v>
      </c>
      <c r="D12" s="373">
        <v>40816</v>
      </c>
      <c r="E12" s="369"/>
      <c r="F12" s="370"/>
    </row>
    <row r="13" spans="1:6" s="32" customFormat="1">
      <c r="B13" s="366"/>
      <c r="C13" s="388"/>
      <c r="D13" s="381"/>
      <c r="E13" s="369"/>
      <c r="F13" s="370"/>
    </row>
    <row r="14" spans="1:6">
      <c r="B14" s="361"/>
      <c r="C14" s="388" t="s">
        <v>100</v>
      </c>
      <c r="D14" s="383" t="s">
        <v>99</v>
      </c>
      <c r="E14" s="374"/>
      <c r="F14" s="365"/>
    </row>
    <row r="15" spans="1:6">
      <c r="B15" s="361"/>
      <c r="C15" s="364"/>
      <c r="D15" s="383" t="s">
        <v>98</v>
      </c>
      <c r="E15" s="374"/>
      <c r="F15" s="365"/>
    </row>
    <row r="16" spans="1:6">
      <c r="B16" s="361"/>
      <c r="C16" s="364"/>
      <c r="D16" s="383" t="s">
        <v>97</v>
      </c>
      <c r="E16" s="375" t="s">
        <v>96</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88" t="s">
        <v>94</v>
      </c>
      <c r="D23" s="382" t="s">
        <v>81</v>
      </c>
      <c r="E23" s="364"/>
      <c r="F23" s="365"/>
    </row>
    <row r="24" spans="2:6" hidden="1">
      <c r="B24" s="361"/>
      <c r="C24" s="388"/>
      <c r="D24" s="382"/>
      <c r="E24" s="364"/>
      <c r="F24" s="365"/>
    </row>
    <row r="25" spans="2:6" hidden="1">
      <c r="B25" s="361"/>
      <c r="C25" s="388"/>
      <c r="D25" s="382" t="s">
        <v>93</v>
      </c>
      <c r="E25" s="364"/>
      <c r="F25" s="365"/>
    </row>
    <row r="26" spans="2:6" hidden="1">
      <c r="B26" s="361"/>
      <c r="C26" s="388"/>
      <c r="D26" s="382" t="s">
        <v>58</v>
      </c>
      <c r="E26" s="364"/>
      <c r="F26" s="365"/>
    </row>
    <row r="27" spans="2:6" hidden="1">
      <c r="B27" s="361"/>
      <c r="C27" s="388"/>
      <c r="D27" s="382" t="s">
        <v>92</v>
      </c>
      <c r="E27" s="364"/>
      <c r="F27" s="365"/>
    </row>
    <row r="28" spans="2:6" hidden="1">
      <c r="B28" s="361"/>
      <c r="C28" s="388"/>
      <c r="D28" s="382" t="s">
        <v>91</v>
      </c>
      <c r="E28" s="364"/>
      <c r="F28" s="365"/>
    </row>
    <row r="29" spans="2:6" hidden="1">
      <c r="B29" s="361"/>
      <c r="C29" s="388"/>
      <c r="D29" s="382" t="s">
        <v>90</v>
      </c>
      <c r="E29" s="364"/>
      <c r="F29" s="365"/>
    </row>
    <row r="30" spans="2:6" hidden="1">
      <c r="B30" s="361"/>
      <c r="C30" s="388"/>
      <c r="D30" s="382" t="s">
        <v>89</v>
      </c>
      <c r="E30" s="364"/>
      <c r="F30" s="365"/>
    </row>
    <row r="31" spans="2:6" hidden="1">
      <c r="B31" s="361"/>
      <c r="C31" s="388"/>
      <c r="D31" s="382" t="s">
        <v>88</v>
      </c>
      <c r="E31" s="364"/>
      <c r="F31" s="365"/>
    </row>
    <row r="32" spans="2:6" hidden="1">
      <c r="B32" s="361"/>
      <c r="C32" s="388"/>
      <c r="D32" s="382" t="s">
        <v>87</v>
      </c>
      <c r="E32" s="364"/>
      <c r="F32" s="365"/>
    </row>
    <row r="33" spans="2:6" hidden="1">
      <c r="B33" s="361"/>
      <c r="C33" s="388"/>
      <c r="D33" s="382" t="s">
        <v>86</v>
      </c>
      <c r="E33" s="364"/>
      <c r="F33" s="365"/>
    </row>
    <row r="34" spans="2:6" hidden="1">
      <c r="B34" s="361"/>
      <c r="C34" s="388"/>
      <c r="D34" s="382" t="s">
        <v>85</v>
      </c>
      <c r="E34" s="364"/>
      <c r="F34" s="365"/>
    </row>
    <row r="35" spans="2:6" hidden="1">
      <c r="B35" s="361"/>
      <c r="C35" s="388"/>
      <c r="D35" s="382" t="s">
        <v>84</v>
      </c>
      <c r="E35" s="364"/>
      <c r="F35" s="365"/>
    </row>
    <row r="36" spans="2:6" hidden="1">
      <c r="B36" s="361"/>
      <c r="C36" s="388"/>
      <c r="D36" s="382" t="s">
        <v>83</v>
      </c>
      <c r="E36" s="364"/>
      <c r="F36" s="365"/>
    </row>
    <row r="37" spans="2:6" hidden="1">
      <c r="B37" s="361"/>
      <c r="C37" s="388"/>
      <c r="D37" s="382" t="s">
        <v>82</v>
      </c>
      <c r="E37" s="364"/>
      <c r="F37" s="365"/>
    </row>
    <row r="38" spans="2:6" hidden="1">
      <c r="B38" s="361"/>
      <c r="C38" s="388"/>
      <c r="D38" s="382" t="s">
        <v>81</v>
      </c>
      <c r="E38" s="364"/>
      <c r="F38" s="365"/>
    </row>
    <row r="39" spans="2:6" hidden="1">
      <c r="B39" s="361"/>
      <c r="C39" s="388"/>
      <c r="D39" s="384" t="s">
        <v>66</v>
      </c>
      <c r="E39" s="364"/>
      <c r="F39" s="365"/>
    </row>
    <row r="40" spans="2:6">
      <c r="B40" s="361"/>
      <c r="C40" s="388"/>
      <c r="D40" s="380"/>
      <c r="E40" s="364"/>
      <c r="F40" s="365"/>
    </row>
    <row r="41" spans="2:6">
      <c r="B41" s="361"/>
      <c r="C41" s="376" t="s">
        <v>65</v>
      </c>
      <c r="D41" s="382"/>
      <c r="E41" s="364"/>
      <c r="F41" s="365"/>
    </row>
    <row r="42" spans="2:6">
      <c r="B42" s="361"/>
      <c r="C42" s="377"/>
      <c r="D42" s="380"/>
      <c r="E42" s="364"/>
      <c r="F42" s="365"/>
    </row>
    <row r="43" spans="2:6" ht="18.75">
      <c r="B43" s="392"/>
      <c r="C43" s="405" t="s">
        <v>80</v>
      </c>
      <c r="D43" s="404"/>
      <c r="E43" s="395"/>
      <c r="F43" s="396"/>
    </row>
    <row r="44" spans="2:6">
      <c r="B44" s="392"/>
      <c r="C44" s="406" t="s">
        <v>79</v>
      </c>
      <c r="D44" s="399" t="s">
        <v>693</v>
      </c>
      <c r="E44" s="395"/>
      <c r="F44" s="396"/>
    </row>
    <row r="45" spans="2:6">
      <c r="B45" s="392"/>
      <c r="C45" s="406" t="s">
        <v>78</v>
      </c>
      <c r="D45" s="399" t="s">
        <v>693</v>
      </c>
      <c r="E45" s="395"/>
      <c r="F45" s="396"/>
    </row>
    <row r="46" spans="2:6" ht="30">
      <c r="B46" s="392"/>
      <c r="C46" s="407" t="s">
        <v>77</v>
      </c>
      <c r="D46" s="399" t="s">
        <v>116</v>
      </c>
      <c r="E46" s="395"/>
      <c r="F46" s="396"/>
    </row>
    <row r="47" spans="2:6" ht="30">
      <c r="B47" s="392"/>
      <c r="C47" s="400" t="s">
        <v>76</v>
      </c>
      <c r="D47" s="399" t="s">
        <v>209</v>
      </c>
      <c r="E47" s="401"/>
      <c r="F47" s="396"/>
    </row>
    <row r="48" spans="2:6" hidden="1">
      <c r="B48" s="392"/>
      <c r="C48" s="400"/>
      <c r="D48" s="402" t="s">
        <v>209</v>
      </c>
      <c r="E48" s="395"/>
      <c r="F48" s="396"/>
    </row>
    <row r="49" spans="2:13" hidden="1">
      <c r="B49" s="392"/>
      <c r="C49" s="400"/>
      <c r="D49" s="402" t="s">
        <v>277</v>
      </c>
      <c r="E49" s="395"/>
      <c r="F49" s="396"/>
    </row>
    <row r="50" spans="2:13" hidden="1">
      <c r="B50" s="392"/>
      <c r="C50" s="400"/>
      <c r="D50" s="402" t="s">
        <v>276</v>
      </c>
      <c r="E50" s="395"/>
      <c r="F50" s="396"/>
    </row>
    <row r="51" spans="2:13" hidden="1">
      <c r="B51" s="392"/>
      <c r="C51" s="400"/>
      <c r="D51" s="402" t="s">
        <v>278</v>
      </c>
      <c r="E51" s="395"/>
      <c r="F51" s="396"/>
    </row>
    <row r="52" spans="2:13">
      <c r="B52" s="392"/>
      <c r="C52" s="408"/>
      <c r="D52" s="404"/>
      <c r="E52" s="395"/>
      <c r="F52" s="396"/>
    </row>
    <row r="53" spans="2:13" ht="18.75">
      <c r="B53" s="346"/>
      <c r="C53" s="416" t="s">
        <v>75</v>
      </c>
      <c r="D53" s="412"/>
      <c r="E53" s="349"/>
      <c r="F53" s="350"/>
    </row>
    <row r="54" spans="2:13">
      <c r="B54" s="346"/>
      <c r="C54" s="417" t="s">
        <v>74</v>
      </c>
      <c r="D54" s="413" t="s">
        <v>72</v>
      </c>
      <c r="E54" s="349"/>
      <c r="F54" s="350"/>
    </row>
    <row r="55" spans="2:13" hidden="1">
      <c r="B55" s="346"/>
      <c r="C55" s="355"/>
      <c r="D55" s="414"/>
      <c r="E55" s="349"/>
      <c r="F55" s="350"/>
    </row>
    <row r="56" spans="2:13" hidden="1">
      <c r="B56" s="346"/>
      <c r="C56" s="355"/>
      <c r="D56" s="413" t="s">
        <v>73</v>
      </c>
      <c r="E56" s="349"/>
      <c r="F56" s="350"/>
    </row>
    <row r="57" spans="2:13" hidden="1">
      <c r="B57" s="346"/>
      <c r="C57" s="355"/>
      <c r="D57" s="413" t="s">
        <v>72</v>
      </c>
      <c r="E57" s="349"/>
      <c r="F57" s="350"/>
    </row>
    <row r="58" spans="2:13" hidden="1">
      <c r="B58" s="346"/>
      <c r="C58" s="355"/>
      <c r="D58" s="413" t="s">
        <v>71</v>
      </c>
      <c r="E58" s="349"/>
      <c r="F58" s="350"/>
    </row>
    <row r="59" spans="2:13">
      <c r="B59" s="346"/>
      <c r="C59" s="417"/>
      <c r="D59" s="412"/>
      <c r="E59" s="349"/>
      <c r="F59" s="350"/>
    </row>
    <row r="60" spans="2:13">
      <c r="B60" s="346"/>
      <c r="C60" s="417" t="s">
        <v>70</v>
      </c>
      <c r="D60" s="413" t="s">
        <v>67</v>
      </c>
      <c r="E60" s="349"/>
      <c r="F60" s="350"/>
      <c r="I60" t="s">
        <v>3</v>
      </c>
      <c r="M60" s="76">
        <v>378600</v>
      </c>
    </row>
    <row r="61" spans="2:13" hidden="1">
      <c r="B61" s="346"/>
      <c r="C61" s="417"/>
      <c r="D61" s="415" t="s">
        <v>69</v>
      </c>
      <c r="E61" s="411"/>
      <c r="F61" s="350"/>
    </row>
    <row r="62" spans="2:13" hidden="1">
      <c r="B62" s="346"/>
      <c r="C62" s="417"/>
      <c r="D62" s="415" t="s">
        <v>68</v>
      </c>
      <c r="E62" s="411"/>
      <c r="F62" s="350"/>
    </row>
    <row r="63" spans="2:13" hidden="1">
      <c r="B63" s="346"/>
      <c r="C63" s="417"/>
      <c r="D63" s="415" t="s">
        <v>67</v>
      </c>
      <c r="E63" s="411"/>
      <c r="F63" s="350"/>
    </row>
    <row r="64" spans="2:13" hidden="1">
      <c r="B64" s="346"/>
      <c r="C64" s="417"/>
      <c r="D64" s="415" t="s">
        <v>66</v>
      </c>
      <c r="E64" s="411"/>
      <c r="F64" s="350"/>
    </row>
    <row r="65" spans="2:15">
      <c r="B65" s="346"/>
      <c r="C65" s="354" t="s">
        <v>65</v>
      </c>
      <c r="D65" s="413"/>
      <c r="E65" s="349"/>
      <c r="F65" s="350"/>
    </row>
    <row r="66" spans="2:15">
      <c r="B66" s="346"/>
      <c r="C66" s="417"/>
      <c r="D66" s="412"/>
      <c r="E66" s="349"/>
      <c r="F66" s="350"/>
      <c r="I66" t="s">
        <v>727</v>
      </c>
    </row>
    <row r="67" spans="2:15" ht="18.75">
      <c r="B67" s="419"/>
      <c r="C67" s="443" t="s">
        <v>64</v>
      </c>
      <c r="D67" s="434"/>
      <c r="E67" s="422"/>
      <c r="F67" s="423"/>
    </row>
    <row r="68" spans="2:15">
      <c r="B68" s="419"/>
      <c r="C68" s="444" t="s">
        <v>118</v>
      </c>
      <c r="D68" s="436">
        <v>102000000</v>
      </c>
      <c r="E68" s="422"/>
      <c r="F68" s="423"/>
      <c r="I68" s="455" t="s">
        <v>163</v>
      </c>
      <c r="J68" s="455" t="s">
        <v>162</v>
      </c>
      <c r="K68" s="455" t="s">
        <v>159</v>
      </c>
      <c r="L68" s="455" t="s">
        <v>160</v>
      </c>
      <c r="M68" s="455" t="s">
        <v>161</v>
      </c>
    </row>
    <row r="69" spans="2:15">
      <c r="B69" s="419"/>
      <c r="C69" s="444" t="s">
        <v>107</v>
      </c>
      <c r="D69" s="427"/>
      <c r="E69" s="422"/>
      <c r="F69" s="423"/>
      <c r="I69" s="74" t="s">
        <v>376</v>
      </c>
      <c r="J69" s="74">
        <v>2</v>
      </c>
      <c r="K69" s="74">
        <v>12</v>
      </c>
      <c r="L69" s="74">
        <v>1800</v>
      </c>
      <c r="M69" s="75">
        <f>(((J69*4)*K69))*L69</f>
        <v>172800</v>
      </c>
    </row>
    <row r="70" spans="2:15">
      <c r="B70" s="419"/>
      <c r="C70" s="444" t="s">
        <v>119</v>
      </c>
      <c r="D70" s="436">
        <f>M60+M73</f>
        <v>851400</v>
      </c>
      <c r="E70" s="422"/>
      <c r="F70" s="423"/>
      <c r="I70" s="74" t="s">
        <v>377</v>
      </c>
      <c r="J70" s="74">
        <v>2.5</v>
      </c>
      <c r="K70" s="74">
        <v>6</v>
      </c>
      <c r="L70" s="74">
        <v>1500</v>
      </c>
      <c r="M70" s="75">
        <f t="shared" ref="M70:M72" si="0">(((J70*4)*K70))*L70</f>
        <v>90000</v>
      </c>
      <c r="O70" s="604" t="s">
        <v>106</v>
      </c>
    </row>
    <row r="71" spans="2:15">
      <c r="B71" s="419"/>
      <c r="C71" s="444"/>
      <c r="D71" s="434"/>
      <c r="E71" s="422"/>
      <c r="F71" s="423"/>
      <c r="I71" s="74" t="s">
        <v>378</v>
      </c>
      <c r="J71" s="74">
        <v>2.5</v>
      </c>
      <c r="K71" s="74">
        <v>12</v>
      </c>
      <c r="L71" s="74">
        <v>1200</v>
      </c>
      <c r="M71" s="75">
        <f t="shared" si="0"/>
        <v>144000</v>
      </c>
    </row>
    <row r="72" spans="2:15">
      <c r="B72" s="419"/>
      <c r="C72" s="444" t="s">
        <v>223</v>
      </c>
      <c r="D72" s="426" t="s">
        <v>734</v>
      </c>
      <c r="E72" s="422"/>
      <c r="F72" s="423"/>
      <c r="I72" s="74" t="s">
        <v>110</v>
      </c>
      <c r="J72" s="74">
        <v>2.5</v>
      </c>
      <c r="K72" s="74">
        <v>6</v>
      </c>
      <c r="L72" s="74">
        <v>1100</v>
      </c>
      <c r="M72" s="75">
        <f t="shared" si="0"/>
        <v>66000</v>
      </c>
    </row>
    <row r="73" spans="2:15" ht="30">
      <c r="B73" s="419"/>
      <c r="C73" s="444" t="s">
        <v>62</v>
      </c>
      <c r="D73" s="426" t="s">
        <v>735</v>
      </c>
      <c r="E73" s="422"/>
      <c r="F73" s="423"/>
      <c r="I73" s="76"/>
      <c r="J73" s="76"/>
      <c r="K73" s="76"/>
      <c r="L73" s="456" t="s">
        <v>130</v>
      </c>
      <c r="M73" s="457">
        <f>SUM(M69:M72)</f>
        <v>472800</v>
      </c>
    </row>
    <row r="74" spans="2:15">
      <c r="B74" s="419"/>
      <c r="C74" s="444"/>
      <c r="D74" s="434"/>
      <c r="E74" s="422"/>
      <c r="F74" s="423"/>
      <c r="I74" s="229"/>
    </row>
    <row r="75" spans="2:15">
      <c r="B75" s="419"/>
      <c r="C75" s="444" t="s">
        <v>61</v>
      </c>
      <c r="D75" s="427">
        <v>1</v>
      </c>
      <c r="E75" s="422"/>
      <c r="F75" s="423"/>
      <c r="K75" s="8"/>
      <c r="L75" s="608"/>
      <c r="M75" s="609"/>
    </row>
    <row r="76" spans="2:15">
      <c r="B76" s="419"/>
      <c r="C76" s="444"/>
      <c r="D76" s="434"/>
      <c r="E76" s="422"/>
      <c r="F76" s="423"/>
    </row>
    <row r="77" spans="2:15">
      <c r="B77" s="419"/>
      <c r="C77" s="446"/>
      <c r="D77" s="434"/>
      <c r="E77" s="422"/>
      <c r="F77" s="423"/>
    </row>
    <row r="78" spans="2:15" ht="15.75" thickBot="1">
      <c r="B78" s="429"/>
      <c r="C78" s="430"/>
      <c r="D78" s="435"/>
      <c r="E78" s="430"/>
      <c r="F78" s="432"/>
    </row>
  </sheetData>
  <phoneticPr fontId="19" type="noConversion"/>
  <dataValidations count="2">
    <dataValidation type="list" allowBlank="1" showInputMessage="1" showErrorMessage="1" sqref="D65536">
      <formula1>$D$24:$D$39</formula1>
    </dataValidation>
    <dataValidation type="list" allowBlank="1" showInputMessage="1" showErrorMessage="1" sqref="E65535">
      <formula1>$D$25:$D$39</formula1>
    </dataValidation>
  </dataValidations>
  <pageMargins left="0.7" right="0.7" top="0.75" bottom="0.75" header="0.3" footer="0.3"/>
  <pageSetup paperSize="9" scale="45" orientation="portrait" copies="2" r:id="rId1"/>
</worksheet>
</file>

<file path=xl/worksheets/sheet18.xml><?xml version="1.0" encoding="utf-8"?>
<worksheet xmlns="http://schemas.openxmlformats.org/spreadsheetml/2006/main" xmlns:r="http://schemas.openxmlformats.org/officeDocument/2006/relationships">
  <sheetPr>
    <pageSetUpPr fitToPage="1"/>
  </sheetPr>
  <dimension ref="A1:M78"/>
  <sheetViews>
    <sheetView topLeftCell="A7" zoomScale="75" zoomScaleNormal="75" workbookViewId="0">
      <selection activeCell="D45" sqref="D45:D46"/>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 min="13" max="13" width="11.5703125" bestFit="1" customWidth="1"/>
  </cols>
  <sheetData>
    <row r="1" spans="1:6" ht="18.75">
      <c r="B1" s="25" t="s">
        <v>60</v>
      </c>
    </row>
    <row r="2" spans="1:6" ht="18.75">
      <c r="B2" s="25" t="s">
        <v>347</v>
      </c>
    </row>
    <row r="3" spans="1:6" ht="18.75">
      <c r="B3" s="280" t="s">
        <v>390</v>
      </c>
    </row>
    <row r="4" spans="1:6" ht="19.5" thickBot="1">
      <c r="A4" t="s">
        <v>106</v>
      </c>
      <c r="B4" s="25"/>
      <c r="C4" s="33"/>
    </row>
    <row r="5" spans="1:6" ht="18.75">
      <c r="B5" s="356"/>
      <c r="C5" s="386" t="s">
        <v>105</v>
      </c>
      <c r="D5" s="379"/>
      <c r="E5" s="359"/>
      <c r="F5" s="360"/>
    </row>
    <row r="6" spans="1:6" ht="18.75">
      <c r="B6" s="361"/>
      <c r="C6" s="452" t="s">
        <v>305</v>
      </c>
      <c r="D6" s="380"/>
      <c r="E6" s="364"/>
      <c r="F6" s="365"/>
    </row>
    <row r="7" spans="1:6" ht="18.75">
      <c r="B7" s="361"/>
      <c r="C7" s="452" t="s">
        <v>104</v>
      </c>
      <c r="D7" s="380"/>
      <c r="E7" s="364"/>
      <c r="F7" s="365"/>
    </row>
    <row r="8" spans="1:6" s="32" customFormat="1">
      <c r="B8" s="366"/>
      <c r="C8" s="388"/>
      <c r="D8" s="381"/>
      <c r="E8" s="369"/>
      <c r="F8" s="370"/>
    </row>
    <row r="9" spans="1:6" s="32" customFormat="1">
      <c r="B9" s="366"/>
      <c r="C9" s="388" t="s">
        <v>103</v>
      </c>
      <c r="D9" s="382"/>
      <c r="E9" s="369"/>
      <c r="F9" s="370"/>
    </row>
    <row r="10" spans="1:6" s="32" customFormat="1">
      <c r="B10" s="366"/>
      <c r="C10" s="388" t="s">
        <v>102</v>
      </c>
      <c r="D10" s="453" t="s">
        <v>392</v>
      </c>
      <c r="E10" s="369"/>
      <c r="F10" s="370"/>
    </row>
    <row r="11" spans="1:6" s="32" customFormat="1">
      <c r="B11" s="366"/>
      <c r="C11" s="388" t="s">
        <v>109</v>
      </c>
      <c r="D11" s="373">
        <v>40625</v>
      </c>
      <c r="E11" s="369"/>
      <c r="F11" s="370"/>
    </row>
    <row r="12" spans="1:6" s="32" customFormat="1">
      <c r="B12" s="366"/>
      <c r="C12" s="388" t="s">
        <v>101</v>
      </c>
      <c r="D12" s="373">
        <v>40816</v>
      </c>
      <c r="E12" s="369"/>
      <c r="F12" s="370"/>
    </row>
    <row r="13" spans="1:6" s="32" customFormat="1">
      <c r="B13" s="366"/>
      <c r="C13" s="388"/>
      <c r="D13" s="381"/>
      <c r="E13" s="369"/>
      <c r="F13" s="370"/>
    </row>
    <row r="14" spans="1:6">
      <c r="B14" s="361"/>
      <c r="C14" s="388" t="s">
        <v>100</v>
      </c>
      <c r="D14" s="383" t="s">
        <v>99</v>
      </c>
      <c r="E14" s="374"/>
      <c r="F14" s="365"/>
    </row>
    <row r="15" spans="1:6">
      <c r="B15" s="361"/>
      <c r="C15" s="364"/>
      <c r="D15" s="383" t="s">
        <v>98</v>
      </c>
      <c r="E15" s="374"/>
      <c r="F15" s="365"/>
    </row>
    <row r="16" spans="1:6">
      <c r="B16" s="361"/>
      <c r="C16" s="364"/>
      <c r="D16" s="383" t="s">
        <v>97</v>
      </c>
      <c r="E16" s="375"/>
      <c r="F16" s="365"/>
    </row>
    <row r="17" spans="2:6">
      <c r="B17" s="361"/>
      <c r="C17" s="364"/>
      <c r="D17" s="383" t="s">
        <v>45</v>
      </c>
      <c r="E17" s="374"/>
      <c r="F17" s="365"/>
    </row>
    <row r="18" spans="2:6">
      <c r="B18" s="361"/>
      <c r="C18" s="364"/>
      <c r="D18" s="383" t="s">
        <v>95</v>
      </c>
      <c r="E18" s="375"/>
      <c r="F18" s="365"/>
    </row>
    <row r="19" spans="2:6">
      <c r="B19" s="361"/>
      <c r="C19" s="364"/>
      <c r="D19" s="383" t="s">
        <v>66</v>
      </c>
      <c r="E19" s="375" t="s">
        <v>96</v>
      </c>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ht="45">
      <c r="B23" s="361"/>
      <c r="C23" s="388" t="s">
        <v>94</v>
      </c>
      <c r="D23" s="382" t="s">
        <v>391</v>
      </c>
      <c r="E23" s="364"/>
      <c r="F23" s="365"/>
    </row>
    <row r="24" spans="2:6" hidden="1">
      <c r="B24" s="361"/>
      <c r="C24" s="388"/>
      <c r="D24" s="382"/>
      <c r="E24" s="364"/>
      <c r="F24" s="365"/>
    </row>
    <row r="25" spans="2:6" hidden="1">
      <c r="B25" s="361"/>
      <c r="C25" s="388"/>
      <c r="D25" s="382" t="s">
        <v>93</v>
      </c>
      <c r="E25" s="364"/>
      <c r="F25" s="365"/>
    </row>
    <row r="26" spans="2:6" hidden="1">
      <c r="B26" s="361"/>
      <c r="C26" s="388"/>
      <c r="D26" s="382" t="s">
        <v>58</v>
      </c>
      <c r="E26" s="364"/>
      <c r="F26" s="365"/>
    </row>
    <row r="27" spans="2:6" hidden="1">
      <c r="B27" s="361"/>
      <c r="C27" s="388"/>
      <c r="D27" s="382" t="s">
        <v>92</v>
      </c>
      <c r="E27" s="364"/>
      <c r="F27" s="365"/>
    </row>
    <row r="28" spans="2:6" hidden="1">
      <c r="B28" s="361"/>
      <c r="C28" s="388"/>
      <c r="D28" s="382" t="s">
        <v>91</v>
      </c>
      <c r="E28" s="364"/>
      <c r="F28" s="365"/>
    </row>
    <row r="29" spans="2:6" hidden="1">
      <c r="B29" s="361"/>
      <c r="C29" s="388"/>
      <c r="D29" s="382" t="s">
        <v>90</v>
      </c>
      <c r="E29" s="364"/>
      <c r="F29" s="365"/>
    </row>
    <row r="30" spans="2:6" hidden="1">
      <c r="B30" s="361"/>
      <c r="C30" s="388"/>
      <c r="D30" s="382" t="s">
        <v>89</v>
      </c>
      <c r="E30" s="364"/>
      <c r="F30" s="365"/>
    </row>
    <row r="31" spans="2:6" hidden="1">
      <c r="B31" s="361"/>
      <c r="C31" s="388"/>
      <c r="D31" s="382" t="s">
        <v>88</v>
      </c>
      <c r="E31" s="364"/>
      <c r="F31" s="365"/>
    </row>
    <row r="32" spans="2:6" hidden="1">
      <c r="B32" s="361"/>
      <c r="C32" s="388"/>
      <c r="D32" s="382" t="s">
        <v>87</v>
      </c>
      <c r="E32" s="364"/>
      <c r="F32" s="365"/>
    </row>
    <row r="33" spans="2:6" hidden="1">
      <c r="B33" s="361"/>
      <c r="C33" s="388"/>
      <c r="D33" s="382" t="s">
        <v>86</v>
      </c>
      <c r="E33" s="364"/>
      <c r="F33" s="365"/>
    </row>
    <row r="34" spans="2:6" hidden="1">
      <c r="B34" s="361"/>
      <c r="C34" s="388"/>
      <c r="D34" s="382" t="s">
        <v>85</v>
      </c>
      <c r="E34" s="364"/>
      <c r="F34" s="365"/>
    </row>
    <row r="35" spans="2:6" hidden="1">
      <c r="B35" s="361"/>
      <c r="C35" s="388"/>
      <c r="D35" s="382" t="s">
        <v>84</v>
      </c>
      <c r="E35" s="364"/>
      <c r="F35" s="365"/>
    </row>
    <row r="36" spans="2:6" hidden="1">
      <c r="B36" s="361"/>
      <c r="C36" s="388"/>
      <c r="D36" s="382" t="s">
        <v>83</v>
      </c>
      <c r="E36" s="364"/>
      <c r="F36" s="365"/>
    </row>
    <row r="37" spans="2:6" hidden="1">
      <c r="B37" s="361"/>
      <c r="C37" s="388"/>
      <c r="D37" s="382" t="s">
        <v>82</v>
      </c>
      <c r="E37" s="364"/>
      <c r="F37" s="365"/>
    </row>
    <row r="38" spans="2:6" hidden="1">
      <c r="B38" s="361"/>
      <c r="C38" s="388"/>
      <c r="D38" s="382" t="s">
        <v>81</v>
      </c>
      <c r="E38" s="364"/>
      <c r="F38" s="365"/>
    </row>
    <row r="39" spans="2:6" hidden="1">
      <c r="B39" s="361"/>
      <c r="C39" s="388"/>
      <c r="D39" s="384" t="s">
        <v>66</v>
      </c>
      <c r="E39" s="364"/>
      <c r="F39" s="365"/>
    </row>
    <row r="40" spans="2:6">
      <c r="B40" s="361"/>
      <c r="C40" s="388"/>
      <c r="D40" s="380"/>
      <c r="E40" s="364"/>
      <c r="F40" s="365"/>
    </row>
    <row r="41" spans="2:6">
      <c r="B41" s="361"/>
      <c r="C41" s="376" t="s">
        <v>65</v>
      </c>
      <c r="D41" s="382"/>
      <c r="E41" s="364"/>
      <c r="F41" s="365"/>
    </row>
    <row r="42" spans="2:6">
      <c r="B42" s="361"/>
      <c r="C42" s="377"/>
      <c r="D42" s="380"/>
      <c r="E42" s="364"/>
      <c r="F42" s="365"/>
    </row>
    <row r="43" spans="2:6" ht="18.75">
      <c r="B43" s="392"/>
      <c r="C43" s="405" t="s">
        <v>80</v>
      </c>
      <c r="D43" s="404"/>
      <c r="E43" s="395"/>
      <c r="F43" s="396"/>
    </row>
    <row r="44" spans="2:6">
      <c r="B44" s="392"/>
      <c r="C44" s="406" t="s">
        <v>79</v>
      </c>
      <c r="D44" s="399" t="s">
        <v>693</v>
      </c>
      <c r="E44" s="395"/>
      <c r="F44" s="396"/>
    </row>
    <row r="45" spans="2:6">
      <c r="B45" s="392"/>
      <c r="C45" s="406" t="s">
        <v>78</v>
      </c>
      <c r="D45" s="399" t="s">
        <v>693</v>
      </c>
      <c r="E45" s="395"/>
      <c r="F45" s="396"/>
    </row>
    <row r="46" spans="2:6" ht="30">
      <c r="B46" s="392"/>
      <c r="C46" s="407" t="s">
        <v>77</v>
      </c>
      <c r="D46" s="399" t="s">
        <v>693</v>
      </c>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404"/>
      <c r="E52" s="395"/>
      <c r="F52" s="396"/>
    </row>
    <row r="53" spans="2:6" ht="18.75">
      <c r="B53" s="346"/>
      <c r="C53" s="416" t="s">
        <v>75</v>
      </c>
      <c r="D53" s="412"/>
      <c r="E53" s="349"/>
      <c r="F53" s="350"/>
    </row>
    <row r="54" spans="2:6">
      <c r="B54" s="346"/>
      <c r="C54" s="417"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417"/>
      <c r="D59" s="412"/>
      <c r="E59" s="349"/>
      <c r="F59" s="350"/>
    </row>
    <row r="60" spans="2:6">
      <c r="B60" s="346"/>
      <c r="C60" s="417" t="s">
        <v>70</v>
      </c>
      <c r="D60" s="413" t="s">
        <v>67</v>
      </c>
      <c r="E60" s="349"/>
      <c r="F60" s="350"/>
    </row>
    <row r="61" spans="2:6" hidden="1">
      <c r="B61" s="346"/>
      <c r="C61" s="417"/>
      <c r="D61" s="415" t="s">
        <v>69</v>
      </c>
      <c r="E61" s="411"/>
      <c r="F61" s="350"/>
    </row>
    <row r="62" spans="2:6" hidden="1">
      <c r="B62" s="346"/>
      <c r="C62" s="417"/>
      <c r="D62" s="415" t="s">
        <v>68</v>
      </c>
      <c r="E62" s="411"/>
      <c r="F62" s="350"/>
    </row>
    <row r="63" spans="2:6" hidden="1">
      <c r="B63" s="346"/>
      <c r="C63" s="417"/>
      <c r="D63" s="415" t="s">
        <v>67</v>
      </c>
      <c r="E63" s="411"/>
      <c r="F63" s="350"/>
    </row>
    <row r="64" spans="2:6" hidden="1">
      <c r="B64" s="346"/>
      <c r="C64" s="417"/>
      <c r="D64" s="415" t="s">
        <v>66</v>
      </c>
      <c r="E64" s="411"/>
      <c r="F64" s="350"/>
    </row>
    <row r="65" spans="2:13">
      <c r="B65" s="346"/>
      <c r="C65" s="354" t="s">
        <v>65</v>
      </c>
      <c r="D65" s="413"/>
      <c r="E65" s="349"/>
      <c r="F65" s="350"/>
    </row>
    <row r="66" spans="2:13">
      <c r="B66" s="346"/>
      <c r="C66" s="417"/>
      <c r="D66" s="412"/>
      <c r="E66" s="349"/>
      <c r="F66" s="350"/>
    </row>
    <row r="67" spans="2:13" ht="18.75">
      <c r="B67" s="419"/>
      <c r="C67" s="443" t="s">
        <v>64</v>
      </c>
      <c r="D67" s="434"/>
      <c r="E67" s="422"/>
      <c r="F67" s="423"/>
    </row>
    <row r="68" spans="2:13">
      <c r="B68" s="419"/>
      <c r="C68" s="444" t="s">
        <v>118</v>
      </c>
      <c r="D68" s="424"/>
      <c r="E68" s="422"/>
      <c r="F68" s="423"/>
      <c r="I68" s="455" t="s">
        <v>163</v>
      </c>
      <c r="J68" s="455" t="s">
        <v>162</v>
      </c>
      <c r="K68" s="455" t="s">
        <v>190</v>
      </c>
      <c r="L68" s="455" t="s">
        <v>160</v>
      </c>
      <c r="M68" s="455" t="s">
        <v>161</v>
      </c>
    </row>
    <row r="69" spans="2:13">
      <c r="B69" s="419"/>
      <c r="C69" s="444" t="s">
        <v>107</v>
      </c>
      <c r="D69" s="427"/>
      <c r="E69" s="422"/>
      <c r="F69" s="423"/>
      <c r="I69" s="74" t="s">
        <v>374</v>
      </c>
      <c r="J69" s="74">
        <v>9</v>
      </c>
      <c r="K69" s="74">
        <v>1</v>
      </c>
      <c r="L69" s="74">
        <v>1800</v>
      </c>
      <c r="M69" s="75">
        <f>((J69*K69))*L69</f>
        <v>16200</v>
      </c>
    </row>
    <row r="70" spans="2:13">
      <c r="B70" s="419"/>
      <c r="C70" s="444" t="s">
        <v>119</v>
      </c>
      <c r="D70" s="424">
        <f>M70</f>
        <v>16200</v>
      </c>
      <c r="E70" s="422"/>
      <c r="F70" s="423"/>
      <c r="I70" s="76"/>
      <c r="J70" s="76"/>
      <c r="K70" s="76"/>
      <c r="L70" s="456" t="s">
        <v>130</v>
      </c>
      <c r="M70" s="457">
        <f>SUM(M69:M69)</f>
        <v>16200</v>
      </c>
    </row>
    <row r="71" spans="2:13">
      <c r="B71" s="419"/>
      <c r="C71" s="444"/>
      <c r="D71" s="433"/>
      <c r="E71" s="422"/>
      <c r="F71" s="423"/>
    </row>
    <row r="72" spans="2:13">
      <c r="B72" s="419"/>
      <c r="C72" s="444" t="s">
        <v>223</v>
      </c>
      <c r="D72" s="426" t="s">
        <v>375</v>
      </c>
      <c r="E72" s="422"/>
      <c r="F72" s="423"/>
    </row>
    <row r="73" spans="2:13">
      <c r="B73" s="419"/>
      <c r="C73" s="444" t="s">
        <v>62</v>
      </c>
      <c r="D73" s="426" t="s">
        <v>375</v>
      </c>
      <c r="E73" s="422"/>
      <c r="F73" s="423"/>
    </row>
    <row r="74" spans="2:13">
      <c r="B74" s="419"/>
      <c r="C74" s="444"/>
      <c r="D74" s="433"/>
      <c r="E74" s="422"/>
      <c r="F74" s="423"/>
    </row>
    <row r="75" spans="2:13">
      <c r="B75" s="419"/>
      <c r="C75" s="444" t="s">
        <v>61</v>
      </c>
      <c r="D75" s="427">
        <v>1</v>
      </c>
      <c r="E75" s="422"/>
      <c r="F75" s="423"/>
    </row>
    <row r="76" spans="2:13">
      <c r="B76" s="419"/>
      <c r="C76" s="444"/>
      <c r="D76" s="434"/>
      <c r="E76" s="422"/>
      <c r="F76" s="423"/>
    </row>
    <row r="77" spans="2:13">
      <c r="B77" s="419"/>
      <c r="C77" s="446"/>
      <c r="D77" s="434"/>
      <c r="E77" s="422"/>
      <c r="F77" s="423"/>
    </row>
    <row r="78" spans="2:13" ht="15.75" thickBot="1">
      <c r="B78" s="429"/>
      <c r="C78" s="430"/>
      <c r="D78" s="435"/>
      <c r="E78" s="430"/>
      <c r="F78" s="432"/>
    </row>
  </sheetData>
  <dataValidations count="2">
    <dataValidation type="list" allowBlank="1" showInputMessage="1" showErrorMessage="1" sqref="E65535">
      <formula1>$D$25:$D$39</formula1>
    </dataValidation>
    <dataValidation type="list" allowBlank="1" showInputMessage="1" showErrorMessage="1" sqref="D65536">
      <formula1>$D$24:$D$39</formula1>
    </dataValidation>
  </dataValidations>
  <pageMargins left="0.7" right="0.7" top="0.75" bottom="0.75" header="0.3" footer="0.3"/>
  <pageSetup paperSize="9" scale="50" orientation="portrait" copies="2" r:id="rId1"/>
</worksheet>
</file>

<file path=xl/worksheets/sheet19.xml><?xml version="1.0" encoding="utf-8"?>
<worksheet xmlns="http://schemas.openxmlformats.org/spreadsheetml/2006/main" xmlns:r="http://schemas.openxmlformats.org/officeDocument/2006/relationships">
  <sheetPr>
    <pageSetUpPr fitToPage="1"/>
  </sheetPr>
  <dimension ref="B1:N105"/>
  <sheetViews>
    <sheetView topLeftCell="A8" zoomScale="75" zoomScaleNormal="75" workbookViewId="0">
      <selection activeCell="D44" sqref="D44:D46"/>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s>
  <sheetData>
    <row r="1" spans="2:6" ht="18.75">
      <c r="B1" s="25" t="s">
        <v>60</v>
      </c>
    </row>
    <row r="2" spans="2:6" ht="18.75">
      <c r="B2" s="25" t="s">
        <v>347</v>
      </c>
    </row>
    <row r="3" spans="2:6" ht="18.75">
      <c r="B3" s="280" t="s">
        <v>402</v>
      </c>
    </row>
    <row r="4" spans="2:6" ht="19.5" thickBot="1">
      <c r="B4" s="25"/>
      <c r="C4" s="33"/>
    </row>
    <row r="5" spans="2:6" ht="18.75">
      <c r="B5" s="356"/>
      <c r="C5" s="386" t="s">
        <v>105</v>
      </c>
      <c r="D5" s="379"/>
      <c r="E5" s="359"/>
      <c r="F5" s="360"/>
    </row>
    <row r="6" spans="2:6" ht="18.75">
      <c r="B6" s="361"/>
      <c r="C6" s="570" t="s">
        <v>706</v>
      </c>
      <c r="D6" s="380"/>
      <c r="E6" s="364"/>
      <c r="F6" s="365"/>
    </row>
    <row r="7" spans="2:6" ht="18.75">
      <c r="B7" s="361"/>
      <c r="C7" s="468" t="s">
        <v>104</v>
      </c>
      <c r="D7" s="380"/>
      <c r="E7" s="364"/>
      <c r="F7" s="365"/>
    </row>
    <row r="8" spans="2:6" s="32" customFormat="1">
      <c r="B8" s="366"/>
      <c r="C8" s="388"/>
      <c r="D8" s="381"/>
      <c r="E8" s="369"/>
      <c r="F8" s="370"/>
    </row>
    <row r="9" spans="2:6" s="32" customFormat="1">
      <c r="B9" s="366"/>
      <c r="C9" s="388" t="s">
        <v>103</v>
      </c>
      <c r="D9" s="382"/>
      <c r="E9" s="369"/>
      <c r="F9" s="370"/>
    </row>
    <row r="10" spans="2:6" s="32" customFormat="1">
      <c r="B10" s="366"/>
      <c r="C10" s="388" t="s">
        <v>102</v>
      </c>
      <c r="D10" s="453" t="s">
        <v>400</v>
      </c>
      <c r="E10" s="369"/>
      <c r="F10" s="370"/>
    </row>
    <row r="11" spans="2:6" s="32" customFormat="1">
      <c r="B11" s="366"/>
      <c r="C11" s="388" t="s">
        <v>109</v>
      </c>
      <c r="D11" s="389">
        <v>40633</v>
      </c>
      <c r="E11" s="369"/>
      <c r="F11" s="370"/>
    </row>
    <row r="12" spans="2:6" s="32" customFormat="1">
      <c r="B12" s="366"/>
      <c r="C12" s="388" t="s">
        <v>101</v>
      </c>
      <c r="D12" s="389">
        <v>40816</v>
      </c>
      <c r="E12" s="369"/>
      <c r="F12" s="370"/>
    </row>
    <row r="13" spans="2:6" s="32" customFormat="1">
      <c r="B13" s="366"/>
      <c r="C13" s="388"/>
      <c r="D13" s="381"/>
      <c r="E13" s="369"/>
      <c r="F13" s="370"/>
    </row>
    <row r="14" spans="2:6">
      <c r="B14" s="361"/>
      <c r="C14" s="388" t="s">
        <v>100</v>
      </c>
      <c r="D14" s="383" t="s">
        <v>99</v>
      </c>
      <c r="E14" s="374"/>
      <c r="F14" s="365"/>
    </row>
    <row r="15" spans="2:6">
      <c r="B15" s="361"/>
      <c r="C15" s="364"/>
      <c r="D15" s="383" t="s">
        <v>98</v>
      </c>
      <c r="E15" s="374"/>
      <c r="F15" s="365"/>
    </row>
    <row r="16" spans="2:6">
      <c r="B16" s="361"/>
      <c r="C16" s="364"/>
      <c r="D16" s="383" t="s">
        <v>97</v>
      </c>
      <c r="E16" s="375"/>
      <c r="F16" s="365"/>
    </row>
    <row r="17" spans="2:6">
      <c r="B17" s="361"/>
      <c r="C17" s="364"/>
      <c r="D17" s="383" t="s">
        <v>45</v>
      </c>
      <c r="E17" s="374" t="s">
        <v>96</v>
      </c>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88" t="s">
        <v>94</v>
      </c>
      <c r="D23" s="382" t="s">
        <v>66</v>
      </c>
      <c r="E23" s="364"/>
      <c r="F23" s="365"/>
    </row>
    <row r="24" spans="2:6" hidden="1">
      <c r="B24" s="361"/>
      <c r="C24" s="388"/>
      <c r="D24" s="382"/>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80"/>
      <c r="E40" s="364"/>
      <c r="F40" s="365"/>
    </row>
    <row r="41" spans="2:6">
      <c r="B41" s="361"/>
      <c r="C41" s="376" t="s">
        <v>65</v>
      </c>
      <c r="D41" s="382" t="s">
        <v>401</v>
      </c>
      <c r="E41" s="364"/>
      <c r="F41" s="365"/>
    </row>
    <row r="42" spans="2:6">
      <c r="B42" s="361"/>
      <c r="C42" s="377"/>
      <c r="D42" s="380"/>
      <c r="E42" s="364"/>
      <c r="F42" s="365"/>
    </row>
    <row r="43" spans="2:6" ht="18.75">
      <c r="B43" s="392"/>
      <c r="C43" s="405" t="s">
        <v>80</v>
      </c>
      <c r="D43" s="404"/>
      <c r="E43" s="395"/>
      <c r="F43" s="396"/>
    </row>
    <row r="44" spans="2:6">
      <c r="B44" s="392"/>
      <c r="C44" s="406" t="s">
        <v>79</v>
      </c>
      <c r="D44" s="399" t="s">
        <v>693</v>
      </c>
      <c r="E44" s="395"/>
      <c r="F44" s="396"/>
    </row>
    <row r="45" spans="2:6">
      <c r="B45" s="392"/>
      <c r="C45" s="406" t="s">
        <v>78</v>
      </c>
      <c r="D45" s="399" t="s">
        <v>693</v>
      </c>
      <c r="E45" s="395"/>
      <c r="F45" s="396"/>
    </row>
    <row r="46" spans="2:6" ht="30">
      <c r="B46" s="392"/>
      <c r="C46" s="407" t="s">
        <v>77</v>
      </c>
      <c r="D46" s="399" t="s">
        <v>693</v>
      </c>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404"/>
      <c r="E52" s="395"/>
      <c r="F52" s="396"/>
    </row>
    <row r="53" spans="2:6" ht="18.75">
      <c r="B53" s="346"/>
      <c r="C53" s="416" t="s">
        <v>75</v>
      </c>
      <c r="D53" s="412"/>
      <c r="E53" s="349"/>
      <c r="F53" s="350"/>
    </row>
    <row r="54" spans="2:6">
      <c r="B54" s="346"/>
      <c r="C54" s="417"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417"/>
      <c r="D59" s="412"/>
      <c r="E59" s="349"/>
      <c r="F59" s="350"/>
    </row>
    <row r="60" spans="2:6">
      <c r="B60" s="346"/>
      <c r="C60" s="417" t="s">
        <v>70</v>
      </c>
      <c r="D60" s="413" t="s">
        <v>69</v>
      </c>
      <c r="E60" s="349"/>
      <c r="F60" s="350"/>
    </row>
    <row r="61" spans="2:6" hidden="1">
      <c r="B61" s="346"/>
      <c r="C61" s="417"/>
      <c r="D61" s="415" t="s">
        <v>69</v>
      </c>
      <c r="E61" s="411"/>
      <c r="F61" s="350"/>
    </row>
    <row r="62" spans="2:6" hidden="1">
      <c r="B62" s="346"/>
      <c r="C62" s="417"/>
      <c r="D62" s="415" t="s">
        <v>68</v>
      </c>
      <c r="E62" s="411"/>
      <c r="F62" s="350"/>
    </row>
    <row r="63" spans="2:6" hidden="1">
      <c r="B63" s="346"/>
      <c r="C63" s="417"/>
      <c r="D63" s="415" t="s">
        <v>67</v>
      </c>
      <c r="E63" s="411"/>
      <c r="F63" s="350"/>
    </row>
    <row r="64" spans="2:6" hidden="1">
      <c r="B64" s="346"/>
      <c r="C64" s="417"/>
      <c r="D64" s="415" t="s">
        <v>66</v>
      </c>
      <c r="E64" s="411"/>
      <c r="F64" s="350"/>
    </row>
    <row r="65" spans="2:6">
      <c r="B65" s="346"/>
      <c r="C65" s="354" t="s">
        <v>65</v>
      </c>
      <c r="D65" s="413"/>
      <c r="E65" s="349"/>
      <c r="F65" s="350"/>
    </row>
    <row r="66" spans="2:6">
      <c r="B66" s="346"/>
      <c r="C66" s="417"/>
      <c r="D66" s="412"/>
      <c r="E66" s="349"/>
      <c r="F66" s="350"/>
    </row>
    <row r="67" spans="2:6" ht="18.75">
      <c r="B67" s="419"/>
      <c r="C67" s="443" t="s">
        <v>64</v>
      </c>
      <c r="D67" s="434"/>
      <c r="E67" s="422"/>
      <c r="F67" s="423"/>
    </row>
    <row r="68" spans="2:6">
      <c r="B68" s="419"/>
      <c r="C68" s="444" t="s">
        <v>118</v>
      </c>
      <c r="D68" s="424">
        <v>550000000</v>
      </c>
      <c r="E68" s="422"/>
      <c r="F68" s="423"/>
    </row>
    <row r="69" spans="2:6">
      <c r="B69" s="419"/>
      <c r="C69" s="444" t="s">
        <v>107</v>
      </c>
      <c r="D69" s="427"/>
      <c r="E69" s="422"/>
      <c r="F69" s="423"/>
    </row>
    <row r="70" spans="2:6">
      <c r="B70" s="419"/>
      <c r="C70" s="444" t="s">
        <v>119</v>
      </c>
      <c r="D70" s="424">
        <v>200000</v>
      </c>
      <c r="E70" s="422"/>
      <c r="F70" s="423"/>
    </row>
    <row r="71" spans="2:6">
      <c r="B71" s="419"/>
      <c r="C71" s="444"/>
      <c r="D71" s="433"/>
      <c r="E71" s="422"/>
      <c r="F71" s="423"/>
    </row>
    <row r="72" spans="2:6">
      <c r="B72" s="419"/>
      <c r="C72" s="444" t="s">
        <v>223</v>
      </c>
      <c r="D72" s="426" t="s">
        <v>5</v>
      </c>
      <c r="E72" s="422"/>
      <c r="F72" s="423"/>
    </row>
    <row r="73" spans="2:6">
      <c r="B73" s="419"/>
      <c r="C73" s="444" t="s">
        <v>62</v>
      </c>
      <c r="D73" s="426" t="s">
        <v>5</v>
      </c>
      <c r="E73" s="422"/>
      <c r="F73" s="423"/>
    </row>
    <row r="74" spans="2:6">
      <c r="B74" s="419"/>
      <c r="C74" s="444"/>
      <c r="D74" s="433"/>
      <c r="E74" s="422"/>
      <c r="F74" s="423"/>
    </row>
    <row r="75" spans="2:6">
      <c r="B75" s="419"/>
      <c r="C75" s="444" t="s">
        <v>61</v>
      </c>
      <c r="D75" s="427">
        <v>0.5</v>
      </c>
      <c r="E75" s="422"/>
      <c r="F75" s="423"/>
    </row>
    <row r="76" spans="2:6">
      <c r="B76" s="419"/>
      <c r="C76" s="444"/>
      <c r="D76" s="433"/>
      <c r="E76" s="422"/>
      <c r="F76" s="423"/>
    </row>
    <row r="77" spans="2:6">
      <c r="B77" s="419"/>
      <c r="C77" s="446"/>
      <c r="D77" s="434"/>
      <c r="E77" s="422"/>
      <c r="F77" s="423"/>
    </row>
    <row r="78" spans="2:6" ht="15.75" thickBot="1">
      <c r="B78" s="429"/>
      <c r="C78" s="430"/>
      <c r="D78" s="435"/>
      <c r="E78" s="430"/>
      <c r="F78" s="432"/>
    </row>
    <row r="80" spans="2:6">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C102" s="8"/>
      <c r="D102" s="136"/>
      <c r="E102" s="136"/>
      <c r="F102" s="136"/>
      <c r="G102" s="136"/>
      <c r="H102" s="136"/>
      <c r="I102" s="136"/>
      <c r="J102" s="136"/>
      <c r="K102" s="136"/>
      <c r="L102" s="136"/>
      <c r="M102" s="492"/>
      <c r="N102" s="8"/>
    </row>
    <row r="103" spans="3:14">
      <c r="C103" s="8"/>
      <c r="D103" s="492"/>
      <c r="E103" s="492"/>
      <c r="F103" s="492"/>
      <c r="G103" s="492"/>
      <c r="H103" s="492"/>
      <c r="I103" s="492"/>
      <c r="J103" s="492"/>
      <c r="K103" s="492"/>
      <c r="L103" s="492"/>
      <c r="M103" s="492"/>
      <c r="N103" s="8"/>
    </row>
    <row r="104" spans="3:14">
      <c r="C104" s="8"/>
      <c r="D104" s="136"/>
      <c r="E104" s="136"/>
      <c r="F104" s="136"/>
      <c r="G104" s="136"/>
      <c r="H104" s="136"/>
      <c r="I104" s="136"/>
      <c r="J104" s="136"/>
      <c r="K104" s="136"/>
      <c r="L104" s="136"/>
      <c r="M104" s="492"/>
      <c r="N104" s="8"/>
    </row>
    <row r="105" spans="3:14">
      <c r="D105"/>
      <c r="L105" s="459"/>
      <c r="M105" s="460"/>
    </row>
  </sheetData>
  <dataValidations count="7">
    <dataValidation type="list" allowBlank="1" showInputMessage="1" showErrorMessage="1" sqref="D23">
      <formula1>$D$25:$D$39</formula1>
    </dataValidation>
    <dataValidation type="list" allowBlank="1" showInputMessage="1" showErrorMessage="1" sqref="D60">
      <formula1>$D$61:$D$64</formula1>
    </dataValidation>
    <dataValidation type="list" allowBlank="1" showInputMessage="1" showErrorMessage="1" sqref="D47">
      <formula1>$D$48:$D$51</formula1>
    </dataValidation>
    <dataValidation type="list" allowBlank="1" showInputMessage="1" showErrorMessage="1" sqref="D54">
      <formula1>$D$56:$D$58</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78" orientation="portrait" copies="2" r:id="rId1"/>
</worksheet>
</file>

<file path=xl/worksheets/sheet2.xml><?xml version="1.0" encoding="utf-8"?>
<worksheet xmlns="http://schemas.openxmlformats.org/spreadsheetml/2006/main" xmlns:r="http://schemas.openxmlformats.org/officeDocument/2006/relationships">
  <sheetPr>
    <pageSetUpPr fitToPage="1"/>
  </sheetPr>
  <dimension ref="A4:G58"/>
  <sheetViews>
    <sheetView tabSelected="1" zoomScale="75" zoomScaleNormal="75" workbookViewId="0">
      <selection activeCell="C5" sqref="C5:G14"/>
    </sheetView>
  </sheetViews>
  <sheetFormatPr defaultRowHeight="15"/>
  <cols>
    <col min="1" max="1" width="3.7109375" customWidth="1"/>
    <col min="2" max="2" width="10.42578125" bestFit="1" customWidth="1"/>
    <col min="4" max="4" width="90.140625" customWidth="1"/>
    <col min="5" max="5" width="18.28515625" bestFit="1" customWidth="1"/>
    <col min="6" max="6" width="34.42578125" bestFit="1" customWidth="1"/>
    <col min="7" max="7" width="16.85546875" bestFit="1" customWidth="1"/>
  </cols>
  <sheetData>
    <row r="4" spans="1:7" ht="15.75" thickBot="1"/>
    <row r="5" spans="1:7">
      <c r="C5" s="1049" t="s">
        <v>663</v>
      </c>
      <c r="D5" s="1041" t="s">
        <v>827</v>
      </c>
      <c r="E5" s="225" t="s">
        <v>95</v>
      </c>
      <c r="F5" s="1055" t="s">
        <v>253</v>
      </c>
      <c r="G5" s="1038">
        <f>Summary!Q66</f>
        <v>30422605.868893057</v>
      </c>
    </row>
    <row r="6" spans="1:7">
      <c r="A6" s="1"/>
      <c r="C6" s="1053" t="s">
        <v>210</v>
      </c>
      <c r="D6" s="1042" t="s">
        <v>303</v>
      </c>
      <c r="E6" s="226" t="s">
        <v>97</v>
      </c>
      <c r="F6" s="743" t="s">
        <v>254</v>
      </c>
      <c r="G6" s="1039">
        <f>Summary!Q37</f>
        <v>22285113.575830396</v>
      </c>
    </row>
    <row r="7" spans="1:7">
      <c r="A7" s="1"/>
      <c r="C7" s="1053" t="s">
        <v>211</v>
      </c>
      <c r="D7" s="1042" t="s">
        <v>302</v>
      </c>
      <c r="E7" s="226" t="s">
        <v>97</v>
      </c>
      <c r="F7" s="743" t="s">
        <v>254</v>
      </c>
      <c r="G7" s="1039">
        <f>Summary!Q38</f>
        <v>15774896.96375645</v>
      </c>
    </row>
    <row r="8" spans="1:7">
      <c r="A8" s="1"/>
      <c r="C8" s="1051" t="s">
        <v>212</v>
      </c>
      <c r="D8" s="1042" t="s">
        <v>292</v>
      </c>
      <c r="E8" s="226" t="s">
        <v>97</v>
      </c>
      <c r="F8" s="744" t="s">
        <v>250</v>
      </c>
      <c r="G8" s="1039">
        <f>Summary!Q39</f>
        <v>11824794.647618562</v>
      </c>
    </row>
    <row r="9" spans="1:7">
      <c r="A9" s="1"/>
      <c r="C9" s="1048" t="s">
        <v>403</v>
      </c>
      <c r="D9" s="1042" t="s">
        <v>404</v>
      </c>
      <c r="E9" s="226" t="s">
        <v>45</v>
      </c>
      <c r="F9" s="746" t="s">
        <v>251</v>
      </c>
      <c r="G9" s="1039">
        <f>Summary!Q60</f>
        <v>11212056.223039756</v>
      </c>
    </row>
    <row r="10" spans="1:7">
      <c r="A10" s="1"/>
      <c r="C10" s="1050" t="s">
        <v>792</v>
      </c>
      <c r="D10" s="1042" t="s">
        <v>828</v>
      </c>
      <c r="E10" s="226" t="s">
        <v>95</v>
      </c>
      <c r="F10" s="747" t="s">
        <v>253</v>
      </c>
      <c r="G10" s="1039">
        <f>Summary!Q67</f>
        <v>7064897.9307950204</v>
      </c>
    </row>
    <row r="11" spans="1:7">
      <c r="A11" s="1"/>
      <c r="C11" s="1052" t="s">
        <v>217</v>
      </c>
      <c r="D11" s="1042" t="s">
        <v>655</v>
      </c>
      <c r="E11" s="226" t="s">
        <v>45</v>
      </c>
      <c r="F11" s="746" t="s">
        <v>251</v>
      </c>
      <c r="G11" s="1039">
        <f>Summary!Q58</f>
        <v>6748395.8630224429</v>
      </c>
    </row>
    <row r="12" spans="1:7">
      <c r="A12" s="1"/>
      <c r="C12" s="1046" t="s">
        <v>265</v>
      </c>
      <c r="D12" s="1042" t="s">
        <v>206</v>
      </c>
      <c r="E12" s="226" t="s">
        <v>99</v>
      </c>
      <c r="F12" s="745" t="s">
        <v>273</v>
      </c>
      <c r="G12" s="1039">
        <f>Summary!Q56</f>
        <v>3816435.5263551567</v>
      </c>
    </row>
    <row r="13" spans="1:7">
      <c r="A13" s="1"/>
      <c r="C13" s="1046" t="s">
        <v>216</v>
      </c>
      <c r="D13" s="1042" t="s">
        <v>294</v>
      </c>
      <c r="E13" s="226" t="s">
        <v>122</v>
      </c>
      <c r="F13" s="745" t="s">
        <v>273</v>
      </c>
      <c r="G13" s="1039">
        <f>Summary!Q49</f>
        <v>3235532.493957866</v>
      </c>
    </row>
    <row r="14" spans="1:7">
      <c r="A14" s="1"/>
      <c r="B14" s="491"/>
      <c r="C14" s="1046" t="s">
        <v>215</v>
      </c>
      <c r="D14" s="1042" t="s">
        <v>293</v>
      </c>
      <c r="E14" s="226" t="s">
        <v>122</v>
      </c>
      <c r="F14" s="745" t="s">
        <v>273</v>
      </c>
      <c r="G14" s="1039">
        <f>Summary!Q48</f>
        <v>3005296.7922486565</v>
      </c>
    </row>
    <row r="15" spans="1:7">
      <c r="A15" s="1"/>
      <c r="C15" s="1050" t="s">
        <v>445</v>
      </c>
      <c r="D15" s="1042" t="s">
        <v>467</v>
      </c>
      <c r="E15" s="226" t="s">
        <v>99</v>
      </c>
      <c r="F15" s="747" t="s">
        <v>253</v>
      </c>
      <c r="G15" s="1039">
        <f>Summary!Q65</f>
        <v>2579913.7340605156</v>
      </c>
    </row>
    <row r="16" spans="1:7">
      <c r="A16" s="1"/>
      <c r="C16" s="1046" t="s">
        <v>264</v>
      </c>
      <c r="D16" s="1042" t="s">
        <v>205</v>
      </c>
      <c r="E16" s="226" t="s">
        <v>122</v>
      </c>
      <c r="F16" s="745" t="s">
        <v>273</v>
      </c>
      <c r="G16" s="1039">
        <f>Summary!Q55</f>
        <v>2405260.9150466472</v>
      </c>
    </row>
    <row r="17" spans="1:7">
      <c r="A17" s="1"/>
      <c r="C17" s="1054" t="s">
        <v>221</v>
      </c>
      <c r="D17" s="1042" t="s">
        <v>369</v>
      </c>
      <c r="E17" s="226" t="s">
        <v>95</v>
      </c>
      <c r="F17" s="747" t="s">
        <v>253</v>
      </c>
      <c r="G17" s="1039">
        <f>Summary!Q62</f>
        <v>2201958.2193546123</v>
      </c>
    </row>
    <row r="18" spans="1:7">
      <c r="A18" s="1"/>
      <c r="C18" s="1046" t="s">
        <v>259</v>
      </c>
      <c r="D18" s="1042" t="s">
        <v>308</v>
      </c>
      <c r="E18" s="226" t="s">
        <v>122</v>
      </c>
      <c r="F18" s="745" t="s">
        <v>273</v>
      </c>
      <c r="G18" s="1039">
        <f>Summary!Q50</f>
        <v>1460486.3514257905</v>
      </c>
    </row>
    <row r="19" spans="1:7">
      <c r="A19" s="1"/>
      <c r="C19" s="1046" t="s">
        <v>261</v>
      </c>
      <c r="D19" s="1042" t="s">
        <v>296</v>
      </c>
      <c r="E19" s="226" t="s">
        <v>122</v>
      </c>
      <c r="F19" s="745" t="s">
        <v>273</v>
      </c>
      <c r="G19" s="1039">
        <f>Summary!Q52</f>
        <v>1089311.6126443879</v>
      </c>
    </row>
    <row r="20" spans="1:7">
      <c r="A20" s="1"/>
      <c r="C20" s="1048" t="s">
        <v>266</v>
      </c>
      <c r="D20" s="1042" t="s">
        <v>291</v>
      </c>
      <c r="E20" s="226" t="s">
        <v>45</v>
      </c>
      <c r="F20" s="842" t="s">
        <v>251</v>
      </c>
      <c r="G20" s="1039">
        <f>Summary!Q59</f>
        <v>1060483.465370669</v>
      </c>
    </row>
    <row r="21" spans="1:7">
      <c r="A21" s="1"/>
      <c r="C21" s="1051" t="s">
        <v>578</v>
      </c>
      <c r="D21" s="1042" t="s">
        <v>575</v>
      </c>
      <c r="E21" s="226" t="s">
        <v>97</v>
      </c>
      <c r="F21" s="744" t="s">
        <v>250</v>
      </c>
      <c r="G21" s="1039">
        <f>Summary!Q45</f>
        <v>849219.11787830712</v>
      </c>
    </row>
    <row r="22" spans="1:7">
      <c r="A22" s="1"/>
      <c r="C22" s="1051" t="s">
        <v>512</v>
      </c>
      <c r="D22" s="1042" t="s">
        <v>517</v>
      </c>
      <c r="E22" s="226" t="s">
        <v>97</v>
      </c>
      <c r="F22" s="744" t="s">
        <v>250</v>
      </c>
      <c r="G22" s="1039">
        <f>Summary!Q44</f>
        <v>780215.31070849672</v>
      </c>
    </row>
    <row r="23" spans="1:7">
      <c r="A23" s="1"/>
      <c r="C23" s="1046" t="s">
        <v>260</v>
      </c>
      <c r="D23" s="1042" t="s">
        <v>295</v>
      </c>
      <c r="E23" s="226" t="s">
        <v>122</v>
      </c>
      <c r="F23" s="745" t="s">
        <v>273</v>
      </c>
      <c r="G23" s="1039">
        <f>Summary!Q51</f>
        <v>715330.16349193244</v>
      </c>
    </row>
    <row r="24" spans="1:7">
      <c r="A24" s="1"/>
      <c r="C24" s="1046" t="s">
        <v>263</v>
      </c>
      <c r="D24" s="1042" t="s">
        <v>204</v>
      </c>
      <c r="E24" s="226" t="s">
        <v>122</v>
      </c>
      <c r="F24" s="745" t="s">
        <v>273</v>
      </c>
      <c r="G24" s="1039">
        <f>Summary!Q54</f>
        <v>629129.59820011246</v>
      </c>
    </row>
    <row r="25" spans="1:7">
      <c r="A25" s="1"/>
      <c r="C25" s="1051" t="s">
        <v>642</v>
      </c>
      <c r="D25" s="1042" t="s">
        <v>641</v>
      </c>
      <c r="E25" s="226" t="s">
        <v>97</v>
      </c>
      <c r="F25" s="744" t="s">
        <v>250</v>
      </c>
      <c r="G25" s="1039">
        <f>Summary!Q46</f>
        <v>554194.5730138229</v>
      </c>
    </row>
    <row r="26" spans="1:7">
      <c r="A26" s="1"/>
      <c r="C26" s="644" t="s">
        <v>44</v>
      </c>
      <c r="D26" s="1042" t="s">
        <v>306</v>
      </c>
      <c r="E26" s="226" t="s">
        <v>97</v>
      </c>
      <c r="F26" s="742" t="s">
        <v>370</v>
      </c>
      <c r="G26" s="1039">
        <f>Summary!Q22</f>
        <v>472800</v>
      </c>
    </row>
    <row r="27" spans="1:7">
      <c r="A27" s="1"/>
      <c r="C27" s="205" t="s">
        <v>793</v>
      </c>
      <c r="D27" s="1042" t="s">
        <v>839</v>
      </c>
      <c r="E27" s="226" t="s">
        <v>95</v>
      </c>
      <c r="F27" s="747" t="s">
        <v>253</v>
      </c>
      <c r="G27" s="1039">
        <f>Summary!Q68</f>
        <v>448626.52849388059</v>
      </c>
    </row>
    <row r="28" spans="1:7">
      <c r="A28" s="1"/>
      <c r="C28" s="1045" t="s">
        <v>41</v>
      </c>
      <c r="D28" s="1042" t="s">
        <v>459</v>
      </c>
      <c r="E28" s="226" t="s">
        <v>95</v>
      </c>
      <c r="F28" s="742" t="s">
        <v>370</v>
      </c>
      <c r="G28" s="1039">
        <f>Summary!Q19</f>
        <v>432000</v>
      </c>
    </row>
    <row r="29" spans="1:7">
      <c r="A29" s="1"/>
      <c r="C29" s="200" t="s">
        <v>214</v>
      </c>
      <c r="D29" s="1042" t="s">
        <v>123</v>
      </c>
      <c r="E29" s="226" t="s">
        <v>97</v>
      </c>
      <c r="F29" s="744" t="s">
        <v>250</v>
      </c>
      <c r="G29" s="1039">
        <f>Summary!Q41</f>
        <v>424828.0860030544</v>
      </c>
    </row>
    <row r="30" spans="1:7">
      <c r="A30" s="1"/>
      <c r="C30" s="201" t="s">
        <v>262</v>
      </c>
      <c r="D30" s="1042" t="s">
        <v>315</v>
      </c>
      <c r="E30" s="226" t="s">
        <v>122</v>
      </c>
      <c r="F30" s="745" t="s">
        <v>273</v>
      </c>
      <c r="G30" s="1039">
        <f>Summary!Q53</f>
        <v>374944.37273265544</v>
      </c>
    </row>
    <row r="31" spans="1:7">
      <c r="A31" s="1"/>
      <c r="C31" s="200" t="s">
        <v>479</v>
      </c>
      <c r="D31" s="1042" t="s">
        <v>475</v>
      </c>
      <c r="E31" s="226" t="s">
        <v>97</v>
      </c>
      <c r="F31" s="744" t="s">
        <v>250</v>
      </c>
      <c r="G31" s="1039">
        <f>Summary!Q43</f>
        <v>361129.5653114586</v>
      </c>
    </row>
    <row r="32" spans="1:7">
      <c r="A32" s="1"/>
      <c r="C32" s="200" t="s">
        <v>409</v>
      </c>
      <c r="D32" s="1042" t="s">
        <v>825</v>
      </c>
      <c r="E32" s="226" t="s">
        <v>97</v>
      </c>
      <c r="F32" s="744" t="s">
        <v>250</v>
      </c>
      <c r="G32" s="1039">
        <f>Summary!Q42</f>
        <v>353895.51848459843</v>
      </c>
    </row>
    <row r="33" spans="1:7">
      <c r="A33" s="1"/>
      <c r="C33" s="203" t="s">
        <v>638</v>
      </c>
      <c r="D33" s="1043" t="s">
        <v>656</v>
      </c>
      <c r="E33" s="226" t="s">
        <v>45</v>
      </c>
      <c r="F33" s="746" t="s">
        <v>251</v>
      </c>
      <c r="G33" s="1039">
        <f>Summary!Q61</f>
        <v>317637.89639418852</v>
      </c>
    </row>
    <row r="34" spans="1:7">
      <c r="A34" s="1"/>
      <c r="C34" s="1047" t="s">
        <v>457</v>
      </c>
      <c r="D34" s="1042" t="s">
        <v>469</v>
      </c>
      <c r="E34" s="226" t="s">
        <v>95</v>
      </c>
      <c r="F34" s="742" t="s">
        <v>370</v>
      </c>
      <c r="G34" s="1039">
        <f>Summary!Q31</f>
        <v>196385.33564322779</v>
      </c>
    </row>
    <row r="35" spans="1:7">
      <c r="A35" s="1"/>
      <c r="C35" s="1047" t="s">
        <v>405</v>
      </c>
      <c r="D35" s="1042" t="s">
        <v>406</v>
      </c>
      <c r="E35" s="226" t="s">
        <v>99</v>
      </c>
      <c r="F35" s="742" t="s">
        <v>370</v>
      </c>
      <c r="G35" s="1039">
        <f>Summary!Q25</f>
        <v>149000</v>
      </c>
    </row>
    <row r="36" spans="1:7">
      <c r="A36" s="1"/>
      <c r="C36" s="1047" t="s">
        <v>785</v>
      </c>
      <c r="D36" s="1042" t="s">
        <v>838</v>
      </c>
      <c r="E36" s="226" t="s">
        <v>95</v>
      </c>
      <c r="F36" s="742" t="s">
        <v>370</v>
      </c>
      <c r="G36" s="1039">
        <f>Summary!Q35</f>
        <v>134000</v>
      </c>
    </row>
    <row r="37" spans="1:7">
      <c r="A37" s="1"/>
      <c r="C37" s="1045" t="s">
        <v>43</v>
      </c>
      <c r="D37" s="1042" t="s">
        <v>305</v>
      </c>
      <c r="E37" s="226" t="s">
        <v>97</v>
      </c>
      <c r="F37" s="742" t="s">
        <v>370</v>
      </c>
      <c r="G37" s="1039">
        <f>Summary!Q21</f>
        <v>127125.25</v>
      </c>
    </row>
    <row r="38" spans="1:7">
      <c r="A38" s="1"/>
      <c r="C38" s="1047" t="s">
        <v>634</v>
      </c>
      <c r="D38" s="1042" t="s">
        <v>636</v>
      </c>
      <c r="E38" s="226" t="s">
        <v>99</v>
      </c>
      <c r="F38" s="742" t="s">
        <v>370</v>
      </c>
      <c r="G38" s="1039">
        <f>Summary!Q33</f>
        <v>121095.65217391305</v>
      </c>
    </row>
    <row r="39" spans="1:7">
      <c r="A39" s="1"/>
      <c r="C39" s="1045" t="str">
        <f>Summary!B15</f>
        <v>A1</v>
      </c>
      <c r="D39" s="1042" t="s">
        <v>299</v>
      </c>
      <c r="E39" s="226" t="s">
        <v>45</v>
      </c>
      <c r="F39" s="742" t="s">
        <v>370</v>
      </c>
      <c r="G39" s="1039">
        <f>Summary!Q15</f>
        <v>121000</v>
      </c>
    </row>
    <row r="40" spans="1:7">
      <c r="A40" s="1"/>
      <c r="C40" s="1047" t="s">
        <v>450</v>
      </c>
      <c r="D40" s="1042" t="s">
        <v>451</v>
      </c>
      <c r="E40" s="226" t="s">
        <v>95</v>
      </c>
      <c r="F40" s="742" t="s">
        <v>370</v>
      </c>
      <c r="G40" s="1039">
        <f>Summary!Q27</f>
        <v>104267.93500039438</v>
      </c>
    </row>
    <row r="41" spans="1:7">
      <c r="A41" s="1"/>
      <c r="C41" s="1045" t="s">
        <v>40</v>
      </c>
      <c r="D41" s="1042" t="s">
        <v>219</v>
      </c>
      <c r="E41" s="226" t="s">
        <v>95</v>
      </c>
      <c r="F41" s="742" t="s">
        <v>370</v>
      </c>
      <c r="G41" s="1039">
        <f>Summary!Q18</f>
        <v>100000</v>
      </c>
    </row>
    <row r="42" spans="1:7">
      <c r="A42" s="1"/>
      <c r="C42" s="1047" t="s">
        <v>400</v>
      </c>
      <c r="D42" s="1042" t="s">
        <v>402</v>
      </c>
      <c r="E42" s="226" t="s">
        <v>45</v>
      </c>
      <c r="F42" s="742" t="s">
        <v>370</v>
      </c>
      <c r="G42" s="1039">
        <f>Summary!Q24</f>
        <v>100000</v>
      </c>
    </row>
    <row r="43" spans="1:7">
      <c r="A43" s="1"/>
      <c r="C43" s="1047" t="s">
        <v>448</v>
      </c>
      <c r="D43" s="1042" t="s">
        <v>452</v>
      </c>
      <c r="E43" s="226" t="s">
        <v>45</v>
      </c>
      <c r="F43" s="742" t="s">
        <v>370</v>
      </c>
      <c r="G43" s="1039">
        <f>Summary!Q26</f>
        <v>77000</v>
      </c>
    </row>
    <row r="44" spans="1:7">
      <c r="A44" s="1"/>
      <c r="C44" s="1047" t="s">
        <v>490</v>
      </c>
      <c r="D44" s="1042" t="s">
        <v>494</v>
      </c>
      <c r="E44" s="226" t="s">
        <v>97</v>
      </c>
      <c r="F44" s="742" t="s">
        <v>370</v>
      </c>
      <c r="G44" s="1039">
        <f>Summary!Q32</f>
        <v>74000</v>
      </c>
    </row>
    <row r="45" spans="1:7">
      <c r="A45" s="1"/>
      <c r="C45" s="1047" t="s">
        <v>786</v>
      </c>
      <c r="D45" s="1042" t="s">
        <v>789</v>
      </c>
      <c r="E45" s="226" t="s">
        <v>95</v>
      </c>
      <c r="F45" s="742" t="s">
        <v>370</v>
      </c>
      <c r="G45" s="1039">
        <f>Summary!Q36</f>
        <v>49154.589371980677</v>
      </c>
    </row>
    <row r="46" spans="1:7">
      <c r="A46" s="1"/>
      <c r="C46" s="1047" t="s">
        <v>670</v>
      </c>
      <c r="D46" s="1042" t="s">
        <v>671</v>
      </c>
      <c r="E46" s="226" t="s">
        <v>99</v>
      </c>
      <c r="F46" s="742" t="s">
        <v>370</v>
      </c>
      <c r="G46" s="1039">
        <f>Summary!Q34</f>
        <v>47823.943264196052</v>
      </c>
    </row>
    <row r="47" spans="1:7">
      <c r="A47" s="1"/>
      <c r="C47" s="1045" t="s">
        <v>38</v>
      </c>
      <c r="D47" s="1042" t="s">
        <v>350</v>
      </c>
      <c r="E47" s="226" t="s">
        <v>45</v>
      </c>
      <c r="F47" s="742" t="s">
        <v>370</v>
      </c>
      <c r="G47" s="1039">
        <f>Summary!Q16</f>
        <v>30000</v>
      </c>
    </row>
    <row r="48" spans="1:7">
      <c r="A48" s="1"/>
      <c r="C48" s="1045" t="s">
        <v>42</v>
      </c>
      <c r="D48" s="1042" t="s">
        <v>304</v>
      </c>
      <c r="E48" s="226" t="s">
        <v>97</v>
      </c>
      <c r="F48" s="742" t="s">
        <v>370</v>
      </c>
      <c r="G48" s="1039">
        <f>Summary!Q20</f>
        <v>24093.524752499994</v>
      </c>
    </row>
    <row r="49" spans="1:7">
      <c r="A49" s="1"/>
      <c r="C49" s="1047" t="s">
        <v>392</v>
      </c>
      <c r="D49" s="1042" t="s">
        <v>390</v>
      </c>
      <c r="E49" s="226" t="s">
        <v>66</v>
      </c>
      <c r="F49" s="742" t="s">
        <v>370</v>
      </c>
      <c r="G49" s="1039">
        <f>Summary!Q23</f>
        <v>16200</v>
      </c>
    </row>
    <row r="50" spans="1:7">
      <c r="A50" s="1"/>
      <c r="C50" s="200" t="s">
        <v>674</v>
      </c>
      <c r="D50" s="1042" t="s">
        <v>675</v>
      </c>
      <c r="E50" s="226" t="s">
        <v>97</v>
      </c>
      <c r="F50" s="744" t="s">
        <v>250</v>
      </c>
      <c r="G50" s="1039">
        <f>Summary!Q47</f>
        <v>15717.899270091635</v>
      </c>
    </row>
    <row r="51" spans="1:7">
      <c r="A51" s="1"/>
      <c r="C51" s="1045" t="s">
        <v>39</v>
      </c>
      <c r="D51" s="1042" t="s">
        <v>267</v>
      </c>
      <c r="E51" s="226" t="s">
        <v>95</v>
      </c>
      <c r="F51" s="742" t="s">
        <v>370</v>
      </c>
      <c r="G51" s="1039">
        <f>Summary!Q17</f>
        <v>13200</v>
      </c>
    </row>
    <row r="52" spans="1:7">
      <c r="A52" s="1"/>
      <c r="C52" s="1047" t="s">
        <v>455</v>
      </c>
      <c r="D52" s="1042" t="s">
        <v>463</v>
      </c>
      <c r="E52" s="226" t="s">
        <v>99</v>
      </c>
      <c r="F52" s="742" t="s">
        <v>370</v>
      </c>
      <c r="G52" s="1039">
        <f>Summary!Q29</f>
        <v>12595.996389308633</v>
      </c>
    </row>
    <row r="53" spans="1:7">
      <c r="A53" s="1"/>
      <c r="C53" s="1047" t="s">
        <v>456</v>
      </c>
      <c r="D53" s="1042" t="s">
        <v>662</v>
      </c>
      <c r="E53" s="226" t="s">
        <v>99</v>
      </c>
      <c r="F53" s="742" t="s">
        <v>370</v>
      </c>
      <c r="G53" s="1039">
        <f>Summary!Q30</f>
        <v>12000</v>
      </c>
    </row>
    <row r="54" spans="1:7">
      <c r="A54" s="1"/>
      <c r="C54" s="1047" t="s">
        <v>454</v>
      </c>
      <c r="D54" s="1042" t="s">
        <v>461</v>
      </c>
      <c r="E54" s="226" t="s">
        <v>95</v>
      </c>
      <c r="F54" s="742" t="s">
        <v>370</v>
      </c>
      <c r="G54" s="1039">
        <f>Summary!Q28</f>
        <v>8193.0383921536686</v>
      </c>
    </row>
    <row r="55" spans="1:7">
      <c r="C55" s="205" t="s">
        <v>269</v>
      </c>
      <c r="D55" s="1042" t="s">
        <v>462</v>
      </c>
      <c r="E55" s="226" t="s">
        <v>95</v>
      </c>
      <c r="F55" s="843" t="s">
        <v>253</v>
      </c>
      <c r="G55" s="1039">
        <f>Summary!Q63</f>
        <v>3198.3826484133897</v>
      </c>
    </row>
    <row r="56" spans="1:7">
      <c r="C56" s="201" t="s">
        <v>637</v>
      </c>
      <c r="D56" s="1042" t="s">
        <v>728</v>
      </c>
      <c r="E56" s="226" t="s">
        <v>99</v>
      </c>
      <c r="F56" s="745" t="s">
        <v>273</v>
      </c>
      <c r="G56" s="1039">
        <f>Summary!Q57</f>
        <v>0</v>
      </c>
    </row>
    <row r="57" spans="1:7">
      <c r="C57" s="200" t="s">
        <v>213</v>
      </c>
      <c r="D57" s="1042" t="s">
        <v>639</v>
      </c>
      <c r="E57" s="226" t="s">
        <v>97</v>
      </c>
      <c r="F57" s="841" t="s">
        <v>250</v>
      </c>
      <c r="G57" s="1039">
        <f>Summary!Q40</f>
        <v>-255142.31600528854</v>
      </c>
    </row>
    <row r="58" spans="1:7" ht="15.75" thickBot="1">
      <c r="C58" s="780" t="s">
        <v>268</v>
      </c>
      <c r="D58" s="1044" t="s">
        <v>465</v>
      </c>
      <c r="E58" s="616" t="s">
        <v>95</v>
      </c>
      <c r="F58" s="748" t="s">
        <v>253</v>
      </c>
      <c r="G58" s="1040">
        <f>Summary!Q64</f>
        <v>-1011762.7062125041</v>
      </c>
    </row>
  </sheetData>
  <sortState ref="C5:G58">
    <sortCondition descending="1" ref="G5:G58"/>
  </sortState>
  <phoneticPr fontId="19" type="noConversion"/>
  <pageMargins left="0.7" right="0.7" top="0.75" bottom="0.75" header="0.3" footer="0.3"/>
  <pageSetup paperSize="9" scale="95"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B1:M106"/>
  <sheetViews>
    <sheetView topLeftCell="A41" zoomScale="75" zoomScaleNormal="75" workbookViewId="0">
      <selection activeCell="D71" sqref="D71"/>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s>
  <sheetData>
    <row r="1" spans="2:6" ht="18.75">
      <c r="B1" s="25" t="s">
        <v>60</v>
      </c>
    </row>
    <row r="2" spans="2:6" ht="18.75">
      <c r="B2" s="25" t="s">
        <v>347</v>
      </c>
    </row>
    <row r="3" spans="2:6" ht="18.75">
      <c r="B3" s="280" t="s">
        <v>406</v>
      </c>
    </row>
    <row r="4" spans="2:6" ht="19.5" thickBot="1">
      <c r="B4" s="25"/>
      <c r="C4" s="33"/>
    </row>
    <row r="5" spans="2:6" ht="18.75">
      <c r="B5" s="356"/>
      <c r="C5" s="386" t="s">
        <v>105</v>
      </c>
      <c r="D5" s="379"/>
      <c r="E5" s="359"/>
      <c r="F5" s="360"/>
    </row>
    <row r="6" spans="2:6" ht="18.75">
      <c r="B6" s="361"/>
      <c r="C6" s="468" t="s">
        <v>303</v>
      </c>
      <c r="D6" s="380"/>
      <c r="E6" s="364"/>
      <c r="F6" s="365"/>
    </row>
    <row r="7" spans="2:6" ht="18.75">
      <c r="B7" s="361"/>
      <c r="C7" s="468" t="s">
        <v>104</v>
      </c>
      <c r="D7" s="380"/>
      <c r="E7" s="364"/>
      <c r="F7" s="365"/>
    </row>
    <row r="8" spans="2:6" s="32" customFormat="1">
      <c r="B8" s="366"/>
      <c r="C8" s="388"/>
      <c r="D8" s="381"/>
      <c r="E8" s="369"/>
      <c r="F8" s="370"/>
    </row>
    <row r="9" spans="2:6" s="32" customFormat="1">
      <c r="B9" s="366"/>
      <c r="C9" s="388" t="s">
        <v>103</v>
      </c>
      <c r="D9" s="382"/>
      <c r="E9" s="369"/>
      <c r="F9" s="370"/>
    </row>
    <row r="10" spans="2:6" s="32" customFormat="1">
      <c r="B10" s="366"/>
      <c r="C10" s="388" t="s">
        <v>102</v>
      </c>
      <c r="D10" s="453" t="s">
        <v>405</v>
      </c>
      <c r="E10" s="369"/>
      <c r="F10" s="370"/>
    </row>
    <row r="11" spans="2:6" s="32" customFormat="1">
      <c r="B11" s="366"/>
      <c r="C11" s="388" t="s">
        <v>109</v>
      </c>
      <c r="D11" s="389">
        <v>40633</v>
      </c>
      <c r="E11" s="369"/>
      <c r="F11" s="370"/>
    </row>
    <row r="12" spans="2:6" s="32" customFormat="1">
      <c r="B12" s="366"/>
      <c r="C12" s="388" t="s">
        <v>101</v>
      </c>
      <c r="D12" s="389">
        <v>40816</v>
      </c>
      <c r="E12" s="369"/>
      <c r="F12" s="370"/>
    </row>
    <row r="13" spans="2:6" s="32" customFormat="1">
      <c r="B13" s="366"/>
      <c r="C13" s="388"/>
      <c r="D13" s="381"/>
      <c r="E13" s="369"/>
      <c r="F13" s="370"/>
    </row>
    <row r="14" spans="2:6">
      <c r="B14" s="361"/>
      <c r="C14" s="388" t="s">
        <v>100</v>
      </c>
      <c r="D14" s="383" t="s">
        <v>99</v>
      </c>
      <c r="E14" s="374" t="s">
        <v>96</v>
      </c>
      <c r="F14" s="365"/>
    </row>
    <row r="15" spans="2:6">
      <c r="B15" s="361"/>
      <c r="C15" s="364"/>
      <c r="D15" s="383" t="s">
        <v>98</v>
      </c>
      <c r="E15" s="374"/>
      <c r="F15" s="365"/>
    </row>
    <row r="16" spans="2:6">
      <c r="B16" s="361"/>
      <c r="C16" s="364"/>
      <c r="D16" s="383" t="s">
        <v>97</v>
      </c>
      <c r="E16" s="375"/>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88" t="s">
        <v>94</v>
      </c>
      <c r="D23" s="382" t="s">
        <v>66</v>
      </c>
      <c r="E23" s="364"/>
      <c r="F23" s="365"/>
    </row>
    <row r="24" spans="2:6" hidden="1">
      <c r="B24" s="361"/>
      <c r="C24" s="388"/>
      <c r="D24" s="382"/>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80"/>
      <c r="E40" s="364"/>
      <c r="F40" s="365"/>
    </row>
    <row r="41" spans="2:6">
      <c r="B41" s="361"/>
      <c r="C41" s="376" t="s">
        <v>65</v>
      </c>
      <c r="D41" s="382" t="s">
        <v>407</v>
      </c>
      <c r="E41" s="364"/>
      <c r="F41" s="365"/>
    </row>
    <row r="42" spans="2:6">
      <c r="B42" s="361"/>
      <c r="C42" s="377"/>
      <c r="D42" s="380"/>
      <c r="E42" s="364"/>
      <c r="F42" s="365"/>
    </row>
    <row r="43" spans="2:6" ht="18.75">
      <c r="B43" s="392"/>
      <c r="C43" s="405" t="s">
        <v>80</v>
      </c>
      <c r="D43" s="404"/>
      <c r="E43" s="395"/>
      <c r="F43" s="396"/>
    </row>
    <row r="44" spans="2:6">
      <c r="B44" s="392"/>
      <c r="C44" s="406" t="s">
        <v>79</v>
      </c>
      <c r="D44" s="399" t="s">
        <v>738</v>
      </c>
      <c r="E44" s="395"/>
      <c r="F44" s="396"/>
    </row>
    <row r="45" spans="2:6">
      <c r="B45" s="392"/>
      <c r="C45" s="406" t="s">
        <v>78</v>
      </c>
      <c r="D45" s="399" t="s">
        <v>738</v>
      </c>
      <c r="E45" s="395"/>
      <c r="F45" s="396"/>
    </row>
    <row r="46" spans="2:6" ht="30">
      <c r="B46" s="392"/>
      <c r="C46" s="407" t="s">
        <v>77</v>
      </c>
      <c r="D46" s="399" t="s">
        <v>738</v>
      </c>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404"/>
      <c r="E52" s="395"/>
      <c r="F52" s="396"/>
    </row>
    <row r="53" spans="2:6" ht="18.75">
      <c r="B53" s="346"/>
      <c r="C53" s="416" t="s">
        <v>75</v>
      </c>
      <c r="D53" s="412"/>
      <c r="E53" s="349"/>
      <c r="F53" s="350"/>
    </row>
    <row r="54" spans="2:6">
      <c r="B54" s="346"/>
      <c r="C54" s="417" t="s">
        <v>74</v>
      </c>
      <c r="D54" s="413" t="s">
        <v>71</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417"/>
      <c r="D59" s="412"/>
      <c r="E59" s="349"/>
      <c r="F59" s="350"/>
    </row>
    <row r="60" spans="2:6">
      <c r="B60" s="346"/>
      <c r="C60" s="417" t="s">
        <v>70</v>
      </c>
      <c r="D60" s="413" t="s">
        <v>66</v>
      </c>
      <c r="E60" s="349"/>
      <c r="F60" s="350"/>
    </row>
    <row r="61" spans="2:6" hidden="1">
      <c r="B61" s="346"/>
      <c r="C61" s="417"/>
      <c r="D61" s="415" t="s">
        <v>69</v>
      </c>
      <c r="E61" s="411"/>
      <c r="F61" s="350"/>
    </row>
    <row r="62" spans="2:6" hidden="1">
      <c r="B62" s="346"/>
      <c r="C62" s="417"/>
      <c r="D62" s="415" t="s">
        <v>68</v>
      </c>
      <c r="E62" s="411"/>
      <c r="F62" s="350"/>
    </row>
    <row r="63" spans="2:6" hidden="1">
      <c r="B63" s="346"/>
      <c r="C63" s="417"/>
      <c r="D63" s="415" t="s">
        <v>67</v>
      </c>
      <c r="E63" s="411"/>
      <c r="F63" s="350"/>
    </row>
    <row r="64" spans="2:6" hidden="1">
      <c r="B64" s="346"/>
      <c r="C64" s="417"/>
      <c r="D64" s="415" t="s">
        <v>66</v>
      </c>
      <c r="E64" s="411"/>
      <c r="F64" s="350"/>
    </row>
    <row r="65" spans="2:6">
      <c r="B65" s="346"/>
      <c r="C65" s="354" t="s">
        <v>65</v>
      </c>
      <c r="D65" s="413" t="s">
        <v>408</v>
      </c>
      <c r="E65" s="349"/>
      <c r="F65" s="350"/>
    </row>
    <row r="66" spans="2:6">
      <c r="B66" s="346"/>
      <c r="C66" s="417"/>
      <c r="D66" s="412"/>
      <c r="E66" s="349"/>
      <c r="F66" s="350"/>
    </row>
    <row r="67" spans="2:6" ht="18.75">
      <c r="B67" s="419"/>
      <c r="C67" s="443" t="s">
        <v>64</v>
      </c>
      <c r="D67" s="434"/>
      <c r="E67" s="422"/>
      <c r="F67" s="423"/>
    </row>
    <row r="68" spans="2:6">
      <c r="B68" s="419"/>
      <c r="C68" s="444" t="s">
        <v>118</v>
      </c>
      <c r="D68" s="424">
        <v>40000000</v>
      </c>
      <c r="E68" s="422"/>
      <c r="F68" s="423"/>
    </row>
    <row r="69" spans="2:6">
      <c r="B69" s="419"/>
      <c r="C69" s="444" t="s">
        <v>107</v>
      </c>
      <c r="D69" s="427"/>
      <c r="E69" s="422"/>
      <c r="F69" s="423"/>
    </row>
    <row r="70" spans="2:6">
      <c r="B70" s="419"/>
      <c r="C70" s="444" t="s">
        <v>119</v>
      </c>
      <c r="D70" s="424">
        <v>149000</v>
      </c>
      <c r="E70" s="422"/>
      <c r="F70" s="423"/>
    </row>
    <row r="71" spans="2:6">
      <c r="B71" s="419"/>
      <c r="C71" s="444"/>
      <c r="D71" s="433"/>
      <c r="E71" s="422"/>
      <c r="F71" s="423"/>
    </row>
    <row r="72" spans="2:6">
      <c r="B72" s="419"/>
      <c r="C72" s="444" t="s">
        <v>223</v>
      </c>
      <c r="D72" s="426" t="s">
        <v>5</v>
      </c>
      <c r="E72" s="422"/>
      <c r="F72" s="423"/>
    </row>
    <row r="73" spans="2:6">
      <c r="B73" s="419"/>
      <c r="C73" s="444" t="s">
        <v>62</v>
      </c>
      <c r="D73" s="426" t="s">
        <v>5</v>
      </c>
      <c r="E73" s="422"/>
      <c r="F73" s="423"/>
    </row>
    <row r="74" spans="2:6">
      <c r="B74" s="419"/>
      <c r="C74" s="444"/>
      <c r="D74" s="433"/>
      <c r="E74" s="422"/>
      <c r="F74" s="423"/>
    </row>
    <row r="75" spans="2:6">
      <c r="B75" s="419"/>
      <c r="C75" s="444" t="s">
        <v>61</v>
      </c>
      <c r="D75" s="427">
        <v>1</v>
      </c>
      <c r="E75" s="422"/>
      <c r="F75" s="423"/>
    </row>
    <row r="76" spans="2:6">
      <c r="B76" s="419"/>
      <c r="C76" s="444"/>
      <c r="D76" s="433"/>
      <c r="E76" s="422"/>
      <c r="F76" s="423"/>
    </row>
    <row r="77" spans="2:6">
      <c r="B77" s="419"/>
      <c r="C77" s="446"/>
      <c r="D77" s="434"/>
      <c r="E77" s="422"/>
      <c r="F77" s="423"/>
    </row>
    <row r="78" spans="2:6" ht="15.75" thickBot="1">
      <c r="B78" s="429"/>
      <c r="C78" s="430"/>
      <c r="D78" s="435"/>
      <c r="E78" s="430"/>
      <c r="F78" s="432"/>
    </row>
    <row r="80" spans="2:6">
      <c r="C80" s="150"/>
    </row>
    <row r="82" spans="3:13">
      <c r="C82" s="458"/>
    </row>
    <row r="83" spans="3:13">
      <c r="C83" s="88"/>
    </row>
    <row r="84" spans="3:13">
      <c r="C84" s="88"/>
    </row>
    <row r="85" spans="3:13">
      <c r="C85" s="88"/>
    </row>
    <row r="86" spans="3:13">
      <c r="C86" s="88"/>
    </row>
    <row r="87" spans="3:13">
      <c r="C87" s="151"/>
    </row>
    <row r="88" spans="3:13">
      <c r="C88" s="599"/>
      <c r="D88" s="600"/>
      <c r="E88" s="8"/>
      <c r="F88" s="8"/>
      <c r="G88" s="8"/>
      <c r="H88" s="8"/>
      <c r="I88" s="8"/>
      <c r="J88" s="8"/>
      <c r="K88" s="8"/>
      <c r="L88" s="8"/>
      <c r="M88" s="8"/>
    </row>
    <row r="89" spans="3:13">
      <c r="C89" s="601"/>
      <c r="D89" s="600"/>
      <c r="E89" s="8"/>
      <c r="F89" s="8"/>
      <c r="G89" s="8"/>
      <c r="H89" s="8"/>
      <c r="I89" s="8"/>
      <c r="J89" s="8"/>
      <c r="K89" s="8"/>
      <c r="L89" s="8"/>
      <c r="M89" s="8"/>
    </row>
    <row r="90" spans="3:13">
      <c r="C90" s="601"/>
      <c r="D90" s="600"/>
      <c r="E90" s="8"/>
      <c r="F90" s="8"/>
      <c r="G90" s="8"/>
      <c r="H90" s="8"/>
      <c r="I90" s="8"/>
      <c r="J90" s="8"/>
      <c r="K90" s="8"/>
      <c r="L90" s="8"/>
      <c r="M90" s="8"/>
    </row>
    <row r="91" spans="3:13">
      <c r="C91" s="601"/>
      <c r="D91" s="600"/>
      <c r="E91" s="8"/>
      <c r="F91" s="8"/>
      <c r="G91" s="8"/>
      <c r="H91" s="8"/>
      <c r="I91" s="8"/>
      <c r="J91" s="8"/>
      <c r="K91" s="8"/>
      <c r="L91" s="8"/>
      <c r="M91" s="8"/>
    </row>
    <row r="92" spans="3:13">
      <c r="C92" s="601"/>
      <c r="D92" s="600"/>
      <c r="E92" s="8"/>
      <c r="F92" s="8"/>
      <c r="G92" s="8"/>
      <c r="H92" s="8"/>
      <c r="I92" s="8"/>
      <c r="J92" s="8"/>
      <c r="K92" s="8"/>
      <c r="L92" s="8"/>
      <c r="M92" s="8"/>
    </row>
    <row r="93" spans="3:13">
      <c r="C93" s="599"/>
      <c r="D93" s="600"/>
      <c r="E93" s="8"/>
      <c r="F93" s="8"/>
      <c r="G93" s="8"/>
      <c r="H93" s="8"/>
      <c r="I93" s="8"/>
      <c r="J93" s="8"/>
      <c r="K93" s="8"/>
      <c r="L93" s="8"/>
      <c r="M93" s="8"/>
    </row>
    <row r="94" spans="3:13">
      <c r="C94" s="601"/>
      <c r="D94" s="600"/>
      <c r="E94" s="8"/>
      <c r="F94" s="8"/>
      <c r="G94" s="8"/>
      <c r="H94" s="8"/>
      <c r="I94" s="8"/>
      <c r="J94" s="8"/>
      <c r="K94" s="8"/>
      <c r="L94" s="8"/>
      <c r="M94" s="8"/>
    </row>
    <row r="95" spans="3:13">
      <c r="C95" s="601"/>
      <c r="D95" s="600"/>
      <c r="E95" s="8"/>
      <c r="F95" s="8"/>
      <c r="G95" s="8"/>
      <c r="H95" s="8"/>
      <c r="I95" s="8"/>
      <c r="J95" s="8"/>
      <c r="K95" s="8"/>
      <c r="L95" s="8"/>
      <c r="M95" s="8"/>
    </row>
    <row r="96" spans="3:13">
      <c r="C96" s="601"/>
      <c r="D96" s="600"/>
      <c r="E96" s="8"/>
      <c r="F96" s="8"/>
      <c r="G96" s="8"/>
      <c r="H96" s="8"/>
      <c r="I96" s="8"/>
      <c r="J96" s="8"/>
      <c r="K96" s="8"/>
      <c r="L96" s="8"/>
      <c r="M96" s="8"/>
    </row>
    <row r="97" spans="3:13">
      <c r="C97" s="8"/>
      <c r="D97" s="600"/>
      <c r="E97" s="8"/>
      <c r="F97" s="8"/>
      <c r="G97" s="8"/>
      <c r="H97" s="8"/>
      <c r="I97" s="8"/>
      <c r="J97" s="8"/>
      <c r="K97" s="8"/>
      <c r="L97" s="8"/>
      <c r="M97" s="8"/>
    </row>
    <row r="98" spans="3:13">
      <c r="C98" s="602"/>
      <c r="D98" s="492"/>
      <c r="E98" s="492"/>
      <c r="F98" s="492"/>
      <c r="G98" s="492"/>
      <c r="H98" s="492"/>
      <c r="I98" s="492"/>
      <c r="J98" s="492"/>
      <c r="K98" s="492"/>
      <c r="L98" s="492"/>
      <c r="M98" s="492"/>
    </row>
    <row r="99" spans="3:13">
      <c r="C99" s="8"/>
      <c r="D99" s="136"/>
      <c r="E99" s="136"/>
      <c r="F99" s="136"/>
      <c r="G99" s="136"/>
      <c r="H99" s="136"/>
      <c r="I99" s="136"/>
      <c r="J99" s="136"/>
      <c r="K99" s="136"/>
      <c r="L99" s="136"/>
      <c r="M99" s="136"/>
    </row>
    <row r="100" spans="3:13">
      <c r="C100" s="8"/>
      <c r="D100" s="136"/>
      <c r="E100" s="136"/>
      <c r="F100" s="136"/>
      <c r="G100" s="136"/>
      <c r="H100" s="136"/>
      <c r="I100" s="136"/>
      <c r="J100" s="136"/>
      <c r="K100" s="136"/>
      <c r="L100" s="136"/>
      <c r="M100" s="492"/>
    </row>
    <row r="101" spans="3:13">
      <c r="C101" s="8"/>
      <c r="D101" s="136"/>
      <c r="E101" s="136"/>
      <c r="F101" s="136"/>
      <c r="G101" s="136"/>
      <c r="H101" s="136"/>
      <c r="I101" s="136"/>
      <c r="J101" s="136"/>
      <c r="K101" s="136"/>
      <c r="L101" s="136"/>
      <c r="M101" s="492"/>
    </row>
    <row r="102" spans="3:13">
      <c r="C102" s="8"/>
      <c r="D102" s="136"/>
      <c r="E102" s="136"/>
      <c r="F102" s="136"/>
      <c r="G102" s="136"/>
      <c r="H102" s="136"/>
      <c r="I102" s="136"/>
      <c r="J102" s="136"/>
      <c r="K102" s="136"/>
      <c r="L102" s="136"/>
      <c r="M102" s="492"/>
    </row>
    <row r="103" spans="3:13">
      <c r="C103" s="8"/>
      <c r="D103" s="492"/>
      <c r="E103" s="492"/>
      <c r="F103" s="492"/>
      <c r="G103" s="492"/>
      <c r="H103" s="492"/>
      <c r="I103" s="492"/>
      <c r="J103" s="492"/>
      <c r="K103" s="492"/>
      <c r="L103" s="492"/>
      <c r="M103" s="492"/>
    </row>
    <row r="104" spans="3:13">
      <c r="C104" s="8"/>
      <c r="D104" s="136"/>
      <c r="E104" s="136"/>
      <c r="F104" s="136"/>
      <c r="G104" s="136"/>
      <c r="H104" s="136"/>
      <c r="I104" s="136"/>
      <c r="J104" s="136"/>
      <c r="K104" s="136"/>
      <c r="L104" s="136"/>
      <c r="M104" s="492"/>
    </row>
    <row r="105" spans="3:13">
      <c r="C105" s="8"/>
      <c r="D105" s="8"/>
      <c r="E105" s="8"/>
      <c r="F105" s="8"/>
      <c r="G105" s="8"/>
      <c r="H105" s="8"/>
      <c r="I105" s="8"/>
      <c r="J105" s="8"/>
      <c r="K105" s="8"/>
      <c r="L105" s="602"/>
      <c r="M105" s="492"/>
    </row>
    <row r="106" spans="3:13">
      <c r="C106" s="8"/>
      <c r="D106" s="600"/>
      <c r="E106" s="8"/>
      <c r="F106" s="8"/>
      <c r="G106" s="8"/>
      <c r="H106" s="8"/>
      <c r="I106" s="8"/>
      <c r="J106" s="8"/>
      <c r="K106" s="8"/>
      <c r="L106" s="8"/>
      <c r="M106" s="8"/>
    </row>
  </sheetData>
  <dataValidations count="7">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54">
      <formula1>$D$56:$D$58</formula1>
    </dataValidation>
    <dataValidation type="list" allowBlank="1" showInputMessage="1" showErrorMessage="1" sqref="D47">
      <formula1>$D$48:$D$51</formula1>
    </dataValidation>
    <dataValidation type="list" allowBlank="1" showInputMessage="1" showErrorMessage="1" sqref="D60">
      <formula1>$D$61:$D$64</formula1>
    </dataValidation>
    <dataValidation type="list" allowBlank="1" showInputMessage="1" showErrorMessage="1" sqref="D23">
      <formula1>$D$25:$D$39</formula1>
    </dataValidation>
  </dataValidations>
  <pageMargins left="0.7" right="0.7" top="0.75" bottom="0.75" header="0.3" footer="0.3"/>
  <pageSetup paperSize="9" scale="78" orientation="portrait" copies="2" r:id="rId1"/>
</worksheet>
</file>

<file path=xl/worksheets/sheet21.xml><?xml version="1.0" encoding="utf-8"?>
<worksheet xmlns="http://schemas.openxmlformats.org/spreadsheetml/2006/main" xmlns:r="http://schemas.openxmlformats.org/officeDocument/2006/relationships">
  <sheetPr>
    <pageSetUpPr fitToPage="1"/>
  </sheetPr>
  <dimension ref="B1:N105"/>
  <sheetViews>
    <sheetView topLeftCell="A6" zoomScale="75" zoomScaleNormal="75" workbookViewId="0">
      <selection activeCell="J80" sqref="J80"/>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s>
  <sheetData>
    <row r="1" spans="2:6" ht="18.75">
      <c r="B1" s="25" t="s">
        <v>60</v>
      </c>
    </row>
    <row r="2" spans="2:6" ht="18.75">
      <c r="B2" s="25" t="s">
        <v>347</v>
      </c>
    </row>
    <row r="3" spans="2:6" ht="18.75">
      <c r="B3" s="280" t="s">
        <v>452</v>
      </c>
    </row>
    <row r="4" spans="2:6" ht="19.5" thickBot="1">
      <c r="B4" s="25"/>
      <c r="C4" s="33"/>
    </row>
    <row r="5" spans="2:6" ht="18.75">
      <c r="B5" s="356"/>
      <c r="C5" s="386" t="s">
        <v>105</v>
      </c>
      <c r="D5" s="379"/>
      <c r="E5" s="359"/>
      <c r="F5" s="360"/>
    </row>
    <row r="6" spans="2:6" ht="18" customHeight="1">
      <c r="B6" s="361"/>
      <c r="C6" s="475" t="s">
        <v>447</v>
      </c>
      <c r="D6" s="380"/>
      <c r="E6" s="364"/>
      <c r="F6" s="365"/>
    </row>
    <row r="7" spans="2:6" ht="18.75">
      <c r="B7" s="361"/>
      <c r="C7" s="475" t="s">
        <v>104</v>
      </c>
      <c r="D7" s="380"/>
      <c r="E7" s="364"/>
      <c r="F7" s="365"/>
    </row>
    <row r="8" spans="2:6" s="32" customFormat="1">
      <c r="B8" s="366"/>
      <c r="C8" s="388"/>
      <c r="D8" s="381"/>
      <c r="E8" s="369"/>
      <c r="F8" s="370"/>
    </row>
    <row r="9" spans="2:6" s="32" customFormat="1">
      <c r="B9" s="366"/>
      <c r="C9" s="388" t="s">
        <v>103</v>
      </c>
      <c r="D9" s="382"/>
      <c r="E9" s="369"/>
      <c r="F9" s="370"/>
    </row>
    <row r="10" spans="2:6" s="32" customFormat="1">
      <c r="B10" s="366"/>
      <c r="C10" s="388" t="s">
        <v>102</v>
      </c>
      <c r="D10" s="453" t="s">
        <v>448</v>
      </c>
      <c r="E10" s="369"/>
      <c r="F10" s="370"/>
    </row>
    <row r="11" spans="2:6" s="32" customFormat="1">
      <c r="B11" s="366"/>
      <c r="C11" s="388" t="s">
        <v>109</v>
      </c>
      <c r="D11" s="389">
        <v>40644</v>
      </c>
      <c r="E11" s="369"/>
      <c r="F11" s="370"/>
    </row>
    <row r="12" spans="2:6" s="32" customFormat="1">
      <c r="B12" s="366"/>
      <c r="C12" s="388" t="s">
        <v>101</v>
      </c>
      <c r="D12" s="389">
        <v>40816</v>
      </c>
      <c r="E12" s="369"/>
      <c r="F12" s="370"/>
    </row>
    <row r="13" spans="2:6" s="32" customFormat="1">
      <c r="B13" s="366"/>
      <c r="C13" s="388"/>
      <c r="D13" s="381"/>
      <c r="E13" s="369"/>
      <c r="F13" s="370"/>
    </row>
    <row r="14" spans="2:6">
      <c r="B14" s="361"/>
      <c r="C14" s="388" t="s">
        <v>100</v>
      </c>
      <c r="D14" s="383" t="s">
        <v>99</v>
      </c>
      <c r="E14" s="374"/>
      <c r="F14" s="365"/>
    </row>
    <row r="15" spans="2:6">
      <c r="B15" s="361"/>
      <c r="C15" s="364"/>
      <c r="D15" s="383" t="s">
        <v>98</v>
      </c>
      <c r="E15" s="374"/>
      <c r="F15" s="365"/>
    </row>
    <row r="16" spans="2:6">
      <c r="B16" s="361"/>
      <c r="C16" s="364"/>
      <c r="D16" s="383" t="s">
        <v>97</v>
      </c>
      <c r="E16" s="375" t="s">
        <v>106</v>
      </c>
      <c r="F16" s="365"/>
    </row>
    <row r="17" spans="2:6">
      <c r="B17" s="361"/>
      <c r="C17" s="364"/>
      <c r="D17" s="383" t="s">
        <v>45</v>
      </c>
      <c r="E17" s="374" t="s">
        <v>96</v>
      </c>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88" t="s">
        <v>94</v>
      </c>
      <c r="D23" s="382" t="s">
        <v>92</v>
      </c>
      <c r="E23" s="364"/>
      <c r="F23" s="365"/>
    </row>
    <row r="24" spans="2:6" hidden="1">
      <c r="B24" s="361"/>
      <c r="C24" s="388"/>
      <c r="D24" s="382"/>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80"/>
      <c r="E40" s="364"/>
      <c r="F40" s="365"/>
    </row>
    <row r="41" spans="2:6">
      <c r="B41" s="361"/>
      <c r="C41" s="376" t="s">
        <v>65</v>
      </c>
      <c r="D41" s="382"/>
      <c r="E41" s="364"/>
      <c r="F41" s="365"/>
    </row>
    <row r="42" spans="2:6">
      <c r="B42" s="361"/>
      <c r="C42" s="377"/>
      <c r="D42" s="380"/>
      <c r="E42" s="364"/>
      <c r="F42" s="365"/>
    </row>
    <row r="43" spans="2:6" ht="18.75">
      <c r="B43" s="392"/>
      <c r="C43" s="405" t="s">
        <v>80</v>
      </c>
      <c r="D43" s="404"/>
      <c r="E43" s="395"/>
      <c r="F43" s="396"/>
    </row>
    <row r="44" spans="2:6">
      <c r="B44" s="392"/>
      <c r="C44" s="406" t="s">
        <v>79</v>
      </c>
      <c r="D44" s="399" t="s">
        <v>693</v>
      </c>
      <c r="E44" s="395"/>
      <c r="F44" s="396"/>
    </row>
    <row r="45" spans="2:6">
      <c r="B45" s="392"/>
      <c r="C45" s="406" t="s">
        <v>78</v>
      </c>
      <c r="D45" s="399" t="s">
        <v>693</v>
      </c>
      <c r="E45" s="395"/>
      <c r="F45" s="396"/>
    </row>
    <row r="46" spans="2:6" ht="30">
      <c r="B46" s="392"/>
      <c r="C46" s="407" t="s">
        <v>77</v>
      </c>
      <c r="D46" s="399" t="s">
        <v>693</v>
      </c>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404"/>
      <c r="E52" s="395"/>
      <c r="F52" s="396"/>
    </row>
    <row r="53" spans="2:6" ht="18.75">
      <c r="B53" s="346"/>
      <c r="C53" s="416" t="s">
        <v>75</v>
      </c>
      <c r="D53" s="412"/>
      <c r="E53" s="349"/>
      <c r="F53" s="350"/>
    </row>
    <row r="54" spans="2:6">
      <c r="B54" s="346"/>
      <c r="C54" s="417"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417"/>
      <c r="D59" s="412"/>
      <c r="E59" s="349"/>
      <c r="F59" s="350"/>
    </row>
    <row r="60" spans="2:6">
      <c r="B60" s="346"/>
      <c r="C60" s="417" t="s">
        <v>70</v>
      </c>
      <c r="D60" s="413" t="s">
        <v>67</v>
      </c>
      <c r="E60" s="349"/>
      <c r="F60" s="350"/>
    </row>
    <row r="61" spans="2:6" hidden="1">
      <c r="B61" s="346"/>
      <c r="C61" s="417"/>
      <c r="D61" s="415" t="s">
        <v>69</v>
      </c>
      <c r="E61" s="411"/>
      <c r="F61" s="350"/>
    </row>
    <row r="62" spans="2:6" hidden="1">
      <c r="B62" s="346"/>
      <c r="C62" s="417"/>
      <c r="D62" s="415" t="s">
        <v>68</v>
      </c>
      <c r="E62" s="411"/>
      <c r="F62" s="350"/>
    </row>
    <row r="63" spans="2:6" hidden="1">
      <c r="B63" s="346"/>
      <c r="C63" s="417"/>
      <c r="D63" s="415" t="s">
        <v>67</v>
      </c>
      <c r="E63" s="411"/>
      <c r="F63" s="350"/>
    </row>
    <row r="64" spans="2:6" hidden="1">
      <c r="B64" s="346"/>
      <c r="C64" s="417"/>
      <c r="D64" s="415" t="s">
        <v>66</v>
      </c>
      <c r="E64" s="411"/>
      <c r="F64" s="350"/>
    </row>
    <row r="65" spans="2:6">
      <c r="B65" s="346"/>
      <c r="C65" s="354" t="s">
        <v>65</v>
      </c>
      <c r="D65" s="413"/>
      <c r="E65" s="349"/>
      <c r="F65" s="350"/>
    </row>
    <row r="66" spans="2:6">
      <c r="B66" s="346"/>
      <c r="C66" s="417"/>
      <c r="D66" s="412"/>
      <c r="E66" s="349"/>
      <c r="F66" s="350"/>
    </row>
    <row r="67" spans="2:6" ht="18.75">
      <c r="B67" s="419"/>
      <c r="C67" s="443" t="s">
        <v>64</v>
      </c>
      <c r="D67" s="434"/>
      <c r="E67" s="422"/>
      <c r="F67" s="423"/>
    </row>
    <row r="68" spans="2:6">
      <c r="B68" s="419"/>
      <c r="C68" s="444" t="s">
        <v>118</v>
      </c>
      <c r="D68" s="424"/>
      <c r="E68" s="422"/>
      <c r="F68" s="423"/>
    </row>
    <row r="69" spans="2:6">
      <c r="B69" s="419"/>
      <c r="C69" s="444" t="s">
        <v>107</v>
      </c>
      <c r="D69" s="427"/>
      <c r="E69" s="422"/>
      <c r="F69" s="423"/>
    </row>
    <row r="70" spans="2:6">
      <c r="B70" s="419"/>
      <c r="C70" s="444" t="s">
        <v>119</v>
      </c>
      <c r="D70" s="424">
        <v>154000</v>
      </c>
      <c r="E70" s="422"/>
      <c r="F70" s="423"/>
    </row>
    <row r="71" spans="2:6">
      <c r="B71" s="419"/>
      <c r="C71" s="444"/>
      <c r="D71" s="433"/>
      <c r="E71" s="422"/>
      <c r="F71" s="423"/>
    </row>
    <row r="72" spans="2:6">
      <c r="B72" s="419"/>
      <c r="C72" s="444" t="s">
        <v>223</v>
      </c>
      <c r="D72" s="426" t="s">
        <v>5</v>
      </c>
      <c r="E72" s="422"/>
      <c r="F72" s="423"/>
    </row>
    <row r="73" spans="2:6">
      <c r="B73" s="419"/>
      <c r="C73" s="444" t="s">
        <v>62</v>
      </c>
      <c r="D73" s="426" t="s">
        <v>5</v>
      </c>
      <c r="E73" s="422"/>
      <c r="F73" s="423"/>
    </row>
    <row r="74" spans="2:6">
      <c r="B74" s="419"/>
      <c r="C74" s="444"/>
      <c r="D74" s="433"/>
      <c r="E74" s="422"/>
      <c r="F74" s="423"/>
    </row>
    <row r="75" spans="2:6">
      <c r="B75" s="419"/>
      <c r="C75" s="444" t="s">
        <v>61</v>
      </c>
      <c r="D75" s="427">
        <v>0.5</v>
      </c>
      <c r="E75" s="422"/>
      <c r="F75" s="423"/>
    </row>
    <row r="76" spans="2:6">
      <c r="B76" s="419"/>
      <c r="C76" s="444"/>
      <c r="D76" s="434"/>
      <c r="E76" s="422"/>
      <c r="F76" s="423"/>
    </row>
    <row r="77" spans="2:6">
      <c r="B77" s="419"/>
      <c r="C77" s="446"/>
      <c r="D77" s="434"/>
      <c r="E77" s="422"/>
      <c r="F77" s="423"/>
    </row>
    <row r="78" spans="2:6" ht="15.75" thickBot="1">
      <c r="B78" s="429"/>
      <c r="C78" s="430"/>
      <c r="D78" s="435"/>
      <c r="E78" s="430"/>
      <c r="F78" s="432"/>
    </row>
    <row r="80" spans="2:6">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23">
      <formula1>$D$25:$D$39</formula1>
    </dataValidation>
    <dataValidation type="list" allowBlank="1" showInputMessage="1" showErrorMessage="1" sqref="D60">
      <formula1>$D$61:$D$64</formula1>
    </dataValidation>
    <dataValidation type="list" allowBlank="1" showInputMessage="1" showErrorMessage="1" sqref="D47">
      <formula1>$D$48:$D$51</formula1>
    </dataValidation>
    <dataValidation type="list" allowBlank="1" showInputMessage="1" showErrorMessage="1" sqref="D54">
      <formula1>$D$56:$D$58</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78" orientation="portrait" copies="2" r:id="rId1"/>
</worksheet>
</file>

<file path=xl/worksheets/sheet22.xml><?xml version="1.0" encoding="utf-8"?>
<worksheet xmlns="http://schemas.openxmlformats.org/spreadsheetml/2006/main" xmlns:r="http://schemas.openxmlformats.org/officeDocument/2006/relationships">
  <sheetPr>
    <pageSetUpPr fitToPage="1"/>
  </sheetPr>
  <dimension ref="B1:N105"/>
  <sheetViews>
    <sheetView topLeftCell="A15" zoomScale="75" zoomScaleNormal="75" workbookViewId="0">
      <selection activeCell="J87" sqref="J87"/>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s>
  <sheetData>
    <row r="1" spans="2:12" ht="18.75">
      <c r="B1" s="25" t="s">
        <v>60</v>
      </c>
    </row>
    <row r="2" spans="2:12" ht="18.75">
      <c r="B2" s="25" t="s">
        <v>347</v>
      </c>
    </row>
    <row r="3" spans="2:12" ht="18.75">
      <c r="B3" s="280" t="s">
        <v>451</v>
      </c>
    </row>
    <row r="4" spans="2:12" ht="19.5" thickBot="1">
      <c r="B4" s="25"/>
      <c r="C4" s="33"/>
    </row>
    <row r="5" spans="2:12" ht="18.75">
      <c r="B5" s="356"/>
      <c r="C5" s="386" t="s">
        <v>105</v>
      </c>
      <c r="D5" s="379"/>
      <c r="E5" s="359"/>
      <c r="F5" s="360"/>
    </row>
    <row r="6" spans="2:12" ht="18" customHeight="1">
      <c r="B6" s="361"/>
      <c r="C6" s="475" t="s">
        <v>449</v>
      </c>
      <c r="D6" s="380"/>
      <c r="E6" s="364"/>
      <c r="F6" s="365"/>
    </row>
    <row r="7" spans="2:12" ht="18.75">
      <c r="B7" s="361"/>
      <c r="C7" s="475" t="s">
        <v>104</v>
      </c>
      <c r="D7" s="380"/>
      <c r="E7" s="364"/>
      <c r="F7" s="365"/>
    </row>
    <row r="8" spans="2:12" s="32" customFormat="1">
      <c r="B8" s="366"/>
      <c r="C8" s="388"/>
      <c r="D8" s="381"/>
      <c r="E8" s="369"/>
      <c r="F8" s="370"/>
    </row>
    <row r="9" spans="2:12" s="32" customFormat="1">
      <c r="B9" s="366"/>
      <c r="C9" s="388" t="s">
        <v>103</v>
      </c>
      <c r="D9" s="382"/>
      <c r="E9" s="369"/>
      <c r="F9" s="370"/>
    </row>
    <row r="10" spans="2:12" s="32" customFormat="1">
      <c r="B10" s="366"/>
      <c r="C10" s="388" t="s">
        <v>102</v>
      </c>
      <c r="D10" s="453" t="s">
        <v>450</v>
      </c>
      <c r="E10" s="369"/>
      <c r="F10" s="370"/>
      <c r="G10" s="493"/>
    </row>
    <row r="11" spans="2:12" s="32" customFormat="1">
      <c r="B11" s="366"/>
      <c r="C11" s="388" t="s">
        <v>109</v>
      </c>
      <c r="D11" s="389">
        <v>40644</v>
      </c>
      <c r="E11" s="369"/>
      <c r="F11" s="370"/>
      <c r="G11" s="493"/>
    </row>
    <row r="12" spans="2:12" s="32" customFormat="1">
      <c r="B12" s="366"/>
      <c r="C12" s="388" t="s">
        <v>101</v>
      </c>
      <c r="D12" s="389">
        <v>40816</v>
      </c>
      <c r="E12" s="369"/>
      <c r="F12" s="370"/>
      <c r="G12" s="65"/>
      <c r="H12"/>
      <c r="I12"/>
      <c r="J12"/>
      <c r="K12"/>
      <c r="L12"/>
    </row>
    <row r="13" spans="2:12" s="32" customFormat="1">
      <c r="B13" s="366"/>
      <c r="C13" s="388"/>
      <c r="D13" s="381"/>
      <c r="E13" s="369"/>
      <c r="F13" s="370"/>
      <c r="G13" s="65"/>
      <c r="H13"/>
      <c r="I13"/>
      <c r="J13"/>
      <c r="K13"/>
      <c r="L13"/>
    </row>
    <row r="14" spans="2:12">
      <c r="B14" s="361"/>
      <c r="C14" s="388" t="s">
        <v>100</v>
      </c>
      <c r="D14" s="383" t="s">
        <v>99</v>
      </c>
      <c r="E14" s="374"/>
      <c r="F14" s="365"/>
      <c r="G14" s="65"/>
      <c r="H14" s="517"/>
      <c r="I14" s="65"/>
      <c r="J14" s="65"/>
    </row>
    <row r="15" spans="2:12">
      <c r="B15" s="361"/>
      <c r="C15" s="364"/>
      <c r="D15" s="383" t="s">
        <v>98</v>
      </c>
      <c r="E15" s="374"/>
      <c r="F15" s="365"/>
      <c r="G15" s="65"/>
    </row>
    <row r="16" spans="2:12">
      <c r="B16" s="361"/>
      <c r="C16" s="364"/>
      <c r="D16" s="383" t="s">
        <v>97</v>
      </c>
      <c r="E16" s="375" t="s">
        <v>106</v>
      </c>
      <c r="F16" s="365"/>
      <c r="G16" s="65"/>
    </row>
    <row r="17" spans="2:7">
      <c r="B17" s="361"/>
      <c r="C17" s="364"/>
      <c r="D17" s="383" t="s">
        <v>45</v>
      </c>
      <c r="E17" s="374"/>
      <c r="F17" s="365"/>
      <c r="G17" s="65"/>
    </row>
    <row r="18" spans="2:7">
      <c r="B18" s="361"/>
      <c r="C18" s="364"/>
      <c r="D18" s="383" t="s">
        <v>95</v>
      </c>
      <c r="E18" s="374" t="s">
        <v>96</v>
      </c>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92</v>
      </c>
      <c r="E23" s="364"/>
      <c r="F23" s="365"/>
      <c r="G23" s="65"/>
    </row>
    <row r="24" spans="2:7" hidden="1">
      <c r="B24" s="361"/>
      <c r="C24" s="388"/>
      <c r="D24" s="382"/>
      <c r="E24" s="364"/>
      <c r="F24" s="365"/>
      <c r="G24" s="65"/>
    </row>
    <row r="25" spans="2:7" hidden="1">
      <c r="B25" s="361"/>
      <c r="C25" s="388"/>
      <c r="D25" s="371" t="s">
        <v>93</v>
      </c>
      <c r="E25" s="364"/>
      <c r="F25" s="365"/>
      <c r="G25" s="65"/>
    </row>
    <row r="26" spans="2:7" hidden="1">
      <c r="B26" s="361"/>
      <c r="C26" s="388"/>
      <c r="D26" s="371" t="s">
        <v>58</v>
      </c>
      <c r="E26" s="364"/>
      <c r="F26" s="365"/>
      <c r="G26" s="65"/>
    </row>
    <row r="27" spans="2:7" hidden="1">
      <c r="B27" s="361"/>
      <c r="C27" s="388"/>
      <c r="D27" s="371" t="s">
        <v>92</v>
      </c>
      <c r="E27" s="364"/>
      <c r="F27" s="365"/>
      <c r="G27" s="65"/>
    </row>
    <row r="28" spans="2:7" hidden="1">
      <c r="B28" s="361"/>
      <c r="C28" s="388"/>
      <c r="D28" s="371" t="s">
        <v>91</v>
      </c>
      <c r="E28" s="364"/>
      <c r="F28" s="365"/>
      <c r="G28" s="65"/>
    </row>
    <row r="29" spans="2:7" hidden="1">
      <c r="B29" s="361"/>
      <c r="C29" s="388"/>
      <c r="D29" s="371" t="s">
        <v>90</v>
      </c>
      <c r="E29" s="364"/>
      <c r="F29" s="365"/>
      <c r="G29" s="65"/>
    </row>
    <row r="30" spans="2:7" hidden="1">
      <c r="B30" s="361"/>
      <c r="C30" s="388"/>
      <c r="D30" s="371" t="s">
        <v>89</v>
      </c>
      <c r="E30" s="364"/>
      <c r="F30" s="365"/>
      <c r="G30" s="65"/>
    </row>
    <row r="31" spans="2:7" hidden="1">
      <c r="B31" s="361"/>
      <c r="C31" s="388"/>
      <c r="D31" s="371" t="s">
        <v>88</v>
      </c>
      <c r="E31" s="364"/>
      <c r="F31" s="365"/>
      <c r="G31" s="65"/>
    </row>
    <row r="32" spans="2:7" hidden="1">
      <c r="B32" s="361"/>
      <c r="C32" s="388"/>
      <c r="D32" s="371" t="s">
        <v>87</v>
      </c>
      <c r="E32" s="364"/>
      <c r="F32" s="365"/>
      <c r="G32" s="65"/>
    </row>
    <row r="33" spans="2:7" hidden="1">
      <c r="B33" s="361"/>
      <c r="C33" s="388"/>
      <c r="D33" s="371" t="s">
        <v>86</v>
      </c>
      <c r="E33" s="364"/>
      <c r="F33" s="365"/>
      <c r="G33" s="65"/>
    </row>
    <row r="34" spans="2:7" hidden="1">
      <c r="B34" s="361"/>
      <c r="C34" s="388"/>
      <c r="D34" s="371" t="s">
        <v>85</v>
      </c>
      <c r="E34" s="364"/>
      <c r="F34" s="365"/>
      <c r="G34" s="65"/>
    </row>
    <row r="35" spans="2:7" hidden="1">
      <c r="B35" s="361"/>
      <c r="C35" s="388"/>
      <c r="D35" s="371" t="s">
        <v>84</v>
      </c>
      <c r="E35" s="364"/>
      <c r="F35" s="365"/>
      <c r="G35" s="65"/>
    </row>
    <row r="36" spans="2:7" hidden="1">
      <c r="B36" s="361"/>
      <c r="C36" s="388"/>
      <c r="D36" s="371" t="s">
        <v>83</v>
      </c>
      <c r="E36" s="364"/>
      <c r="F36" s="365"/>
      <c r="G36" s="65"/>
    </row>
    <row r="37" spans="2:7" hidden="1">
      <c r="B37" s="361"/>
      <c r="C37" s="388"/>
      <c r="D37" s="371" t="s">
        <v>82</v>
      </c>
      <c r="E37" s="364"/>
      <c r="F37" s="365"/>
      <c r="G37" s="65"/>
    </row>
    <row r="38" spans="2:7" hidden="1">
      <c r="B38" s="361"/>
      <c r="C38" s="388"/>
      <c r="D38" s="371" t="s">
        <v>81</v>
      </c>
      <c r="E38" s="364"/>
      <c r="F38" s="365"/>
      <c r="G38" s="65"/>
    </row>
    <row r="39" spans="2:7" hidden="1">
      <c r="B39" s="361"/>
      <c r="C39" s="388"/>
      <c r="D39" s="378" t="s">
        <v>66</v>
      </c>
      <c r="E39" s="364"/>
      <c r="F39" s="365"/>
      <c r="G39" s="65"/>
    </row>
    <row r="40" spans="2:7">
      <c r="B40" s="361"/>
      <c r="C40" s="388"/>
      <c r="D40" s="380"/>
      <c r="E40" s="364"/>
      <c r="F40" s="365"/>
      <c r="G40" s="65"/>
    </row>
    <row r="41" spans="2:7">
      <c r="B41" s="361"/>
      <c r="C41" s="376" t="s">
        <v>65</v>
      </c>
      <c r="D41" s="382"/>
      <c r="E41" s="364"/>
      <c r="F41" s="365"/>
      <c r="G41" s="65"/>
    </row>
    <row r="42" spans="2:7">
      <c r="B42" s="361"/>
      <c r="C42" s="377"/>
      <c r="D42" s="380"/>
      <c r="E42" s="364"/>
      <c r="F42" s="365"/>
      <c r="G42" s="65"/>
    </row>
    <row r="43" spans="2:7" ht="18.75">
      <c r="B43" s="392"/>
      <c r="C43" s="405" t="s">
        <v>80</v>
      </c>
      <c r="D43" s="404"/>
      <c r="E43" s="395"/>
      <c r="F43" s="396"/>
      <c r="G43" s="65"/>
    </row>
    <row r="44" spans="2:7">
      <c r="B44" s="392"/>
      <c r="C44" s="406" t="s">
        <v>79</v>
      </c>
      <c r="D44" s="399" t="s">
        <v>695</v>
      </c>
      <c r="E44" s="395"/>
      <c r="F44" s="396"/>
      <c r="G44" s="65"/>
    </row>
    <row r="45" spans="2:7">
      <c r="B45" s="392"/>
      <c r="C45" s="406" t="s">
        <v>78</v>
      </c>
      <c r="D45" s="399" t="s">
        <v>695</v>
      </c>
      <c r="E45" s="395"/>
      <c r="F45" s="396"/>
      <c r="G45" s="65"/>
    </row>
    <row r="46" spans="2:7" ht="30">
      <c r="B46" s="392"/>
      <c r="C46" s="407" t="s">
        <v>77</v>
      </c>
      <c r="D46" s="399" t="s">
        <v>695</v>
      </c>
      <c r="E46" s="395"/>
      <c r="F46" s="396"/>
      <c r="G46" s="65"/>
    </row>
    <row r="47" spans="2:7" ht="30">
      <c r="B47" s="392"/>
      <c r="C47" s="400" t="s">
        <v>76</v>
      </c>
      <c r="D47" s="399" t="s">
        <v>276</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67</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11">
      <c r="B65" s="346"/>
      <c r="C65" s="354" t="s">
        <v>65</v>
      </c>
      <c r="D65" s="413"/>
      <c r="E65" s="349"/>
      <c r="F65" s="350"/>
    </row>
    <row r="66" spans="2:11">
      <c r="B66" s="346"/>
      <c r="C66" s="417"/>
      <c r="D66" s="412"/>
      <c r="E66" s="349"/>
      <c r="F66" s="350"/>
    </row>
    <row r="67" spans="2:11" ht="18.75">
      <c r="B67" s="419"/>
      <c r="C67" s="443" t="s">
        <v>64</v>
      </c>
      <c r="D67" s="434"/>
      <c r="E67" s="422"/>
      <c r="F67" s="423"/>
    </row>
    <row r="68" spans="2:11">
      <c r="B68" s="419"/>
      <c r="C68" s="444" t="s">
        <v>118</v>
      </c>
      <c r="D68" s="424" t="s">
        <v>106</v>
      </c>
      <c r="E68" s="422"/>
      <c r="F68" s="423"/>
    </row>
    <row r="69" spans="2:11">
      <c r="B69" s="419"/>
      <c r="C69" s="444" t="s">
        <v>107</v>
      </c>
      <c r="D69" s="427"/>
      <c r="E69" s="422"/>
      <c r="F69" s="423"/>
    </row>
    <row r="70" spans="2:11">
      <c r="B70" s="419"/>
      <c r="C70" s="444" t="s">
        <v>119</v>
      </c>
      <c r="D70" s="424">
        <v>616000</v>
      </c>
      <c r="E70" s="422"/>
      <c r="F70" s="423"/>
      <c r="H70" t="s">
        <v>106</v>
      </c>
    </row>
    <row r="71" spans="2:11">
      <c r="B71" s="419"/>
      <c r="C71" s="444"/>
      <c r="D71" s="433"/>
      <c r="E71" s="422"/>
      <c r="F71" s="423"/>
    </row>
    <row r="72" spans="2:11" ht="30">
      <c r="B72" s="419"/>
      <c r="C72" s="444" t="s">
        <v>223</v>
      </c>
      <c r="D72" s="426" t="s">
        <v>694</v>
      </c>
      <c r="E72" s="422"/>
      <c r="F72" s="423"/>
    </row>
    <row r="73" spans="2:11" ht="30">
      <c r="B73" s="419"/>
      <c r="C73" s="444" t="s">
        <v>62</v>
      </c>
      <c r="D73" s="426" t="s">
        <v>696</v>
      </c>
      <c r="E73" s="422"/>
      <c r="F73" s="423"/>
      <c r="G73" s="494" t="s">
        <v>106</v>
      </c>
      <c r="H73" s="495">
        <v>2012</v>
      </c>
      <c r="I73" s="496">
        <v>2013</v>
      </c>
      <c r="J73" s="496">
        <v>2014</v>
      </c>
      <c r="K73" s="496">
        <v>2015</v>
      </c>
    </row>
    <row r="74" spans="2:11">
      <c r="B74" s="419"/>
      <c r="C74" s="444"/>
      <c r="D74" s="433"/>
      <c r="E74" s="422"/>
      <c r="F74" s="423"/>
      <c r="H74">
        <v>154000</v>
      </c>
      <c r="I74">
        <v>0</v>
      </c>
      <c r="J74">
        <v>154000</v>
      </c>
      <c r="K74">
        <f>154000*2</f>
        <v>308000</v>
      </c>
    </row>
    <row r="75" spans="2:11">
      <c r="B75" s="419"/>
      <c r="C75" s="444" t="s">
        <v>61</v>
      </c>
      <c r="D75" s="427">
        <v>0.5</v>
      </c>
      <c r="E75" s="422"/>
      <c r="F75" s="423"/>
    </row>
    <row r="76" spans="2:11">
      <c r="B76" s="419"/>
      <c r="C76" s="444"/>
      <c r="D76" s="434"/>
      <c r="E76" s="422"/>
      <c r="F76" s="423"/>
    </row>
    <row r="77" spans="2:11">
      <c r="B77" s="419"/>
      <c r="C77" s="446"/>
      <c r="D77" s="434"/>
      <c r="E77" s="422"/>
      <c r="F77" s="423"/>
    </row>
    <row r="78" spans="2:11" ht="15.75" thickBot="1">
      <c r="B78" s="429"/>
      <c r="C78" s="430"/>
      <c r="D78" s="435"/>
      <c r="E78" s="430"/>
      <c r="F78" s="432"/>
    </row>
    <row r="80" spans="2:11">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54">
      <formula1>$D$56:$D$58</formula1>
    </dataValidation>
    <dataValidation type="list" allowBlank="1" showInputMessage="1" showErrorMessage="1" sqref="D47">
      <formula1>$D$48:$D$51</formula1>
    </dataValidation>
    <dataValidation type="list" allowBlank="1" showInputMessage="1" showErrorMessage="1" sqref="D60">
      <formula1>$D$61:$D$64</formula1>
    </dataValidation>
    <dataValidation type="list" allowBlank="1" showInputMessage="1" showErrorMessage="1" sqref="D23">
      <formula1>$D$25:$D$39</formula1>
    </dataValidation>
  </dataValidations>
  <pageMargins left="0.7" right="0.7" top="0.75" bottom="0.75" header="0.3" footer="0.3"/>
  <pageSetup paperSize="9" scale="57" orientation="portrait" copies="2" r:id="rId1"/>
</worksheet>
</file>

<file path=xl/worksheets/sheet23.xml><?xml version="1.0" encoding="utf-8"?>
<worksheet xmlns="http://schemas.openxmlformats.org/spreadsheetml/2006/main" xmlns:r="http://schemas.openxmlformats.org/officeDocument/2006/relationships">
  <sheetPr>
    <pageSetUpPr fitToPage="1"/>
  </sheetPr>
  <dimension ref="B1:N105"/>
  <sheetViews>
    <sheetView topLeftCell="A73" zoomScale="75" zoomScaleNormal="75" workbookViewId="0">
      <selection activeCell="D81" sqref="D81"/>
    </sheetView>
  </sheetViews>
  <sheetFormatPr defaultRowHeight="15"/>
  <cols>
    <col min="1" max="2" width="3.7109375" customWidth="1"/>
    <col min="3" max="3" width="84.140625" customWidth="1"/>
    <col min="4" max="4" width="34.28515625" style="34" bestFit="1" customWidth="1"/>
    <col min="5" max="5" width="4.7109375" customWidth="1"/>
    <col min="6" max="7" width="3.7109375" customWidth="1"/>
    <col min="9" max="9" width="11.5703125" bestFit="1" customWidth="1"/>
  </cols>
  <sheetData>
    <row r="1" spans="2:12" ht="18.75">
      <c r="B1" s="25" t="s">
        <v>60</v>
      </c>
    </row>
    <row r="2" spans="2:12" ht="18.75">
      <c r="B2" s="25" t="s">
        <v>347</v>
      </c>
    </row>
    <row r="3" spans="2:12" ht="18.75">
      <c r="B3" s="280" t="s">
        <v>461</v>
      </c>
    </row>
    <row r="4" spans="2:12" ht="19.5" thickBot="1">
      <c r="B4" s="25"/>
      <c r="C4" s="33"/>
    </row>
    <row r="5" spans="2:12" ht="18.75">
      <c r="B5" s="356"/>
      <c r="C5" s="386" t="s">
        <v>105</v>
      </c>
      <c r="D5" s="379"/>
      <c r="E5" s="359"/>
      <c r="F5" s="360"/>
    </row>
    <row r="6" spans="2:12" ht="18" customHeight="1">
      <c r="B6" s="361"/>
      <c r="C6" s="475" t="s">
        <v>453</v>
      </c>
      <c r="D6" s="380"/>
      <c r="E6" s="364"/>
      <c r="F6" s="365"/>
    </row>
    <row r="7" spans="2:12" ht="18.75">
      <c r="B7" s="361"/>
      <c r="C7" s="475" t="s">
        <v>104</v>
      </c>
      <c r="D7" s="380"/>
      <c r="E7" s="364"/>
      <c r="F7" s="365"/>
    </row>
    <row r="8" spans="2:12" s="32" customFormat="1">
      <c r="B8" s="366"/>
      <c r="C8" s="388"/>
      <c r="D8" s="381"/>
      <c r="E8" s="369"/>
      <c r="F8" s="370"/>
    </row>
    <row r="9" spans="2:12" s="32" customFormat="1">
      <c r="B9" s="366"/>
      <c r="C9" s="388" t="s">
        <v>103</v>
      </c>
      <c r="D9" s="382"/>
      <c r="E9" s="369"/>
      <c r="F9" s="370"/>
    </row>
    <row r="10" spans="2:12" s="32" customFormat="1">
      <c r="B10" s="366"/>
      <c r="C10" s="388" t="s">
        <v>102</v>
      </c>
      <c r="D10" s="453" t="s">
        <v>454</v>
      </c>
      <c r="E10" s="369"/>
      <c r="F10" s="370"/>
      <c r="G10" s="493"/>
    </row>
    <row r="11" spans="2:12" s="32" customFormat="1">
      <c r="B11" s="366"/>
      <c r="C11" s="388" t="s">
        <v>109</v>
      </c>
      <c r="D11" s="389">
        <v>40644</v>
      </c>
      <c r="E11" s="369"/>
      <c r="F11" s="370"/>
      <c r="G11" s="493"/>
    </row>
    <row r="12" spans="2:12" s="32" customFormat="1">
      <c r="B12" s="366"/>
      <c r="C12" s="388" t="s">
        <v>101</v>
      </c>
      <c r="D12" s="389">
        <v>40816</v>
      </c>
      <c r="E12" s="369"/>
      <c r="F12" s="370"/>
      <c r="G12" s="65"/>
      <c r="H12"/>
      <c r="I12"/>
      <c r="J12"/>
      <c r="K12"/>
      <c r="L12"/>
    </row>
    <row r="13" spans="2:12" s="32" customFormat="1">
      <c r="B13" s="366"/>
      <c r="C13" s="388"/>
      <c r="D13" s="381"/>
      <c r="E13" s="369"/>
      <c r="F13" s="370"/>
      <c r="G13" s="65"/>
      <c r="H13"/>
      <c r="I13"/>
      <c r="J13"/>
      <c r="K13"/>
      <c r="L13"/>
    </row>
    <row r="14" spans="2:12">
      <c r="B14" s="361"/>
      <c r="C14" s="388" t="s">
        <v>100</v>
      </c>
      <c r="D14" s="383" t="s">
        <v>99</v>
      </c>
      <c r="E14" s="374"/>
      <c r="F14" s="365"/>
      <c r="G14" s="65"/>
      <c r="H14" s="517"/>
      <c r="I14" s="65"/>
      <c r="J14" s="65"/>
    </row>
    <row r="15" spans="2:12">
      <c r="B15" s="361"/>
      <c r="C15" s="364"/>
      <c r="D15" s="383" t="s">
        <v>98</v>
      </c>
      <c r="E15" s="374"/>
      <c r="F15" s="365"/>
      <c r="G15" s="65"/>
    </row>
    <row r="16" spans="2:12">
      <c r="B16" s="361"/>
      <c r="C16" s="364"/>
      <c r="D16" s="383" t="s">
        <v>97</v>
      </c>
      <c r="E16" s="375" t="s">
        <v>106</v>
      </c>
      <c r="F16" s="365"/>
      <c r="G16" s="65"/>
    </row>
    <row r="17" spans="2:7">
      <c r="B17" s="361"/>
      <c r="C17" s="364"/>
      <c r="D17" s="383" t="s">
        <v>45</v>
      </c>
      <c r="E17" s="374"/>
      <c r="F17" s="365"/>
      <c r="G17" s="65"/>
    </row>
    <row r="18" spans="2:7">
      <c r="B18" s="361"/>
      <c r="C18" s="364"/>
      <c r="D18" s="383" t="s">
        <v>95</v>
      </c>
      <c r="E18" s="374" t="s">
        <v>96</v>
      </c>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92</v>
      </c>
      <c r="E23" s="364"/>
      <c r="F23" s="365"/>
      <c r="G23" s="65"/>
    </row>
    <row r="24" spans="2:7" hidden="1">
      <c r="B24" s="361"/>
      <c r="C24" s="388"/>
      <c r="D24" s="382"/>
      <c r="E24" s="364"/>
      <c r="F24" s="365"/>
      <c r="G24" s="65"/>
    </row>
    <row r="25" spans="2:7" hidden="1">
      <c r="B25" s="361"/>
      <c r="C25" s="388"/>
      <c r="D25" s="371" t="s">
        <v>93</v>
      </c>
      <c r="E25" s="364"/>
      <c r="F25" s="365"/>
      <c r="G25" s="65"/>
    </row>
    <row r="26" spans="2:7" hidden="1">
      <c r="B26" s="361"/>
      <c r="C26" s="388"/>
      <c r="D26" s="371" t="s">
        <v>58</v>
      </c>
      <c r="E26" s="364"/>
      <c r="F26" s="365"/>
      <c r="G26" s="65"/>
    </row>
    <row r="27" spans="2:7" hidden="1">
      <c r="B27" s="361"/>
      <c r="C27" s="388"/>
      <c r="D27" s="371" t="s">
        <v>92</v>
      </c>
      <c r="E27" s="364"/>
      <c r="F27" s="365"/>
      <c r="G27" s="65"/>
    </row>
    <row r="28" spans="2:7" hidden="1">
      <c r="B28" s="361"/>
      <c r="C28" s="388"/>
      <c r="D28" s="371" t="s">
        <v>91</v>
      </c>
      <c r="E28" s="364"/>
      <c r="F28" s="365"/>
      <c r="G28" s="65"/>
    </row>
    <row r="29" spans="2:7" hidden="1">
      <c r="B29" s="361"/>
      <c r="C29" s="388"/>
      <c r="D29" s="371" t="s">
        <v>90</v>
      </c>
      <c r="E29" s="364"/>
      <c r="F29" s="365"/>
      <c r="G29" s="65"/>
    </row>
    <row r="30" spans="2:7" hidden="1">
      <c r="B30" s="361"/>
      <c r="C30" s="388"/>
      <c r="D30" s="371" t="s">
        <v>89</v>
      </c>
      <c r="E30" s="364"/>
      <c r="F30" s="365"/>
      <c r="G30" s="65"/>
    </row>
    <row r="31" spans="2:7" hidden="1">
      <c r="B31" s="361"/>
      <c r="C31" s="388"/>
      <c r="D31" s="371" t="s">
        <v>88</v>
      </c>
      <c r="E31" s="364"/>
      <c r="F31" s="365"/>
      <c r="G31" s="65"/>
    </row>
    <row r="32" spans="2:7" hidden="1">
      <c r="B32" s="361"/>
      <c r="C32" s="388"/>
      <c r="D32" s="371" t="s">
        <v>87</v>
      </c>
      <c r="E32" s="364"/>
      <c r="F32" s="365"/>
      <c r="G32" s="65"/>
    </row>
    <row r="33" spans="2:7" hidden="1">
      <c r="B33" s="361"/>
      <c r="C33" s="388"/>
      <c r="D33" s="371" t="s">
        <v>86</v>
      </c>
      <c r="E33" s="364"/>
      <c r="F33" s="365"/>
      <c r="G33" s="65"/>
    </row>
    <row r="34" spans="2:7" hidden="1">
      <c r="B34" s="361"/>
      <c r="C34" s="388"/>
      <c r="D34" s="371" t="s">
        <v>85</v>
      </c>
      <c r="E34" s="364"/>
      <c r="F34" s="365"/>
      <c r="G34" s="65"/>
    </row>
    <row r="35" spans="2:7" hidden="1">
      <c r="B35" s="361"/>
      <c r="C35" s="388"/>
      <c r="D35" s="371" t="s">
        <v>84</v>
      </c>
      <c r="E35" s="364"/>
      <c r="F35" s="365"/>
      <c r="G35" s="65"/>
    </row>
    <row r="36" spans="2:7" hidden="1">
      <c r="B36" s="361"/>
      <c r="C36" s="388"/>
      <c r="D36" s="371" t="s">
        <v>83</v>
      </c>
      <c r="E36" s="364"/>
      <c r="F36" s="365"/>
      <c r="G36" s="65"/>
    </row>
    <row r="37" spans="2:7" hidden="1">
      <c r="B37" s="361"/>
      <c r="C37" s="388"/>
      <c r="D37" s="371" t="s">
        <v>82</v>
      </c>
      <c r="E37" s="364"/>
      <c r="F37" s="365"/>
      <c r="G37" s="65"/>
    </row>
    <row r="38" spans="2:7" hidden="1">
      <c r="B38" s="361"/>
      <c r="C38" s="388"/>
      <c r="D38" s="371" t="s">
        <v>81</v>
      </c>
      <c r="E38" s="364"/>
      <c r="F38" s="365"/>
      <c r="G38" s="65"/>
    </row>
    <row r="39" spans="2:7" hidden="1">
      <c r="B39" s="361"/>
      <c r="C39" s="388"/>
      <c r="D39" s="378" t="s">
        <v>66</v>
      </c>
      <c r="E39" s="364"/>
      <c r="F39" s="365"/>
      <c r="G39" s="65"/>
    </row>
    <row r="40" spans="2:7">
      <c r="B40" s="361"/>
      <c r="C40" s="388"/>
      <c r="D40" s="380"/>
      <c r="E40" s="364"/>
      <c r="F40" s="365"/>
      <c r="G40" s="65"/>
    </row>
    <row r="41" spans="2:7">
      <c r="B41" s="361"/>
      <c r="C41" s="376" t="s">
        <v>65</v>
      </c>
      <c r="D41" s="382"/>
      <c r="E41" s="364"/>
      <c r="F41" s="365"/>
      <c r="G41" s="65"/>
    </row>
    <row r="42" spans="2:7">
      <c r="B42" s="361"/>
      <c r="C42" s="377"/>
      <c r="D42" s="380"/>
      <c r="E42" s="364"/>
      <c r="F42" s="365"/>
      <c r="G42" s="65"/>
    </row>
    <row r="43" spans="2:7" ht="18.75">
      <c r="B43" s="392"/>
      <c r="C43" s="405" t="s">
        <v>80</v>
      </c>
      <c r="D43" s="404"/>
      <c r="E43" s="395"/>
      <c r="F43" s="396"/>
      <c r="G43" s="65"/>
    </row>
    <row r="44" spans="2:7">
      <c r="B44" s="392"/>
      <c r="C44" s="406" t="s">
        <v>79</v>
      </c>
      <c r="D44" s="399" t="s">
        <v>693</v>
      </c>
      <c r="E44" s="395"/>
      <c r="F44" s="396"/>
      <c r="G44" s="65"/>
    </row>
    <row r="45" spans="2:7">
      <c r="B45" s="392"/>
      <c r="C45" s="406" t="s">
        <v>78</v>
      </c>
      <c r="D45" s="399" t="s">
        <v>693</v>
      </c>
      <c r="E45" s="395"/>
      <c r="F45" s="396"/>
      <c r="G45" s="65"/>
    </row>
    <row r="46" spans="2:7" ht="30">
      <c r="B46" s="392"/>
      <c r="C46" s="407" t="s">
        <v>77</v>
      </c>
      <c r="D46" s="399" t="s">
        <v>693</v>
      </c>
      <c r="E46" s="395"/>
      <c r="F46" s="396"/>
      <c r="G46" s="65"/>
    </row>
    <row r="47" spans="2:7" ht="30">
      <c r="B47" s="392"/>
      <c r="C47" s="400" t="s">
        <v>76</v>
      </c>
      <c r="D47" s="399" t="s">
        <v>278</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67</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11">
      <c r="B65" s="346"/>
      <c r="C65" s="354" t="s">
        <v>65</v>
      </c>
      <c r="D65" s="413"/>
      <c r="E65" s="349"/>
      <c r="F65" s="350"/>
    </row>
    <row r="66" spans="2:11">
      <c r="B66" s="346"/>
      <c r="C66" s="417"/>
      <c r="D66" s="412"/>
      <c r="E66" s="349"/>
      <c r="F66" s="350"/>
    </row>
    <row r="67" spans="2:11" ht="18.75">
      <c r="B67" s="419"/>
      <c r="C67" s="443" t="s">
        <v>64</v>
      </c>
      <c r="D67" s="434"/>
      <c r="E67" s="422"/>
      <c r="F67" s="423"/>
    </row>
    <row r="68" spans="2:11">
      <c r="B68" s="419"/>
      <c r="C68" s="444" t="s">
        <v>118</v>
      </c>
      <c r="D68" s="424" t="s">
        <v>106</v>
      </c>
      <c r="E68" s="422"/>
      <c r="F68" s="423"/>
    </row>
    <row r="69" spans="2:11">
      <c r="B69" s="419"/>
      <c r="C69" s="444" t="s">
        <v>107</v>
      </c>
      <c r="D69" s="427"/>
      <c r="E69" s="422"/>
      <c r="F69" s="423"/>
    </row>
    <row r="70" spans="2:11">
      <c r="B70" s="419"/>
      <c r="C70" s="444" t="s">
        <v>119</v>
      </c>
      <c r="D70" s="424">
        <v>154000</v>
      </c>
      <c r="E70" s="422"/>
      <c r="F70" s="423"/>
    </row>
    <row r="71" spans="2:11">
      <c r="B71" s="419"/>
      <c r="C71" s="444"/>
      <c r="D71" s="433"/>
      <c r="E71" s="422"/>
      <c r="F71" s="423"/>
    </row>
    <row r="72" spans="2:11" ht="30">
      <c r="B72" s="419"/>
      <c r="C72" s="444" t="s">
        <v>223</v>
      </c>
      <c r="D72" s="426" t="s">
        <v>697</v>
      </c>
      <c r="E72" s="422"/>
      <c r="F72" s="423"/>
      <c r="I72" s="82"/>
    </row>
    <row r="73" spans="2:11">
      <c r="B73" s="419"/>
      <c r="C73" s="444" t="s">
        <v>62</v>
      </c>
      <c r="D73" s="426" t="s">
        <v>9</v>
      </c>
      <c r="E73" s="422"/>
      <c r="F73" s="423"/>
      <c r="G73" s="494" t="s">
        <v>106</v>
      </c>
      <c r="H73" s="495"/>
      <c r="I73" s="496"/>
      <c r="J73" s="496"/>
      <c r="K73" s="496"/>
    </row>
    <row r="74" spans="2:11">
      <c r="B74" s="419"/>
      <c r="C74" s="444"/>
      <c r="D74" s="433"/>
      <c r="E74" s="422"/>
      <c r="F74" s="423"/>
    </row>
    <row r="75" spans="2:11">
      <c r="B75" s="419"/>
      <c r="C75" s="444" t="s">
        <v>61</v>
      </c>
      <c r="D75" s="427">
        <v>0.33300000000000002</v>
      </c>
      <c r="E75" s="422"/>
      <c r="F75" s="423"/>
    </row>
    <row r="76" spans="2:11">
      <c r="B76" s="419"/>
      <c r="C76" s="444"/>
      <c r="D76" s="434"/>
      <c r="E76" s="422"/>
      <c r="F76" s="423"/>
    </row>
    <row r="77" spans="2:11">
      <c r="B77" s="419"/>
      <c r="C77" s="446"/>
      <c r="D77" s="434"/>
      <c r="E77" s="422"/>
      <c r="F77" s="423"/>
    </row>
    <row r="78" spans="2:11" ht="15.75" thickBot="1">
      <c r="B78" s="429"/>
      <c r="C78" s="430"/>
      <c r="D78" s="435"/>
      <c r="E78" s="430"/>
      <c r="F78" s="432"/>
    </row>
    <row r="80" spans="2:11">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23">
      <formula1>$D$25:$D$39</formula1>
    </dataValidation>
    <dataValidation type="list" allowBlank="1" showInputMessage="1" showErrorMessage="1" sqref="D60">
      <formula1>$D$61:$D$64</formula1>
    </dataValidation>
    <dataValidation type="list" allowBlank="1" showInputMessage="1" showErrorMessage="1" sqref="D47">
      <formula1>$D$48:$D$51</formula1>
    </dataValidation>
    <dataValidation type="list" allowBlank="1" showInputMessage="1" showErrorMessage="1" sqref="D54">
      <formula1>$D$56:$D$58</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63" orientation="portrait" copies="2" r:id="rId1"/>
</worksheet>
</file>

<file path=xl/worksheets/sheet24.xml><?xml version="1.0" encoding="utf-8"?>
<worksheet xmlns="http://schemas.openxmlformats.org/spreadsheetml/2006/main" xmlns:r="http://schemas.openxmlformats.org/officeDocument/2006/relationships">
  <sheetPr>
    <pageSetUpPr fitToPage="1"/>
  </sheetPr>
  <dimension ref="B1:N105"/>
  <sheetViews>
    <sheetView topLeftCell="A73" zoomScale="75" zoomScaleNormal="75" workbookViewId="0">
      <selection activeCell="I75" sqref="I75"/>
    </sheetView>
  </sheetViews>
  <sheetFormatPr defaultRowHeight="15"/>
  <cols>
    <col min="1" max="2" width="3.7109375" customWidth="1"/>
    <col min="3" max="3" width="85" customWidth="1"/>
    <col min="4" max="4" width="34.28515625" style="34" bestFit="1" customWidth="1"/>
    <col min="5" max="5" width="4.7109375" customWidth="1"/>
    <col min="6" max="7" width="3.7109375" customWidth="1"/>
  </cols>
  <sheetData>
    <row r="1" spans="2:12" ht="18.75">
      <c r="B1" s="25" t="s">
        <v>60</v>
      </c>
    </row>
    <row r="2" spans="2:12" ht="18.75">
      <c r="B2" s="25" t="s">
        <v>347</v>
      </c>
    </row>
    <row r="3" spans="2:12" ht="18.75">
      <c r="B3" s="280" t="s">
        <v>463</v>
      </c>
    </row>
    <row r="4" spans="2:12" ht="19.5" thickBot="1">
      <c r="B4" s="25"/>
      <c r="C4" s="33"/>
    </row>
    <row r="5" spans="2:12" ht="18.75">
      <c r="B5" s="356"/>
      <c r="C5" s="386" t="s">
        <v>105</v>
      </c>
      <c r="D5" s="379"/>
      <c r="E5" s="359"/>
      <c r="F5" s="360"/>
    </row>
    <row r="6" spans="2:12" ht="18" customHeight="1">
      <c r="B6" s="361"/>
      <c r="C6" s="475" t="s">
        <v>464</v>
      </c>
      <c r="D6" s="380"/>
      <c r="E6" s="364"/>
      <c r="F6" s="365"/>
    </row>
    <row r="7" spans="2:12" ht="18.75">
      <c r="B7" s="361"/>
      <c r="C7" s="475" t="s">
        <v>104</v>
      </c>
      <c r="D7" s="380"/>
      <c r="E7" s="364"/>
      <c r="F7" s="365"/>
    </row>
    <row r="8" spans="2:12" s="32" customFormat="1">
      <c r="B8" s="366"/>
      <c r="C8" s="388"/>
      <c r="D8" s="381"/>
      <c r="E8" s="369"/>
      <c r="F8" s="370"/>
    </row>
    <row r="9" spans="2:12" s="32" customFormat="1">
      <c r="B9" s="366"/>
      <c r="C9" s="388" t="s">
        <v>103</v>
      </c>
      <c r="D9" s="382"/>
      <c r="E9" s="369"/>
      <c r="F9" s="370"/>
    </row>
    <row r="10" spans="2:12" s="32" customFormat="1">
      <c r="B10" s="366"/>
      <c r="C10" s="388" t="s">
        <v>102</v>
      </c>
      <c r="D10" s="453" t="s">
        <v>455</v>
      </c>
      <c r="E10" s="369"/>
      <c r="F10" s="370"/>
      <c r="G10" s="493"/>
    </row>
    <row r="11" spans="2:12" s="32" customFormat="1">
      <c r="B11" s="366"/>
      <c r="C11" s="388" t="s">
        <v>109</v>
      </c>
      <c r="D11" s="389">
        <v>40644</v>
      </c>
      <c r="E11" s="369"/>
      <c r="F11" s="370"/>
      <c r="G11" s="493"/>
    </row>
    <row r="12" spans="2:12" s="32" customFormat="1">
      <c r="B12" s="366"/>
      <c r="C12" s="388" t="s">
        <v>101</v>
      </c>
      <c r="D12" s="389">
        <v>40816</v>
      </c>
      <c r="E12" s="369"/>
      <c r="F12" s="370"/>
      <c r="G12" s="65"/>
      <c r="H12"/>
      <c r="I12"/>
      <c r="J12"/>
      <c r="K12"/>
      <c r="L12"/>
    </row>
    <row r="13" spans="2:12" s="32" customFormat="1">
      <c r="B13" s="366"/>
      <c r="C13" s="388"/>
      <c r="D13" s="381"/>
      <c r="E13" s="369"/>
      <c r="F13" s="370"/>
      <c r="G13" s="65"/>
      <c r="H13"/>
      <c r="I13"/>
      <c r="J13"/>
      <c r="K13"/>
      <c r="L13"/>
    </row>
    <row r="14" spans="2:12">
      <c r="B14" s="361"/>
      <c r="C14" s="388" t="s">
        <v>100</v>
      </c>
      <c r="D14" s="383" t="s">
        <v>99</v>
      </c>
      <c r="E14" s="374" t="s">
        <v>96</v>
      </c>
      <c r="F14" s="365"/>
      <c r="G14" s="65"/>
      <c r="H14" s="517"/>
      <c r="I14" s="39"/>
      <c r="J14" s="39"/>
      <c r="K14" s="39"/>
    </row>
    <row r="15" spans="2:12">
      <c r="B15" s="361"/>
      <c r="C15" s="364"/>
      <c r="D15" s="383" t="s">
        <v>98</v>
      </c>
      <c r="E15" s="374"/>
      <c r="F15" s="365"/>
      <c r="G15" s="65"/>
    </row>
    <row r="16" spans="2:12">
      <c r="B16" s="361"/>
      <c r="C16" s="364"/>
      <c r="D16" s="383" t="s">
        <v>97</v>
      </c>
      <c r="E16" s="375"/>
      <c r="F16" s="365"/>
      <c r="G16" s="65"/>
    </row>
    <row r="17" spans="2:7">
      <c r="B17" s="361"/>
      <c r="C17" s="364"/>
      <c r="D17" s="383" t="s">
        <v>45</v>
      </c>
      <c r="E17" s="374"/>
      <c r="F17" s="365"/>
      <c r="G17" s="65"/>
    </row>
    <row r="18" spans="2:7">
      <c r="B18" s="361"/>
      <c r="C18" s="364"/>
      <c r="D18" s="383" t="s">
        <v>95</v>
      </c>
      <c r="E18" s="374"/>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92</v>
      </c>
      <c r="E23" s="364"/>
      <c r="F23" s="365"/>
      <c r="G23" s="65"/>
    </row>
    <row r="24" spans="2:7" hidden="1">
      <c r="B24" s="361"/>
      <c r="C24" s="388"/>
      <c r="D24" s="382"/>
      <c r="E24" s="364"/>
      <c r="F24" s="365"/>
      <c r="G24" s="65"/>
    </row>
    <row r="25" spans="2:7" hidden="1">
      <c r="B25" s="361"/>
      <c r="C25" s="388"/>
      <c r="D25" s="371" t="s">
        <v>93</v>
      </c>
      <c r="E25" s="364"/>
      <c r="F25" s="365"/>
      <c r="G25" s="65"/>
    </row>
    <row r="26" spans="2:7" hidden="1">
      <c r="B26" s="361"/>
      <c r="C26" s="388"/>
      <c r="D26" s="371" t="s">
        <v>58</v>
      </c>
      <c r="E26" s="364"/>
      <c r="F26" s="365"/>
      <c r="G26" s="65"/>
    </row>
    <row r="27" spans="2:7" hidden="1">
      <c r="B27" s="361"/>
      <c r="C27" s="388"/>
      <c r="D27" s="371" t="s">
        <v>92</v>
      </c>
      <c r="E27" s="364"/>
      <c r="F27" s="365"/>
      <c r="G27" s="65"/>
    </row>
    <row r="28" spans="2:7" hidden="1">
      <c r="B28" s="361"/>
      <c r="C28" s="388"/>
      <c r="D28" s="371" t="s">
        <v>91</v>
      </c>
      <c r="E28" s="364"/>
      <c r="F28" s="365"/>
      <c r="G28" s="65"/>
    </row>
    <row r="29" spans="2:7" hidden="1">
      <c r="B29" s="361"/>
      <c r="C29" s="388"/>
      <c r="D29" s="371" t="s">
        <v>90</v>
      </c>
      <c r="E29" s="364"/>
      <c r="F29" s="365"/>
      <c r="G29" s="65"/>
    </row>
    <row r="30" spans="2:7" hidden="1">
      <c r="B30" s="361"/>
      <c r="C30" s="388"/>
      <c r="D30" s="371" t="s">
        <v>89</v>
      </c>
      <c r="E30" s="364"/>
      <c r="F30" s="365"/>
      <c r="G30" s="65"/>
    </row>
    <row r="31" spans="2:7" hidden="1">
      <c r="B31" s="361"/>
      <c r="C31" s="388"/>
      <c r="D31" s="371" t="s">
        <v>88</v>
      </c>
      <c r="E31" s="364"/>
      <c r="F31" s="365"/>
      <c r="G31" s="65"/>
    </row>
    <row r="32" spans="2:7" hidden="1">
      <c r="B32" s="361"/>
      <c r="C32" s="388"/>
      <c r="D32" s="371" t="s">
        <v>87</v>
      </c>
      <c r="E32" s="364"/>
      <c r="F32" s="365"/>
      <c r="G32" s="65"/>
    </row>
    <row r="33" spans="2:7" hidden="1">
      <c r="B33" s="361"/>
      <c r="C33" s="388"/>
      <c r="D33" s="371" t="s">
        <v>86</v>
      </c>
      <c r="E33" s="364"/>
      <c r="F33" s="365"/>
      <c r="G33" s="65"/>
    </row>
    <row r="34" spans="2:7" hidden="1">
      <c r="B34" s="361"/>
      <c r="C34" s="388"/>
      <c r="D34" s="371" t="s">
        <v>85</v>
      </c>
      <c r="E34" s="364"/>
      <c r="F34" s="365"/>
      <c r="G34" s="65"/>
    </row>
    <row r="35" spans="2:7" hidden="1">
      <c r="B35" s="361"/>
      <c r="C35" s="388"/>
      <c r="D35" s="371" t="s">
        <v>84</v>
      </c>
      <c r="E35" s="364"/>
      <c r="F35" s="365"/>
      <c r="G35" s="65"/>
    </row>
    <row r="36" spans="2:7" hidden="1">
      <c r="B36" s="361"/>
      <c r="C36" s="388"/>
      <c r="D36" s="371" t="s">
        <v>83</v>
      </c>
      <c r="E36" s="364"/>
      <c r="F36" s="365"/>
      <c r="G36" s="65"/>
    </row>
    <row r="37" spans="2:7" hidden="1">
      <c r="B37" s="361"/>
      <c r="C37" s="388"/>
      <c r="D37" s="371" t="s">
        <v>82</v>
      </c>
      <c r="E37" s="364"/>
      <c r="F37" s="365"/>
      <c r="G37" s="65"/>
    </row>
    <row r="38" spans="2:7" hidden="1">
      <c r="B38" s="361"/>
      <c r="C38" s="388"/>
      <c r="D38" s="371" t="s">
        <v>81</v>
      </c>
      <c r="E38" s="364"/>
      <c r="F38" s="365"/>
      <c r="G38" s="65"/>
    </row>
    <row r="39" spans="2:7" hidden="1">
      <c r="B39" s="361"/>
      <c r="C39" s="388"/>
      <c r="D39" s="378" t="s">
        <v>66</v>
      </c>
      <c r="E39" s="364"/>
      <c r="F39" s="365"/>
      <c r="G39" s="65"/>
    </row>
    <row r="40" spans="2:7">
      <c r="B40" s="361"/>
      <c r="C40" s="388"/>
      <c r="D40" s="380"/>
      <c r="E40" s="364"/>
      <c r="F40" s="365"/>
      <c r="G40" s="65"/>
    </row>
    <row r="41" spans="2:7">
      <c r="B41" s="361"/>
      <c r="C41" s="376" t="s">
        <v>65</v>
      </c>
      <c r="D41" s="382"/>
      <c r="E41" s="364"/>
      <c r="F41" s="365"/>
      <c r="G41" s="65"/>
    </row>
    <row r="42" spans="2:7">
      <c r="B42" s="361"/>
      <c r="C42" s="377"/>
      <c r="D42" s="380"/>
      <c r="E42" s="364"/>
      <c r="F42" s="365"/>
      <c r="G42" s="65"/>
    </row>
    <row r="43" spans="2:7" ht="18.75">
      <c r="B43" s="392"/>
      <c r="C43" s="405" t="s">
        <v>80</v>
      </c>
      <c r="D43" s="404"/>
      <c r="E43" s="395"/>
      <c r="F43" s="396"/>
      <c r="G43" s="65"/>
    </row>
    <row r="44" spans="2:7">
      <c r="B44" s="392"/>
      <c r="C44" s="406" t="s">
        <v>79</v>
      </c>
      <c r="D44" s="399" t="s">
        <v>693</v>
      </c>
      <c r="E44" s="395"/>
      <c r="F44" s="396"/>
      <c r="G44" s="65"/>
    </row>
    <row r="45" spans="2:7">
      <c r="B45" s="392"/>
      <c r="C45" s="406" t="s">
        <v>78</v>
      </c>
      <c r="D45" s="399" t="s">
        <v>693</v>
      </c>
      <c r="E45" s="395"/>
      <c r="F45" s="396"/>
      <c r="G45" s="65"/>
    </row>
    <row r="46" spans="2:7" ht="30">
      <c r="B46" s="392"/>
      <c r="C46" s="407" t="s">
        <v>77</v>
      </c>
      <c r="D46" s="399" t="s">
        <v>693</v>
      </c>
      <c r="E46" s="395"/>
      <c r="F46" s="396"/>
      <c r="G46" s="65"/>
    </row>
    <row r="47" spans="2:7" ht="30">
      <c r="B47" s="392"/>
      <c r="C47" s="400" t="s">
        <v>76</v>
      </c>
      <c r="D47" s="399" t="s">
        <v>278</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67</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11">
      <c r="B65" s="346"/>
      <c r="C65" s="354" t="s">
        <v>65</v>
      </c>
      <c r="D65" s="413"/>
      <c r="E65" s="349"/>
      <c r="F65" s="350"/>
    </row>
    <row r="66" spans="2:11">
      <c r="B66" s="346"/>
      <c r="C66" s="417"/>
      <c r="D66" s="412"/>
      <c r="E66" s="349"/>
      <c r="F66" s="350"/>
    </row>
    <row r="67" spans="2:11" ht="18.75">
      <c r="B67" s="419"/>
      <c r="C67" s="443" t="s">
        <v>64</v>
      </c>
      <c r="D67" s="434"/>
      <c r="E67" s="422"/>
      <c r="F67" s="423"/>
    </row>
    <row r="68" spans="2:11">
      <c r="B68" s="419"/>
      <c r="C68" s="444" t="s">
        <v>118</v>
      </c>
      <c r="D68" s="424" t="s">
        <v>106</v>
      </c>
      <c r="E68" s="422"/>
      <c r="F68" s="423"/>
    </row>
    <row r="69" spans="2:11">
      <c r="B69" s="419"/>
      <c r="C69" s="444" t="s">
        <v>107</v>
      </c>
      <c r="D69" s="427"/>
      <c r="E69" s="422"/>
      <c r="F69" s="423"/>
    </row>
    <row r="70" spans="2:11">
      <c r="B70" s="419"/>
      <c r="C70" s="444" t="s">
        <v>119</v>
      </c>
      <c r="D70" s="424">
        <v>262500</v>
      </c>
      <c r="E70" s="422"/>
      <c r="F70" s="423"/>
      <c r="H70" t="s">
        <v>106</v>
      </c>
    </row>
    <row r="71" spans="2:11">
      <c r="B71" s="419"/>
      <c r="C71" s="444"/>
      <c r="D71" s="433"/>
      <c r="E71" s="422"/>
      <c r="F71" s="423"/>
    </row>
    <row r="72" spans="2:11" ht="30">
      <c r="B72" s="419"/>
      <c r="C72" s="444" t="s">
        <v>223</v>
      </c>
      <c r="D72" s="426" t="s">
        <v>697</v>
      </c>
      <c r="E72" s="422"/>
      <c r="F72" s="423"/>
    </row>
    <row r="73" spans="2:11">
      <c r="B73" s="419"/>
      <c r="C73" s="444" t="s">
        <v>62</v>
      </c>
      <c r="D73" s="426" t="s">
        <v>13</v>
      </c>
      <c r="E73" s="422"/>
      <c r="F73" s="423"/>
      <c r="G73" s="494" t="s">
        <v>106</v>
      </c>
      <c r="H73" s="495"/>
      <c r="I73" s="496"/>
      <c r="J73" s="496"/>
      <c r="K73" s="496"/>
    </row>
    <row r="74" spans="2:11">
      <c r="B74" s="419"/>
      <c r="C74" s="444"/>
      <c r="D74" s="433"/>
      <c r="E74" s="422"/>
      <c r="F74" s="423"/>
    </row>
    <row r="75" spans="2:11">
      <c r="B75" s="419"/>
      <c r="C75" s="444" t="s">
        <v>61</v>
      </c>
      <c r="D75" s="427">
        <v>0.33300000000000002</v>
      </c>
      <c r="E75" s="422"/>
      <c r="F75" s="423"/>
    </row>
    <row r="76" spans="2:11">
      <c r="B76" s="419"/>
      <c r="C76" s="444"/>
      <c r="D76" s="434"/>
      <c r="E76" s="422"/>
      <c r="F76" s="423"/>
    </row>
    <row r="77" spans="2:11">
      <c r="B77" s="419"/>
      <c r="C77" s="446"/>
      <c r="D77" s="434"/>
      <c r="E77" s="422"/>
      <c r="F77" s="423"/>
    </row>
    <row r="78" spans="2:11" ht="15.75" thickBot="1">
      <c r="B78" s="429"/>
      <c r="C78" s="430"/>
      <c r="D78" s="435"/>
      <c r="E78" s="430"/>
      <c r="F78" s="432"/>
    </row>
    <row r="80" spans="2:11">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54">
      <formula1>$D$56:$D$58</formula1>
    </dataValidation>
    <dataValidation type="list" allowBlank="1" showInputMessage="1" showErrorMessage="1" sqref="D47">
      <formula1>$D$48:$D$51</formula1>
    </dataValidation>
    <dataValidation type="list" allowBlank="1" showInputMessage="1" showErrorMessage="1" sqref="D60">
      <formula1>$D$61:$D$64</formula1>
    </dataValidation>
    <dataValidation type="list" allowBlank="1" showInputMessage="1" showErrorMessage="1" sqref="D23">
      <formula1>$D$25:$D$39</formula1>
    </dataValidation>
  </dataValidations>
  <pageMargins left="0.7" right="0.7" top="0.75" bottom="0.75" header="0.3" footer="0.3"/>
  <pageSetup paperSize="9" scale="59" orientation="portrait" copies="2" r:id="rId1"/>
</worksheet>
</file>

<file path=xl/worksheets/sheet25.xml><?xml version="1.0" encoding="utf-8"?>
<worksheet xmlns="http://schemas.openxmlformats.org/spreadsheetml/2006/main" xmlns:r="http://schemas.openxmlformats.org/officeDocument/2006/relationships">
  <sheetPr>
    <pageSetUpPr fitToPage="1"/>
  </sheetPr>
  <dimension ref="B1:R105"/>
  <sheetViews>
    <sheetView topLeftCell="A74" zoomScale="75" zoomScaleNormal="75" workbookViewId="0">
      <selection activeCell="H80" sqref="H80"/>
    </sheetView>
  </sheetViews>
  <sheetFormatPr defaultRowHeight="15"/>
  <cols>
    <col min="1" max="2" width="3.7109375" customWidth="1"/>
    <col min="3" max="3" width="70.140625" customWidth="1"/>
    <col min="4" max="4" width="34.28515625" style="34" bestFit="1" customWidth="1"/>
    <col min="5" max="5" width="4.7109375" customWidth="1"/>
    <col min="6" max="7" width="3.7109375" customWidth="1"/>
    <col min="20" max="20" width="10.42578125" customWidth="1"/>
  </cols>
  <sheetData>
    <row r="1" spans="2:18" ht="18.75">
      <c r="B1" s="25" t="s">
        <v>60</v>
      </c>
      <c r="D1" s="26"/>
    </row>
    <row r="2" spans="2:18" ht="18.75">
      <c r="B2" s="25" t="s">
        <v>347</v>
      </c>
      <c r="D2" s="26"/>
    </row>
    <row r="3" spans="2:18" ht="18.75">
      <c r="B3" s="280" t="s">
        <v>662</v>
      </c>
      <c r="C3" s="33"/>
      <c r="D3" s="26"/>
    </row>
    <row r="4" spans="2:18" ht="19.5" thickBot="1">
      <c r="B4" s="25"/>
      <c r="C4" s="33"/>
      <c r="D4" s="26"/>
    </row>
    <row r="5" spans="2:18" ht="18.75">
      <c r="B5" s="356"/>
      <c r="C5" s="357" t="s">
        <v>105</v>
      </c>
      <c r="D5" s="358"/>
      <c r="E5" s="359"/>
      <c r="F5" s="360"/>
    </row>
    <row r="6" spans="2:18" ht="18" customHeight="1">
      <c r="B6" s="361"/>
      <c r="C6" s="555" t="s">
        <v>446</v>
      </c>
      <c r="D6" s="363"/>
      <c r="E6" s="364"/>
      <c r="F6" s="365"/>
    </row>
    <row r="7" spans="2:18" ht="18.75">
      <c r="B7" s="361"/>
      <c r="C7" s="554" t="s">
        <v>104</v>
      </c>
      <c r="D7" s="363"/>
      <c r="E7" s="364"/>
      <c r="F7" s="365"/>
    </row>
    <row r="8" spans="2:18" s="32" customFormat="1">
      <c r="B8" s="366"/>
      <c r="C8" s="367"/>
      <c r="D8" s="368"/>
      <c r="E8" s="369"/>
      <c r="F8" s="370"/>
    </row>
    <row r="9" spans="2:18" s="32" customFormat="1">
      <c r="B9" s="366"/>
      <c r="C9" s="367" t="s">
        <v>103</v>
      </c>
      <c r="D9" s="371"/>
      <c r="E9" s="369"/>
      <c r="F9" s="370"/>
    </row>
    <row r="10" spans="2:18" s="32" customFormat="1">
      <c r="B10" s="366"/>
      <c r="C10" s="367" t="s">
        <v>102</v>
      </c>
      <c r="D10" s="470" t="s">
        <v>456</v>
      </c>
      <c r="E10" s="369"/>
      <c r="F10" s="370"/>
      <c r="G10" s="493"/>
    </row>
    <row r="11" spans="2:18" s="32" customFormat="1">
      <c r="B11" s="366"/>
      <c r="C11" s="367" t="s">
        <v>109</v>
      </c>
      <c r="D11" s="389">
        <v>40644</v>
      </c>
      <c r="E11" s="369"/>
      <c r="F11" s="370"/>
      <c r="G11" s="493"/>
    </row>
    <row r="12" spans="2:18" s="32" customFormat="1">
      <c r="B12" s="366"/>
      <c r="C12" s="367" t="s">
        <v>101</v>
      </c>
      <c r="D12" s="389">
        <v>40816</v>
      </c>
      <c r="E12" s="369"/>
      <c r="F12" s="370"/>
      <c r="G12" s="65"/>
      <c r="H12"/>
      <c r="I12"/>
      <c r="J12"/>
      <c r="K12"/>
      <c r="L12"/>
      <c r="M12"/>
      <c r="N12"/>
      <c r="O12"/>
      <c r="P12"/>
      <c r="Q12"/>
      <c r="R12"/>
    </row>
    <row r="13" spans="2:18" s="32" customFormat="1">
      <c r="B13" s="366"/>
      <c r="C13" s="367"/>
      <c r="D13" s="381"/>
      <c r="E13" s="369"/>
      <c r="F13" s="370"/>
      <c r="G13" s="65"/>
      <c r="H13"/>
      <c r="I13"/>
      <c r="J13"/>
      <c r="K13"/>
      <c r="L13"/>
      <c r="M13"/>
      <c r="N13"/>
      <c r="O13"/>
      <c r="P13"/>
      <c r="Q13"/>
      <c r="R13"/>
    </row>
    <row r="14" spans="2:18">
      <c r="B14" s="361"/>
      <c r="C14" s="367" t="s">
        <v>100</v>
      </c>
      <c r="D14" s="383" t="s">
        <v>99</v>
      </c>
      <c r="E14" s="374" t="s">
        <v>96</v>
      </c>
      <c r="F14" s="365"/>
      <c r="G14" s="65"/>
      <c r="H14" s="504"/>
      <c r="I14" s="504"/>
      <c r="J14" s="504"/>
    </row>
    <row r="15" spans="2:18">
      <c r="B15" s="361"/>
      <c r="C15" s="364"/>
      <c r="D15" s="383" t="s">
        <v>98</v>
      </c>
      <c r="E15" s="374"/>
      <c r="F15" s="365"/>
      <c r="G15" s="65"/>
    </row>
    <row r="16" spans="2:18">
      <c r="B16" s="361"/>
      <c r="C16" s="364"/>
      <c r="D16" s="383" t="s">
        <v>97</v>
      </c>
      <c r="E16" s="375" t="s">
        <v>106</v>
      </c>
      <c r="F16" s="365"/>
      <c r="G16" s="65"/>
    </row>
    <row r="17" spans="2:7">
      <c r="B17" s="361"/>
      <c r="C17" s="364"/>
      <c r="D17" s="383" t="s">
        <v>45</v>
      </c>
      <c r="E17" s="374"/>
      <c r="F17" s="365"/>
      <c r="G17" s="65"/>
    </row>
    <row r="18" spans="2:7">
      <c r="B18" s="361"/>
      <c r="C18" s="364"/>
      <c r="D18" s="383" t="s">
        <v>95</v>
      </c>
      <c r="E18" s="374"/>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67" t="s">
        <v>94</v>
      </c>
      <c r="D23" s="382" t="s">
        <v>92</v>
      </c>
      <c r="E23" s="364"/>
      <c r="F23" s="365"/>
      <c r="G23" s="65"/>
    </row>
    <row r="24" spans="2:7" hidden="1">
      <c r="B24" s="361"/>
      <c r="C24" s="367"/>
      <c r="D24" s="382"/>
      <c r="E24" s="364"/>
      <c r="F24" s="365"/>
      <c r="G24" s="65"/>
    </row>
    <row r="25" spans="2:7" hidden="1">
      <c r="B25" s="361"/>
      <c r="C25" s="367"/>
      <c r="D25" s="371" t="s">
        <v>93</v>
      </c>
      <c r="E25" s="364"/>
      <c r="F25" s="365"/>
      <c r="G25" s="65"/>
    </row>
    <row r="26" spans="2:7" hidden="1">
      <c r="B26" s="361"/>
      <c r="C26" s="367"/>
      <c r="D26" s="371" t="s">
        <v>58</v>
      </c>
      <c r="E26" s="364"/>
      <c r="F26" s="365"/>
      <c r="G26" s="65"/>
    </row>
    <row r="27" spans="2:7" hidden="1">
      <c r="B27" s="361"/>
      <c r="C27" s="367"/>
      <c r="D27" s="371" t="s">
        <v>92</v>
      </c>
      <c r="E27" s="364"/>
      <c r="F27" s="365"/>
      <c r="G27" s="65"/>
    </row>
    <row r="28" spans="2:7" hidden="1">
      <c r="B28" s="361"/>
      <c r="C28" s="367"/>
      <c r="D28" s="371" t="s">
        <v>91</v>
      </c>
      <c r="E28" s="364"/>
      <c r="F28" s="365"/>
      <c r="G28" s="65"/>
    </row>
    <row r="29" spans="2:7" hidden="1">
      <c r="B29" s="361"/>
      <c r="C29" s="367"/>
      <c r="D29" s="371" t="s">
        <v>90</v>
      </c>
      <c r="E29" s="364"/>
      <c r="F29" s="365"/>
      <c r="G29" s="65"/>
    </row>
    <row r="30" spans="2:7" hidden="1">
      <c r="B30" s="361"/>
      <c r="C30" s="367"/>
      <c r="D30" s="371" t="s">
        <v>89</v>
      </c>
      <c r="E30" s="364"/>
      <c r="F30" s="365"/>
      <c r="G30" s="65"/>
    </row>
    <row r="31" spans="2:7" hidden="1">
      <c r="B31" s="361"/>
      <c r="C31" s="367"/>
      <c r="D31" s="371" t="s">
        <v>88</v>
      </c>
      <c r="E31" s="364"/>
      <c r="F31" s="365"/>
      <c r="G31" s="65"/>
    </row>
    <row r="32" spans="2:7" hidden="1">
      <c r="B32" s="361"/>
      <c r="C32" s="367"/>
      <c r="D32" s="371" t="s">
        <v>87</v>
      </c>
      <c r="E32" s="364"/>
      <c r="F32" s="365"/>
      <c r="G32" s="65"/>
    </row>
    <row r="33" spans="2:7" hidden="1">
      <c r="B33" s="361"/>
      <c r="C33" s="367"/>
      <c r="D33" s="371" t="s">
        <v>86</v>
      </c>
      <c r="E33" s="364"/>
      <c r="F33" s="365"/>
      <c r="G33" s="65"/>
    </row>
    <row r="34" spans="2:7" hidden="1">
      <c r="B34" s="361"/>
      <c r="C34" s="367"/>
      <c r="D34" s="371" t="s">
        <v>85</v>
      </c>
      <c r="E34" s="364"/>
      <c r="F34" s="365"/>
      <c r="G34" s="65"/>
    </row>
    <row r="35" spans="2:7" hidden="1">
      <c r="B35" s="361"/>
      <c r="C35" s="367"/>
      <c r="D35" s="371" t="s">
        <v>84</v>
      </c>
      <c r="E35" s="364"/>
      <c r="F35" s="365"/>
      <c r="G35" s="65"/>
    </row>
    <row r="36" spans="2:7" hidden="1">
      <c r="B36" s="361"/>
      <c r="C36" s="367"/>
      <c r="D36" s="371" t="s">
        <v>83</v>
      </c>
      <c r="E36" s="364"/>
      <c r="F36" s="365"/>
      <c r="G36" s="65"/>
    </row>
    <row r="37" spans="2:7" hidden="1">
      <c r="B37" s="361"/>
      <c r="C37" s="367"/>
      <c r="D37" s="371" t="s">
        <v>82</v>
      </c>
      <c r="E37" s="364"/>
      <c r="F37" s="365"/>
      <c r="G37" s="65"/>
    </row>
    <row r="38" spans="2:7" hidden="1">
      <c r="B38" s="361"/>
      <c r="C38" s="367"/>
      <c r="D38" s="371" t="s">
        <v>81</v>
      </c>
      <c r="E38" s="364"/>
      <c r="F38" s="365"/>
      <c r="G38" s="65"/>
    </row>
    <row r="39" spans="2:7" hidden="1">
      <c r="B39" s="361"/>
      <c r="C39" s="367"/>
      <c r="D39" s="378" t="s">
        <v>66</v>
      </c>
      <c r="E39" s="364"/>
      <c r="F39" s="365"/>
      <c r="G39" s="65"/>
    </row>
    <row r="40" spans="2:7">
      <c r="B40" s="361"/>
      <c r="C40" s="367"/>
      <c r="D40" s="380"/>
      <c r="E40" s="364"/>
      <c r="F40" s="365"/>
      <c r="G40" s="65"/>
    </row>
    <row r="41" spans="2:7">
      <c r="B41" s="361"/>
      <c r="C41" s="376" t="s">
        <v>65</v>
      </c>
      <c r="D41" s="382"/>
      <c r="E41" s="364"/>
      <c r="F41" s="365"/>
      <c r="G41" s="65"/>
    </row>
    <row r="42" spans="2:7">
      <c r="B42" s="361"/>
      <c r="C42" s="377"/>
      <c r="D42" s="380"/>
      <c r="E42" s="364"/>
      <c r="F42" s="365"/>
      <c r="G42" s="65"/>
    </row>
    <row r="43" spans="2:7" ht="18.75">
      <c r="B43" s="392"/>
      <c r="C43" s="393" t="s">
        <v>80</v>
      </c>
      <c r="D43" s="404"/>
      <c r="E43" s="395"/>
      <c r="F43" s="396"/>
      <c r="G43" s="65"/>
    </row>
    <row r="44" spans="2:7">
      <c r="B44" s="392"/>
      <c r="C44" s="391" t="s">
        <v>79</v>
      </c>
      <c r="D44" s="399" t="s">
        <v>693</v>
      </c>
      <c r="E44" s="395"/>
      <c r="F44" s="396"/>
      <c r="G44" s="65"/>
    </row>
    <row r="45" spans="2:7">
      <c r="B45" s="392"/>
      <c r="C45" s="391" t="s">
        <v>78</v>
      </c>
      <c r="D45" s="399" t="s">
        <v>693</v>
      </c>
      <c r="E45" s="395"/>
      <c r="F45" s="396"/>
      <c r="G45" s="65"/>
    </row>
    <row r="46" spans="2:7" ht="30">
      <c r="B46" s="392"/>
      <c r="C46" s="398" t="s">
        <v>77</v>
      </c>
      <c r="D46" s="399" t="s">
        <v>693</v>
      </c>
      <c r="E46" s="395"/>
      <c r="F46" s="396"/>
      <c r="G46" s="65"/>
    </row>
    <row r="47" spans="2:7" ht="30">
      <c r="B47" s="392"/>
      <c r="C47" s="400" t="s">
        <v>76</v>
      </c>
      <c r="D47" s="399" t="s">
        <v>209</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3"/>
      <c r="D52" s="404"/>
      <c r="E52" s="395"/>
      <c r="F52" s="396"/>
      <c r="G52" s="65"/>
    </row>
    <row r="53" spans="2:7" ht="18.75">
      <c r="B53" s="346"/>
      <c r="C53" s="347" t="s">
        <v>75</v>
      </c>
      <c r="D53" s="412"/>
      <c r="E53" s="349"/>
      <c r="F53" s="350"/>
      <c r="G53" s="65"/>
    </row>
    <row r="54" spans="2:7">
      <c r="B54" s="346"/>
      <c r="C54" s="351"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351"/>
      <c r="D59" s="412"/>
      <c r="E59" s="349"/>
      <c r="F59" s="350"/>
    </row>
    <row r="60" spans="2:7">
      <c r="B60" s="346"/>
      <c r="C60" s="351" t="s">
        <v>70</v>
      </c>
      <c r="D60" s="413" t="s">
        <v>67</v>
      </c>
      <c r="E60" s="349"/>
      <c r="F60" s="350"/>
    </row>
    <row r="61" spans="2:7" hidden="1">
      <c r="B61" s="346"/>
      <c r="C61" s="351"/>
      <c r="D61" s="415" t="s">
        <v>69</v>
      </c>
      <c r="E61" s="411"/>
      <c r="F61" s="350"/>
    </row>
    <row r="62" spans="2:7" hidden="1">
      <c r="B62" s="346"/>
      <c r="C62" s="351"/>
      <c r="D62" s="415" t="s">
        <v>68</v>
      </c>
      <c r="E62" s="411"/>
      <c r="F62" s="350"/>
    </row>
    <row r="63" spans="2:7" hidden="1">
      <c r="B63" s="346"/>
      <c r="C63" s="351"/>
      <c r="D63" s="415" t="s">
        <v>67</v>
      </c>
      <c r="E63" s="411"/>
      <c r="F63" s="350"/>
    </row>
    <row r="64" spans="2:7" hidden="1">
      <c r="B64" s="346"/>
      <c r="C64" s="351"/>
      <c r="D64" s="415" t="s">
        <v>66</v>
      </c>
      <c r="E64" s="411"/>
      <c r="F64" s="350"/>
    </row>
    <row r="65" spans="2:6">
      <c r="B65" s="346"/>
      <c r="C65" s="354" t="s">
        <v>65</v>
      </c>
      <c r="D65" s="413"/>
      <c r="E65" s="349"/>
      <c r="F65" s="350"/>
    </row>
    <row r="66" spans="2:6">
      <c r="B66" s="346"/>
      <c r="C66" s="351"/>
      <c r="D66" s="412"/>
      <c r="E66" s="349"/>
      <c r="F66" s="350"/>
    </row>
    <row r="67" spans="2:6" ht="18.75">
      <c r="B67" s="419"/>
      <c r="C67" s="420" t="s">
        <v>64</v>
      </c>
      <c r="D67" s="434"/>
      <c r="E67" s="422"/>
      <c r="F67" s="423"/>
    </row>
    <row r="68" spans="2:6">
      <c r="B68" s="419"/>
      <c r="C68" s="418" t="s">
        <v>118</v>
      </c>
      <c r="D68" s="424" t="s">
        <v>106</v>
      </c>
      <c r="E68" s="422"/>
      <c r="F68" s="423"/>
    </row>
    <row r="69" spans="2:6">
      <c r="B69" s="419"/>
      <c r="C69" s="418" t="s">
        <v>107</v>
      </c>
      <c r="D69" s="427"/>
      <c r="E69" s="422"/>
      <c r="F69" s="423"/>
    </row>
    <row r="70" spans="2:6">
      <c r="B70" s="419"/>
      <c r="C70" s="418" t="s">
        <v>119</v>
      </c>
      <c r="D70" s="424">
        <v>24000</v>
      </c>
      <c r="E70" s="422"/>
      <c r="F70" s="423"/>
    </row>
    <row r="71" spans="2:6">
      <c r="B71" s="419"/>
      <c r="C71" s="418"/>
      <c r="D71" s="433"/>
      <c r="E71" s="422"/>
      <c r="F71" s="423"/>
    </row>
    <row r="72" spans="2:6">
      <c r="B72" s="419"/>
      <c r="C72" s="418" t="s">
        <v>223</v>
      </c>
      <c r="D72" s="438" t="s">
        <v>5</v>
      </c>
      <c r="E72" s="422"/>
      <c r="F72" s="423"/>
    </row>
    <row r="73" spans="2:6">
      <c r="B73" s="419"/>
      <c r="C73" s="418" t="s">
        <v>62</v>
      </c>
      <c r="D73" s="426" t="s">
        <v>5</v>
      </c>
      <c r="E73" s="422"/>
      <c r="F73" s="423"/>
    </row>
    <row r="74" spans="2:6">
      <c r="B74" s="419"/>
      <c r="C74" s="418"/>
      <c r="D74" s="433"/>
      <c r="E74" s="422"/>
      <c r="F74" s="423"/>
    </row>
    <row r="75" spans="2:6">
      <c r="B75" s="419"/>
      <c r="C75" s="418" t="s">
        <v>61</v>
      </c>
      <c r="D75" s="427">
        <v>0.5</v>
      </c>
      <c r="E75" s="422"/>
      <c r="F75" s="423"/>
    </row>
    <row r="76" spans="2:6" ht="30">
      <c r="B76" s="419"/>
      <c r="C76" s="418"/>
      <c r="D76" s="433" t="s">
        <v>698</v>
      </c>
      <c r="E76" s="422"/>
      <c r="F76" s="423"/>
    </row>
    <row r="77" spans="2:6">
      <c r="B77" s="419"/>
      <c r="C77" s="428"/>
      <c r="D77" s="421"/>
      <c r="E77" s="422"/>
      <c r="F77" s="423"/>
    </row>
    <row r="78" spans="2:6" ht="15.75" thickBot="1">
      <c r="B78" s="429"/>
      <c r="C78" s="430"/>
      <c r="D78" s="431"/>
      <c r="E78" s="430"/>
      <c r="F78" s="432"/>
    </row>
    <row r="80" spans="2:6">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23">
      <formula1>$D$25:$D$39</formula1>
    </dataValidation>
    <dataValidation type="list" allowBlank="1" showInputMessage="1" showErrorMessage="1" sqref="D60">
      <formula1>$D$61:$D$64</formula1>
    </dataValidation>
    <dataValidation type="list" allowBlank="1" showInputMessage="1" showErrorMessage="1" sqref="D47">
      <formula1>$D$48:$D$51</formula1>
    </dataValidation>
    <dataValidation type="list" allowBlank="1" showInputMessage="1" showErrorMessage="1" sqref="D54">
      <formula1>$D$56:$D$58</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72" orientation="portrait" copies="2" r:id="rId1"/>
</worksheet>
</file>

<file path=xl/worksheets/sheet26.xml><?xml version="1.0" encoding="utf-8"?>
<worksheet xmlns="http://schemas.openxmlformats.org/spreadsheetml/2006/main" xmlns:r="http://schemas.openxmlformats.org/officeDocument/2006/relationships">
  <sheetPr>
    <pageSetUpPr fitToPage="1"/>
  </sheetPr>
  <dimension ref="B1:AB105"/>
  <sheetViews>
    <sheetView topLeftCell="A9" zoomScale="75" zoomScaleNormal="75" workbookViewId="0">
      <selection activeCell="B1" sqref="B1:F78"/>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 min="8" max="8" width="10.140625" customWidth="1"/>
    <col min="9" max="9" width="9.85546875" bestFit="1" customWidth="1"/>
    <col min="10" max="10" width="10.42578125" customWidth="1"/>
    <col min="20" max="20" width="10.42578125" customWidth="1"/>
  </cols>
  <sheetData>
    <row r="1" spans="2:28" ht="18.75">
      <c r="B1" s="25" t="s">
        <v>60</v>
      </c>
    </row>
    <row r="2" spans="2:28" ht="18.75">
      <c r="B2" s="25" t="s">
        <v>347</v>
      </c>
    </row>
    <row r="3" spans="2:28" ht="18.75">
      <c r="B3" s="280" t="s">
        <v>469</v>
      </c>
    </row>
    <row r="4" spans="2:28" ht="19.5" thickBot="1">
      <c r="B4" s="25"/>
      <c r="C4" s="33"/>
    </row>
    <row r="5" spans="2:28" ht="18.75">
      <c r="B5" s="356"/>
      <c r="C5" s="386" t="s">
        <v>105</v>
      </c>
      <c r="D5" s="379"/>
      <c r="E5" s="359"/>
      <c r="F5" s="360"/>
    </row>
    <row r="6" spans="2:28" ht="18" customHeight="1">
      <c r="B6" s="361"/>
      <c r="C6" s="489" t="s">
        <v>470</v>
      </c>
      <c r="D6" s="380"/>
      <c r="E6" s="364"/>
      <c r="F6" s="365"/>
    </row>
    <row r="7" spans="2:28" ht="18.75">
      <c r="B7" s="361"/>
      <c r="C7" s="475" t="s">
        <v>104</v>
      </c>
      <c r="D7" s="380"/>
      <c r="E7" s="364"/>
      <c r="F7" s="365"/>
    </row>
    <row r="8" spans="2:28" s="32" customFormat="1">
      <c r="B8" s="366"/>
      <c r="C8" s="388"/>
      <c r="D8" s="381"/>
      <c r="E8" s="369"/>
      <c r="F8" s="370"/>
    </row>
    <row r="9" spans="2:28" s="32" customFormat="1">
      <c r="B9" s="366"/>
      <c r="C9" s="388" t="s">
        <v>103</v>
      </c>
      <c r="D9" s="382"/>
      <c r="E9" s="369"/>
      <c r="F9" s="370"/>
    </row>
    <row r="10" spans="2:28" s="32" customFormat="1">
      <c r="B10" s="366"/>
      <c r="C10" s="388" t="s">
        <v>102</v>
      </c>
      <c r="D10" s="453" t="s">
        <v>457</v>
      </c>
      <c r="E10" s="369"/>
      <c r="F10" s="370"/>
      <c r="G10" s="493"/>
    </row>
    <row r="11" spans="2:28" s="32" customFormat="1">
      <c r="B11" s="366"/>
      <c r="C11" s="388" t="s">
        <v>109</v>
      </c>
      <c r="D11" s="389">
        <v>40644</v>
      </c>
      <c r="E11" s="369"/>
      <c r="F11" s="370"/>
      <c r="G11" s="493"/>
    </row>
    <row r="12" spans="2:28" s="32" customFormat="1">
      <c r="B12" s="366"/>
      <c r="C12" s="388" t="s">
        <v>101</v>
      </c>
      <c r="D12" s="389">
        <v>40816</v>
      </c>
      <c r="E12" s="369"/>
      <c r="F12" s="370"/>
      <c r="G12" s="65"/>
      <c r="H12"/>
      <c r="I12"/>
      <c r="J12"/>
      <c r="K12"/>
      <c r="L12"/>
      <c r="M12"/>
      <c r="N12"/>
      <c r="O12"/>
      <c r="P12"/>
      <c r="Q12"/>
      <c r="R12"/>
      <c r="S12"/>
      <c r="T12"/>
      <c r="U12"/>
      <c r="V12"/>
      <c r="W12"/>
      <c r="X12"/>
      <c r="Y12"/>
      <c r="Z12"/>
      <c r="AA12"/>
      <c r="AB12"/>
    </row>
    <row r="13" spans="2:28" s="32" customFormat="1">
      <c r="B13" s="366"/>
      <c r="C13" s="388"/>
      <c r="D13" s="381"/>
      <c r="E13" s="369"/>
      <c r="F13" s="370"/>
      <c r="G13" s="65"/>
      <c r="H13"/>
      <c r="I13"/>
      <c r="J13"/>
      <c r="K13"/>
      <c r="L13"/>
      <c r="M13"/>
      <c r="N13"/>
      <c r="O13"/>
      <c r="P13"/>
      <c r="Q13"/>
      <c r="R13"/>
      <c r="S13"/>
      <c r="T13"/>
      <c r="U13"/>
      <c r="V13"/>
      <c r="W13"/>
      <c r="X13"/>
      <c r="Y13"/>
      <c r="Z13"/>
      <c r="AA13"/>
      <c r="AB13"/>
    </row>
    <row r="14" spans="2:28">
      <c r="B14" s="361"/>
      <c r="C14" s="388" t="s">
        <v>100</v>
      </c>
      <c r="D14" s="383" t="s">
        <v>99</v>
      </c>
      <c r="E14" s="374"/>
      <c r="F14" s="365"/>
      <c r="G14" s="65"/>
      <c r="I14" s="517"/>
      <c r="J14" s="517"/>
      <c r="K14" s="517"/>
    </row>
    <row r="15" spans="2:28">
      <c r="B15" s="361"/>
      <c r="C15" s="364"/>
      <c r="D15" s="383" t="s">
        <v>98</v>
      </c>
      <c r="E15" s="374"/>
      <c r="F15" s="365"/>
      <c r="G15" s="65"/>
    </row>
    <row r="16" spans="2:28">
      <c r="B16" s="361"/>
      <c r="C16" s="364"/>
      <c r="D16" s="383" t="s">
        <v>97</v>
      </c>
      <c r="E16" s="375" t="s">
        <v>106</v>
      </c>
      <c r="F16" s="365"/>
      <c r="G16" s="65"/>
    </row>
    <row r="17" spans="2:7">
      <c r="B17" s="361"/>
      <c r="C17" s="364"/>
      <c r="D17" s="383" t="s">
        <v>45</v>
      </c>
      <c r="E17" s="374"/>
      <c r="F17" s="365"/>
      <c r="G17" s="65"/>
    </row>
    <row r="18" spans="2:7">
      <c r="B18" s="361"/>
      <c r="C18" s="364"/>
      <c r="D18" s="383" t="s">
        <v>95</v>
      </c>
      <c r="E18" s="374" t="s">
        <v>96</v>
      </c>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92</v>
      </c>
      <c r="E23" s="364"/>
      <c r="F23" s="365"/>
      <c r="G23" s="65"/>
    </row>
    <row r="24" spans="2:7" hidden="1">
      <c r="B24" s="361"/>
      <c r="C24" s="388"/>
      <c r="D24" s="382"/>
      <c r="E24" s="364"/>
      <c r="F24" s="365"/>
      <c r="G24" s="65"/>
    </row>
    <row r="25" spans="2:7" hidden="1">
      <c r="B25" s="361"/>
      <c r="C25" s="388"/>
      <c r="D25" s="371" t="s">
        <v>93</v>
      </c>
      <c r="E25" s="364"/>
      <c r="F25" s="365"/>
      <c r="G25" s="65"/>
    </row>
    <row r="26" spans="2:7" hidden="1">
      <c r="B26" s="361"/>
      <c r="C26" s="388"/>
      <c r="D26" s="371" t="s">
        <v>58</v>
      </c>
      <c r="E26" s="364"/>
      <c r="F26" s="365"/>
      <c r="G26" s="65"/>
    </row>
    <row r="27" spans="2:7" hidden="1">
      <c r="B27" s="361"/>
      <c r="C27" s="388"/>
      <c r="D27" s="371" t="s">
        <v>92</v>
      </c>
      <c r="E27" s="364"/>
      <c r="F27" s="365"/>
      <c r="G27" s="65"/>
    </row>
    <row r="28" spans="2:7" hidden="1">
      <c r="B28" s="361"/>
      <c r="C28" s="388"/>
      <c r="D28" s="371" t="s">
        <v>91</v>
      </c>
      <c r="E28" s="364"/>
      <c r="F28" s="365"/>
      <c r="G28" s="65"/>
    </row>
    <row r="29" spans="2:7" hidden="1">
      <c r="B29" s="361"/>
      <c r="C29" s="388"/>
      <c r="D29" s="371" t="s">
        <v>90</v>
      </c>
      <c r="E29" s="364"/>
      <c r="F29" s="365"/>
      <c r="G29" s="65"/>
    </row>
    <row r="30" spans="2:7" hidden="1">
      <c r="B30" s="361"/>
      <c r="C30" s="388"/>
      <c r="D30" s="371" t="s">
        <v>89</v>
      </c>
      <c r="E30" s="364"/>
      <c r="F30" s="365"/>
      <c r="G30" s="65"/>
    </row>
    <row r="31" spans="2:7" hidden="1">
      <c r="B31" s="361"/>
      <c r="C31" s="388"/>
      <c r="D31" s="371" t="s">
        <v>88</v>
      </c>
      <c r="E31" s="364"/>
      <c r="F31" s="365"/>
      <c r="G31" s="65"/>
    </row>
    <row r="32" spans="2:7" hidden="1">
      <c r="B32" s="361"/>
      <c r="C32" s="388"/>
      <c r="D32" s="371" t="s">
        <v>87</v>
      </c>
      <c r="E32" s="364"/>
      <c r="F32" s="365"/>
      <c r="G32" s="65"/>
    </row>
    <row r="33" spans="2:7" hidden="1">
      <c r="B33" s="361"/>
      <c r="C33" s="388"/>
      <c r="D33" s="371" t="s">
        <v>86</v>
      </c>
      <c r="E33" s="364"/>
      <c r="F33" s="365"/>
      <c r="G33" s="65"/>
    </row>
    <row r="34" spans="2:7" hidden="1">
      <c r="B34" s="361"/>
      <c r="C34" s="388"/>
      <c r="D34" s="371" t="s">
        <v>85</v>
      </c>
      <c r="E34" s="364"/>
      <c r="F34" s="365"/>
      <c r="G34" s="65"/>
    </row>
    <row r="35" spans="2:7" hidden="1">
      <c r="B35" s="361"/>
      <c r="C35" s="388"/>
      <c r="D35" s="371" t="s">
        <v>84</v>
      </c>
      <c r="E35" s="364"/>
      <c r="F35" s="365"/>
      <c r="G35" s="65"/>
    </row>
    <row r="36" spans="2:7" hidden="1">
      <c r="B36" s="361"/>
      <c r="C36" s="388"/>
      <c r="D36" s="371" t="s">
        <v>83</v>
      </c>
      <c r="E36" s="364"/>
      <c r="F36" s="365"/>
      <c r="G36" s="65"/>
    </row>
    <row r="37" spans="2:7" hidden="1">
      <c r="B37" s="361"/>
      <c r="C37" s="388"/>
      <c r="D37" s="371" t="s">
        <v>82</v>
      </c>
      <c r="E37" s="364"/>
      <c r="F37" s="365"/>
      <c r="G37" s="65"/>
    </row>
    <row r="38" spans="2:7" hidden="1">
      <c r="B38" s="361"/>
      <c r="C38" s="388"/>
      <c r="D38" s="371" t="s">
        <v>81</v>
      </c>
      <c r="E38" s="364"/>
      <c r="F38" s="365"/>
      <c r="G38" s="65"/>
    </row>
    <row r="39" spans="2:7" hidden="1">
      <c r="B39" s="361"/>
      <c r="C39" s="388"/>
      <c r="D39" s="378" t="s">
        <v>66</v>
      </c>
      <c r="E39" s="364"/>
      <c r="F39" s="365"/>
      <c r="G39" s="65"/>
    </row>
    <row r="40" spans="2:7">
      <c r="B40" s="361"/>
      <c r="C40" s="388"/>
      <c r="D40" s="380"/>
      <c r="E40" s="364"/>
      <c r="F40" s="365"/>
      <c r="G40" s="65"/>
    </row>
    <row r="41" spans="2:7">
      <c r="B41" s="361"/>
      <c r="C41" s="376" t="s">
        <v>65</v>
      </c>
      <c r="D41" s="382"/>
      <c r="E41" s="364"/>
      <c r="F41" s="365"/>
      <c r="G41" s="65"/>
    </row>
    <row r="42" spans="2:7">
      <c r="B42" s="361"/>
      <c r="C42" s="377"/>
      <c r="D42" s="380"/>
      <c r="E42" s="364"/>
      <c r="F42" s="365"/>
      <c r="G42" s="65"/>
    </row>
    <row r="43" spans="2:7" ht="18.75">
      <c r="B43" s="392"/>
      <c r="C43" s="405" t="s">
        <v>80</v>
      </c>
      <c r="D43" s="404"/>
      <c r="E43" s="395"/>
      <c r="F43" s="396"/>
      <c r="G43" s="65"/>
    </row>
    <row r="44" spans="2:7">
      <c r="B44" s="392"/>
      <c r="C44" s="406" t="s">
        <v>79</v>
      </c>
      <c r="D44" s="399" t="s">
        <v>693</v>
      </c>
      <c r="E44" s="395"/>
      <c r="F44" s="396"/>
      <c r="G44" s="65"/>
    </row>
    <row r="45" spans="2:7">
      <c r="B45" s="392"/>
      <c r="C45" s="406" t="s">
        <v>78</v>
      </c>
      <c r="D45" s="399" t="s">
        <v>693</v>
      </c>
      <c r="E45" s="395"/>
      <c r="F45" s="396"/>
      <c r="G45" s="65"/>
    </row>
    <row r="46" spans="2:7" ht="30">
      <c r="B46" s="392"/>
      <c r="C46" s="407" t="s">
        <v>77</v>
      </c>
      <c r="D46" s="399" t="s">
        <v>693</v>
      </c>
      <c r="E46" s="395"/>
      <c r="F46" s="396"/>
      <c r="G46" s="65"/>
    </row>
    <row r="47" spans="2:7" ht="30">
      <c r="B47" s="392"/>
      <c r="C47" s="400" t="s">
        <v>76</v>
      </c>
      <c r="D47" s="399" t="s">
        <v>278</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67</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28">
      <c r="B65" s="346"/>
      <c r="C65" s="354" t="s">
        <v>65</v>
      </c>
      <c r="D65" s="413"/>
      <c r="E65" s="349"/>
      <c r="F65" s="350"/>
    </row>
    <row r="66" spans="2:28">
      <c r="B66" s="346"/>
      <c r="C66" s="417"/>
      <c r="D66" s="412"/>
      <c r="E66" s="349"/>
      <c r="F66" s="350"/>
    </row>
    <row r="67" spans="2:28" ht="18.75">
      <c r="B67" s="419"/>
      <c r="C67" s="443" t="s">
        <v>64</v>
      </c>
      <c r="D67" s="434"/>
      <c r="E67" s="422"/>
      <c r="F67" s="423"/>
    </row>
    <row r="68" spans="2:28">
      <c r="B68" s="419"/>
      <c r="C68" s="444" t="s">
        <v>118</v>
      </c>
      <c r="D68" s="424" t="s">
        <v>106</v>
      </c>
      <c r="E68" s="422"/>
      <c r="F68" s="423"/>
      <c r="I68" s="145"/>
    </row>
    <row r="69" spans="2:28">
      <c r="B69" s="419"/>
      <c r="C69" s="444" t="s">
        <v>107</v>
      </c>
      <c r="D69" s="427"/>
      <c r="E69" s="422"/>
      <c r="F69" s="423"/>
      <c r="I69" s="145"/>
    </row>
    <row r="70" spans="2:28">
      <c r="B70" s="419"/>
      <c r="C70" s="444" t="s">
        <v>119</v>
      </c>
      <c r="D70" s="424">
        <v>9400000</v>
      </c>
      <c r="E70" s="422"/>
      <c r="F70" s="423"/>
    </row>
    <row r="71" spans="2:28">
      <c r="B71" s="419"/>
      <c r="C71" s="444"/>
      <c r="D71" s="433"/>
      <c r="E71" s="422"/>
      <c r="F71" s="423"/>
    </row>
    <row r="72" spans="2:28" ht="30">
      <c r="B72" s="419"/>
      <c r="C72" s="444" t="s">
        <v>223</v>
      </c>
      <c r="D72" s="426" t="s">
        <v>701</v>
      </c>
      <c r="E72" s="422"/>
      <c r="F72" s="423"/>
      <c r="H72" t="s">
        <v>458</v>
      </c>
      <c r="I72">
        <v>2018</v>
      </c>
      <c r="J72">
        <v>2019</v>
      </c>
      <c r="K72">
        <v>2020</v>
      </c>
      <c r="L72">
        <v>2021</v>
      </c>
      <c r="M72">
        <v>2022</v>
      </c>
      <c r="N72">
        <v>2023</v>
      </c>
      <c r="O72">
        <v>2024</v>
      </c>
      <c r="P72">
        <v>2025</v>
      </c>
      <c r="Q72">
        <v>2026</v>
      </c>
      <c r="R72">
        <v>2027</v>
      </c>
      <c r="S72">
        <v>2028</v>
      </c>
      <c r="T72">
        <v>2029</v>
      </c>
      <c r="U72">
        <v>2030</v>
      </c>
      <c r="V72">
        <v>2031</v>
      </c>
      <c r="W72">
        <v>2032</v>
      </c>
      <c r="X72">
        <v>2033</v>
      </c>
      <c r="Y72">
        <v>2034</v>
      </c>
      <c r="Z72">
        <v>2035</v>
      </c>
      <c r="AA72">
        <v>2036</v>
      </c>
      <c r="AB72">
        <v>2037</v>
      </c>
    </row>
    <row r="73" spans="2:28" ht="30">
      <c r="B73" s="419"/>
      <c r="C73" s="444" t="s">
        <v>62</v>
      </c>
      <c r="D73" s="426" t="s">
        <v>700</v>
      </c>
      <c r="E73" s="422"/>
      <c r="F73" s="423"/>
      <c r="H73">
        <f>I73+J73+K73+L73+M73+N73+O73+P73+Q73+R73+S73+T73+U73+V73+W73+X73+Y73+Z73+AA73+AB73</f>
        <v>9400000</v>
      </c>
      <c r="I73">
        <v>470000</v>
      </c>
      <c r="J73">
        <v>470000</v>
      </c>
      <c r="K73">
        <v>470000</v>
      </c>
      <c r="L73">
        <v>470000</v>
      </c>
      <c r="M73">
        <v>470000</v>
      </c>
      <c r="N73">
        <v>470000</v>
      </c>
      <c r="O73">
        <v>470000</v>
      </c>
      <c r="P73">
        <v>470000</v>
      </c>
      <c r="Q73">
        <v>470000</v>
      </c>
      <c r="R73">
        <v>470000</v>
      </c>
      <c r="S73">
        <v>470000</v>
      </c>
      <c r="T73">
        <v>470000</v>
      </c>
      <c r="U73">
        <v>470000</v>
      </c>
      <c r="V73">
        <v>470000</v>
      </c>
      <c r="W73">
        <v>470000</v>
      </c>
      <c r="X73">
        <v>470000</v>
      </c>
      <c r="Y73">
        <v>470000</v>
      </c>
      <c r="Z73">
        <v>470000</v>
      </c>
      <c r="AA73">
        <v>470000</v>
      </c>
      <c r="AB73">
        <v>470000</v>
      </c>
    </row>
    <row r="74" spans="2:28">
      <c r="B74" s="419"/>
      <c r="C74" s="444"/>
      <c r="D74" s="433"/>
      <c r="E74" s="422"/>
      <c r="F74" s="423"/>
    </row>
    <row r="75" spans="2:28">
      <c r="B75" s="419"/>
      <c r="C75" s="444" t="s">
        <v>61</v>
      </c>
      <c r="D75" s="427">
        <v>0.5</v>
      </c>
      <c r="E75" s="422"/>
      <c r="F75" s="423"/>
    </row>
    <row r="76" spans="2:28">
      <c r="B76" s="419"/>
      <c r="C76" s="444"/>
      <c r="D76" s="434" t="s">
        <v>699</v>
      </c>
      <c r="E76" s="422"/>
      <c r="F76" s="423"/>
    </row>
    <row r="77" spans="2:28">
      <c r="B77" s="419"/>
      <c r="C77" s="446"/>
      <c r="D77" s="434"/>
      <c r="E77" s="422"/>
      <c r="F77" s="423"/>
    </row>
    <row r="78" spans="2:28" ht="15.75" thickBot="1">
      <c r="B78" s="429"/>
      <c r="C78" s="430"/>
      <c r="D78" s="435"/>
      <c r="E78" s="430"/>
      <c r="F78" s="432"/>
    </row>
    <row r="80" spans="2:28">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54">
      <formula1>$D$56:$D$58</formula1>
    </dataValidation>
    <dataValidation type="list" allowBlank="1" showInputMessage="1" showErrorMessage="1" sqref="D47">
      <formula1>$D$48:$D$51</formula1>
    </dataValidation>
    <dataValidation type="list" allowBlank="1" showInputMessage="1" showErrorMessage="1" sqref="D60">
      <formula1>$D$61:$D$64</formula1>
    </dataValidation>
    <dataValidation type="list" allowBlank="1" showInputMessage="1" showErrorMessage="1" sqref="D23">
      <formula1>$D$25:$D$39</formula1>
    </dataValidation>
  </dataValidations>
  <pageMargins left="0.7" right="0.7" top="0.75" bottom="0.75" header="0.3" footer="0.3"/>
  <pageSetup paperSize="9" scale="28" orientation="portrait" copies="2" r:id="rId1"/>
</worksheet>
</file>

<file path=xl/worksheets/sheet27.xml><?xml version="1.0" encoding="utf-8"?>
<worksheet xmlns="http://schemas.openxmlformats.org/spreadsheetml/2006/main" xmlns:r="http://schemas.openxmlformats.org/officeDocument/2006/relationships">
  <sheetPr>
    <pageSetUpPr fitToPage="1"/>
  </sheetPr>
  <dimension ref="B1:AB105"/>
  <sheetViews>
    <sheetView topLeftCell="A68" zoomScale="75" zoomScaleNormal="75" workbookViewId="0">
      <selection activeCell="D16" sqref="D16"/>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 min="8" max="8" width="10.140625" customWidth="1"/>
    <col min="20" max="20" width="10.42578125" customWidth="1"/>
  </cols>
  <sheetData>
    <row r="1" spans="2:28" ht="18.75">
      <c r="B1" s="280" t="s">
        <v>60</v>
      </c>
    </row>
    <row r="2" spans="2:28" ht="18.75">
      <c r="B2" s="280" t="s">
        <v>347</v>
      </c>
    </row>
    <row r="3" spans="2:28" ht="18.75">
      <c r="B3" s="280" t="s">
        <v>494</v>
      </c>
    </row>
    <row r="4" spans="2:28" ht="19.5" thickBot="1">
      <c r="B4" s="280"/>
      <c r="C4" s="50"/>
    </row>
    <row r="5" spans="2:28" ht="18.75">
      <c r="B5" s="356"/>
      <c r="C5" s="386" t="s">
        <v>105</v>
      </c>
      <c r="D5" s="379"/>
      <c r="E5" s="359"/>
      <c r="F5" s="360"/>
    </row>
    <row r="6" spans="2:28" ht="18" customHeight="1">
      <c r="B6" s="361"/>
      <c r="C6" s="489" t="s">
        <v>491</v>
      </c>
      <c r="D6" s="380"/>
      <c r="E6" s="364"/>
      <c r="F6" s="365"/>
    </row>
    <row r="7" spans="2:28" ht="18.75">
      <c r="B7" s="361"/>
      <c r="C7" s="489" t="s">
        <v>104</v>
      </c>
      <c r="D7" s="380"/>
      <c r="E7" s="364"/>
      <c r="F7" s="365"/>
    </row>
    <row r="8" spans="2:28" s="32" customFormat="1">
      <c r="B8" s="366"/>
      <c r="C8" s="388"/>
      <c r="D8" s="381"/>
      <c r="E8" s="369"/>
      <c r="F8" s="370"/>
    </row>
    <row r="9" spans="2:28" s="32" customFormat="1">
      <c r="B9" s="366"/>
      <c r="C9" s="388" t="s">
        <v>103</v>
      </c>
      <c r="D9" s="382" t="s">
        <v>106</v>
      </c>
      <c r="E9" s="369"/>
      <c r="F9" s="370"/>
    </row>
    <row r="10" spans="2:28" s="32" customFormat="1">
      <c r="B10" s="366"/>
      <c r="C10" s="388" t="s">
        <v>102</v>
      </c>
      <c r="D10" s="453" t="s">
        <v>490</v>
      </c>
      <c r="E10" s="369"/>
      <c r="F10" s="370"/>
      <c r="G10" s="493"/>
    </row>
    <row r="11" spans="2:28" s="32" customFormat="1">
      <c r="B11" s="366"/>
      <c r="C11" s="388" t="s">
        <v>109</v>
      </c>
      <c r="D11" s="373">
        <v>40633</v>
      </c>
      <c r="E11" s="369"/>
      <c r="F11" s="370"/>
      <c r="G11" s="493"/>
    </row>
    <row r="12" spans="2:28" s="32" customFormat="1">
      <c r="B12" s="366"/>
      <c r="C12" s="388" t="s">
        <v>101</v>
      </c>
      <c r="D12" s="373">
        <v>40816</v>
      </c>
      <c r="E12" s="369"/>
      <c r="F12" s="370"/>
      <c r="G12" s="65"/>
      <c r="H12"/>
      <c r="I12"/>
      <c r="J12"/>
      <c r="K12"/>
      <c r="L12"/>
      <c r="M12"/>
      <c r="N12"/>
      <c r="O12"/>
      <c r="P12"/>
      <c r="Q12"/>
      <c r="R12"/>
      <c r="S12"/>
      <c r="T12"/>
      <c r="U12"/>
      <c r="V12"/>
      <c r="W12"/>
      <c r="X12"/>
      <c r="Y12"/>
      <c r="Z12"/>
      <c r="AA12"/>
      <c r="AB12"/>
    </row>
    <row r="13" spans="2:28" s="32" customFormat="1">
      <c r="B13" s="366"/>
      <c r="C13" s="388"/>
      <c r="D13" s="381"/>
      <c r="E13" s="369"/>
      <c r="F13" s="370"/>
      <c r="G13" s="65"/>
      <c r="H13"/>
      <c r="I13"/>
      <c r="J13"/>
      <c r="K13"/>
      <c r="L13"/>
      <c r="M13"/>
      <c r="N13"/>
      <c r="O13"/>
      <c r="P13"/>
      <c r="Q13"/>
      <c r="R13"/>
      <c r="S13"/>
      <c r="T13"/>
      <c r="U13"/>
      <c r="V13"/>
      <c r="W13"/>
      <c r="X13"/>
      <c r="Y13"/>
      <c r="Z13"/>
      <c r="AA13"/>
      <c r="AB13"/>
    </row>
    <row r="14" spans="2:28">
      <c r="B14" s="361"/>
      <c r="C14" s="388" t="s">
        <v>100</v>
      </c>
      <c r="D14" s="383" t="s">
        <v>99</v>
      </c>
      <c r="E14" s="374"/>
      <c r="F14" s="365"/>
      <c r="G14" s="65"/>
      <c r="I14" s="504"/>
      <c r="J14" s="504"/>
      <c r="K14" s="504"/>
      <c r="L14" s="39"/>
    </row>
    <row r="15" spans="2:28">
      <c r="B15" s="361"/>
      <c r="C15" s="364"/>
      <c r="D15" s="383" t="s">
        <v>98</v>
      </c>
      <c r="E15" s="374"/>
      <c r="F15" s="365"/>
      <c r="G15" s="65"/>
      <c r="I15" s="39"/>
      <c r="J15" s="39"/>
      <c r="K15" s="39"/>
      <c r="L15" s="39"/>
    </row>
    <row r="16" spans="2:28">
      <c r="B16" s="361"/>
      <c r="C16" s="364"/>
      <c r="D16" s="383" t="s">
        <v>97</v>
      </c>
      <c r="E16" s="375" t="s">
        <v>96</v>
      </c>
      <c r="F16" s="365"/>
      <c r="G16" s="65"/>
    </row>
    <row r="17" spans="2:7">
      <c r="B17" s="361"/>
      <c r="C17" s="364"/>
      <c r="D17" s="383" t="s">
        <v>45</v>
      </c>
      <c r="E17" s="374"/>
      <c r="F17" s="365"/>
      <c r="G17" s="65"/>
    </row>
    <row r="18" spans="2:7">
      <c r="B18" s="361"/>
      <c r="C18" s="364"/>
      <c r="D18" s="383" t="s">
        <v>95</v>
      </c>
      <c r="E18" s="374"/>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66</v>
      </c>
      <c r="E23" s="364"/>
      <c r="F23" s="365"/>
      <c r="G23" s="65"/>
    </row>
    <row r="24" spans="2:7" hidden="1">
      <c r="B24" s="361"/>
      <c r="C24" s="388"/>
      <c r="D24" s="382"/>
      <c r="E24" s="364"/>
      <c r="F24" s="365"/>
      <c r="G24" s="65"/>
    </row>
    <row r="25" spans="2:7" hidden="1">
      <c r="B25" s="361"/>
      <c r="C25" s="388"/>
      <c r="D25" s="382" t="s">
        <v>93</v>
      </c>
      <c r="E25" s="364"/>
      <c r="F25" s="365"/>
      <c r="G25" s="65"/>
    </row>
    <row r="26" spans="2:7" hidden="1">
      <c r="B26" s="361"/>
      <c r="C26" s="388"/>
      <c r="D26" s="382" t="s">
        <v>58</v>
      </c>
      <c r="E26" s="364"/>
      <c r="F26" s="365"/>
      <c r="G26" s="65"/>
    </row>
    <row r="27" spans="2:7" hidden="1">
      <c r="B27" s="361"/>
      <c r="C27" s="388"/>
      <c r="D27" s="382" t="s">
        <v>92</v>
      </c>
      <c r="E27" s="364"/>
      <c r="F27" s="365"/>
      <c r="G27" s="65"/>
    </row>
    <row r="28" spans="2:7" hidden="1">
      <c r="B28" s="361"/>
      <c r="C28" s="388"/>
      <c r="D28" s="382" t="s">
        <v>91</v>
      </c>
      <c r="E28" s="364"/>
      <c r="F28" s="365"/>
      <c r="G28" s="65"/>
    </row>
    <row r="29" spans="2:7" hidden="1">
      <c r="B29" s="361"/>
      <c r="C29" s="388"/>
      <c r="D29" s="382" t="s">
        <v>90</v>
      </c>
      <c r="E29" s="364"/>
      <c r="F29" s="365"/>
      <c r="G29" s="65"/>
    </row>
    <row r="30" spans="2:7" hidden="1">
      <c r="B30" s="361"/>
      <c r="C30" s="388"/>
      <c r="D30" s="382" t="s">
        <v>89</v>
      </c>
      <c r="E30" s="364"/>
      <c r="F30" s="365"/>
      <c r="G30" s="65"/>
    </row>
    <row r="31" spans="2:7" hidden="1">
      <c r="B31" s="361"/>
      <c r="C31" s="388"/>
      <c r="D31" s="382" t="s">
        <v>88</v>
      </c>
      <c r="E31" s="364"/>
      <c r="F31" s="365"/>
      <c r="G31" s="65"/>
    </row>
    <row r="32" spans="2:7" hidden="1">
      <c r="B32" s="361"/>
      <c r="C32" s="388"/>
      <c r="D32" s="382" t="s">
        <v>87</v>
      </c>
      <c r="E32" s="364"/>
      <c r="F32" s="365"/>
      <c r="G32" s="65"/>
    </row>
    <row r="33" spans="2:7" hidden="1">
      <c r="B33" s="361"/>
      <c r="C33" s="388"/>
      <c r="D33" s="382" t="s">
        <v>86</v>
      </c>
      <c r="E33" s="364"/>
      <c r="F33" s="365"/>
      <c r="G33" s="65"/>
    </row>
    <row r="34" spans="2:7" hidden="1">
      <c r="B34" s="361"/>
      <c r="C34" s="388"/>
      <c r="D34" s="382" t="s">
        <v>85</v>
      </c>
      <c r="E34" s="364"/>
      <c r="F34" s="365"/>
      <c r="G34" s="65"/>
    </row>
    <row r="35" spans="2:7" hidden="1">
      <c r="B35" s="361"/>
      <c r="C35" s="388"/>
      <c r="D35" s="382" t="s">
        <v>84</v>
      </c>
      <c r="E35" s="364"/>
      <c r="F35" s="365"/>
      <c r="G35" s="65"/>
    </row>
    <row r="36" spans="2:7" hidden="1">
      <c r="B36" s="361"/>
      <c r="C36" s="388"/>
      <c r="D36" s="382" t="s">
        <v>83</v>
      </c>
      <c r="E36" s="364"/>
      <c r="F36" s="365"/>
      <c r="G36" s="65"/>
    </row>
    <row r="37" spans="2:7" hidden="1">
      <c r="B37" s="361"/>
      <c r="C37" s="388"/>
      <c r="D37" s="382" t="s">
        <v>82</v>
      </c>
      <c r="E37" s="364"/>
      <c r="F37" s="365"/>
      <c r="G37" s="65"/>
    </row>
    <row r="38" spans="2:7" hidden="1">
      <c r="B38" s="361"/>
      <c r="C38" s="388"/>
      <c r="D38" s="382" t="s">
        <v>81</v>
      </c>
      <c r="E38" s="364"/>
      <c r="F38" s="365"/>
      <c r="G38" s="65"/>
    </row>
    <row r="39" spans="2:7" hidden="1">
      <c r="B39" s="361"/>
      <c r="C39" s="388"/>
      <c r="D39" s="384" t="s">
        <v>66</v>
      </c>
      <c r="E39" s="364"/>
      <c r="F39" s="365"/>
      <c r="G39" s="65"/>
    </row>
    <row r="40" spans="2:7">
      <c r="B40" s="361"/>
      <c r="C40" s="388"/>
      <c r="D40" s="380"/>
      <c r="E40" s="364"/>
      <c r="F40" s="365"/>
      <c r="G40" s="65"/>
    </row>
    <row r="41" spans="2:7">
      <c r="B41" s="361"/>
      <c r="C41" s="376" t="s">
        <v>65</v>
      </c>
      <c r="D41" s="382" t="s">
        <v>492</v>
      </c>
      <c r="E41" s="364"/>
      <c r="F41" s="365"/>
      <c r="G41" s="65"/>
    </row>
    <row r="42" spans="2:7">
      <c r="B42" s="361"/>
      <c r="C42" s="377"/>
      <c r="D42" s="380"/>
      <c r="E42" s="364"/>
      <c r="F42" s="365"/>
      <c r="G42" s="65"/>
    </row>
    <row r="43" spans="2:7" ht="18.75">
      <c r="B43" s="392"/>
      <c r="C43" s="405" t="s">
        <v>80</v>
      </c>
      <c r="D43" s="404"/>
      <c r="E43" s="395"/>
      <c r="F43" s="396"/>
      <c r="G43" s="65"/>
    </row>
    <row r="44" spans="2:7" ht="105">
      <c r="B44" s="392"/>
      <c r="C44" s="406" t="s">
        <v>79</v>
      </c>
      <c r="D44" s="399" t="s">
        <v>493</v>
      </c>
      <c r="E44" s="395"/>
      <c r="F44" s="396"/>
      <c r="G44" s="65"/>
    </row>
    <row r="45" spans="2:7">
      <c r="B45" s="392"/>
      <c r="C45" s="406" t="s">
        <v>78</v>
      </c>
      <c r="D45" s="399"/>
      <c r="E45" s="395"/>
      <c r="F45" s="396"/>
      <c r="G45" s="65"/>
    </row>
    <row r="46" spans="2:7" ht="30">
      <c r="B46" s="392"/>
      <c r="C46" s="407" t="s">
        <v>77</v>
      </c>
      <c r="D46" s="399"/>
      <c r="E46" s="395"/>
      <c r="F46" s="396"/>
      <c r="G46" s="65"/>
    </row>
    <row r="47" spans="2:7" ht="30">
      <c r="B47" s="392"/>
      <c r="C47" s="400" t="s">
        <v>76</v>
      </c>
      <c r="D47" s="399" t="s">
        <v>209</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67</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12">
      <c r="B65" s="346"/>
      <c r="C65" s="354" t="s">
        <v>65</v>
      </c>
      <c r="D65" s="413"/>
      <c r="E65" s="349"/>
      <c r="F65" s="350"/>
    </row>
    <row r="66" spans="2:12">
      <c r="B66" s="346"/>
      <c r="C66" s="417"/>
      <c r="D66" s="412"/>
      <c r="E66" s="349"/>
      <c r="F66" s="350"/>
    </row>
    <row r="67" spans="2:12" ht="18.75">
      <c r="B67" s="419"/>
      <c r="C67" s="443" t="s">
        <v>64</v>
      </c>
      <c r="D67" s="434"/>
      <c r="E67" s="422"/>
      <c r="F67" s="423"/>
    </row>
    <row r="68" spans="2:12">
      <c r="B68" s="419"/>
      <c r="C68" s="444" t="s">
        <v>118</v>
      </c>
      <c r="D68" s="437"/>
      <c r="E68" s="422"/>
      <c r="F68" s="423"/>
    </row>
    <row r="69" spans="2:12">
      <c r="B69" s="419"/>
      <c r="C69" s="444" t="s">
        <v>107</v>
      </c>
      <c r="D69" s="425"/>
      <c r="E69" s="422"/>
      <c r="F69" s="423"/>
      <c r="I69" t="s">
        <v>495</v>
      </c>
    </row>
    <row r="70" spans="2:12">
      <c r="B70" s="419"/>
      <c r="C70" s="444" t="s">
        <v>119</v>
      </c>
      <c r="D70" s="437">
        <v>74000</v>
      </c>
      <c r="E70" s="422"/>
      <c r="F70" s="423"/>
      <c r="J70" t="s">
        <v>496</v>
      </c>
      <c r="K70" t="s">
        <v>497</v>
      </c>
      <c r="L70" t="s">
        <v>130</v>
      </c>
    </row>
    <row r="71" spans="2:12">
      <c r="B71" s="419"/>
      <c r="C71" s="444"/>
      <c r="D71" s="433"/>
      <c r="E71" s="422"/>
      <c r="F71" s="423"/>
      <c r="I71" t="s">
        <v>498</v>
      </c>
      <c r="J71">
        <v>35</v>
      </c>
      <c r="K71">
        <v>1200</v>
      </c>
      <c r="L71">
        <f>J71*K71</f>
        <v>42000</v>
      </c>
    </row>
    <row r="72" spans="2:12">
      <c r="B72" s="419"/>
      <c r="C72" s="444" t="s">
        <v>223</v>
      </c>
      <c r="D72" s="426" t="s">
        <v>5</v>
      </c>
      <c r="E72" s="422"/>
      <c r="F72" s="423"/>
      <c r="I72" t="s">
        <v>499</v>
      </c>
      <c r="J72">
        <v>20</v>
      </c>
      <c r="K72">
        <v>1000</v>
      </c>
      <c r="L72">
        <f>J72*K72</f>
        <v>20000</v>
      </c>
    </row>
    <row r="73" spans="2:12">
      <c r="B73" s="419"/>
      <c r="C73" s="444" t="s">
        <v>62</v>
      </c>
      <c r="D73" s="438" t="s">
        <v>5</v>
      </c>
      <c r="E73" s="422"/>
      <c r="F73" s="423"/>
      <c r="I73" t="s">
        <v>500</v>
      </c>
      <c r="J73">
        <v>15</v>
      </c>
      <c r="K73">
        <v>800</v>
      </c>
      <c r="L73">
        <f>J73*K73</f>
        <v>12000</v>
      </c>
    </row>
    <row r="74" spans="2:12">
      <c r="B74" s="419"/>
      <c r="C74" s="444"/>
      <c r="D74" s="434"/>
      <c r="E74" s="422"/>
      <c r="F74" s="423"/>
    </row>
    <row r="75" spans="2:12">
      <c r="B75" s="419"/>
      <c r="C75" s="444" t="s">
        <v>61</v>
      </c>
      <c r="D75" s="425">
        <v>1</v>
      </c>
      <c r="E75" s="422"/>
      <c r="F75" s="423"/>
      <c r="I75" t="s">
        <v>130</v>
      </c>
      <c r="J75">
        <f>SUM(J71:J73)</f>
        <v>70</v>
      </c>
      <c r="L75">
        <f>SUM(L71:L73)</f>
        <v>74000</v>
      </c>
    </row>
    <row r="76" spans="2:12">
      <c r="B76" s="419"/>
      <c r="C76" s="444"/>
      <c r="D76" s="433"/>
      <c r="E76" s="422"/>
      <c r="F76" s="423"/>
    </row>
    <row r="77" spans="2:12">
      <c r="B77" s="419"/>
      <c r="C77" s="446"/>
      <c r="D77" s="434"/>
      <c r="E77" s="422"/>
      <c r="F77" s="423"/>
    </row>
    <row r="78" spans="2:12" ht="15.75" thickBot="1">
      <c r="B78" s="429"/>
      <c r="C78" s="430"/>
      <c r="D78" s="435"/>
      <c r="E78" s="430"/>
      <c r="F78" s="432"/>
    </row>
    <row r="80" spans="2:12">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E22 D24">
      <formula1>$D$25:$D$39</formula1>
    </dataValidation>
    <dataValidation type="list" allowBlank="1" showInputMessage="1" showErrorMessage="1" sqref="D60:E60">
      <formula1>$D$61:$D$64</formula1>
    </dataValidation>
    <dataValidation type="list" allowBlank="1" showInputMessage="1" showErrorMessage="1" sqref="D47">
      <formula1>$D$48:$D$51</formula1>
    </dataValidation>
    <dataValidation type="list" allowBlank="1" showInputMessage="1" showErrorMessage="1" sqref="D54">
      <formula1>$D$55:$D$58</formula1>
    </dataValidation>
    <dataValidation type="list" allowBlank="1" showInputMessage="1" showErrorMessage="1" sqref="D23">
      <formula1>$D$24:$D$39</formula1>
    </dataValidation>
    <dataValidation type="list" allowBlank="1" showInputMessage="1" showErrorMessage="1" sqref="E58">
      <formula1>#REF!</formula1>
    </dataValidation>
    <dataValidation type="list" allowBlank="1" showInputMessage="1" showErrorMessage="1" sqref="E55">
      <formula1>$D$56:$D$57</formula1>
    </dataValidation>
  </dataValidations>
  <pageMargins left="0.7" right="0.7" top="0.75" bottom="0.75" header="0.3" footer="0.3"/>
  <pageSetup paperSize="9" scale="51" orientation="portrait" copies="2" r:id="rId1"/>
</worksheet>
</file>

<file path=xl/worksheets/sheet28.xml><?xml version="1.0" encoding="utf-8"?>
<worksheet xmlns="http://schemas.openxmlformats.org/spreadsheetml/2006/main" xmlns:r="http://schemas.openxmlformats.org/officeDocument/2006/relationships">
  <sheetPr>
    <pageSetUpPr fitToPage="1"/>
  </sheetPr>
  <dimension ref="B1:AB105"/>
  <sheetViews>
    <sheetView topLeftCell="A54" zoomScale="75" zoomScaleNormal="75" workbookViewId="0">
      <selection activeCell="J21" sqref="J21"/>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 min="8" max="8" width="10.140625" customWidth="1"/>
    <col min="20" max="20" width="10.42578125" customWidth="1"/>
  </cols>
  <sheetData>
    <row r="1" spans="2:28" ht="18.75">
      <c r="B1" s="280" t="s">
        <v>60</v>
      </c>
    </row>
    <row r="2" spans="2:28" ht="18.75">
      <c r="B2" s="280" t="s">
        <v>347</v>
      </c>
    </row>
    <row r="3" spans="2:28" ht="18.75">
      <c r="B3" s="280" t="s">
        <v>636</v>
      </c>
    </row>
    <row r="4" spans="2:28" ht="19.5" thickBot="1">
      <c r="B4" s="280"/>
      <c r="C4" s="50"/>
    </row>
    <row r="5" spans="2:28" ht="18.75">
      <c r="B5" s="356"/>
      <c r="C5" s="386" t="s">
        <v>105</v>
      </c>
      <c r="D5" s="379"/>
      <c r="E5" s="359"/>
      <c r="F5" s="360"/>
    </row>
    <row r="6" spans="2:28" ht="18" customHeight="1">
      <c r="B6" s="361"/>
      <c r="C6" s="498" t="s">
        <v>636</v>
      </c>
      <c r="D6" s="380"/>
      <c r="E6" s="364"/>
      <c r="F6" s="365"/>
    </row>
    <row r="7" spans="2:28" ht="18.75">
      <c r="B7" s="361"/>
      <c r="C7" s="498" t="s">
        <v>104</v>
      </c>
      <c r="D7" s="380"/>
      <c r="E7" s="364"/>
      <c r="F7" s="365"/>
    </row>
    <row r="8" spans="2:28" s="32" customFormat="1">
      <c r="B8" s="366"/>
      <c r="C8" s="388"/>
      <c r="D8" s="381"/>
      <c r="E8" s="369"/>
      <c r="F8" s="370"/>
    </row>
    <row r="9" spans="2:28" s="32" customFormat="1">
      <c r="B9" s="366"/>
      <c r="C9" s="388" t="s">
        <v>103</v>
      </c>
      <c r="D9" s="382" t="s">
        <v>106</v>
      </c>
      <c r="E9" s="369"/>
      <c r="F9" s="370"/>
    </row>
    <row r="10" spans="2:28" s="32" customFormat="1">
      <c r="B10" s="366"/>
      <c r="C10" s="388" t="s">
        <v>102</v>
      </c>
      <c r="D10" s="453" t="s">
        <v>634</v>
      </c>
      <c r="E10" s="369"/>
      <c r="F10" s="370"/>
      <c r="G10" s="493"/>
    </row>
    <row r="11" spans="2:28" s="32" customFormat="1">
      <c r="B11" s="366"/>
      <c r="C11" s="388" t="s">
        <v>109</v>
      </c>
      <c r="D11" s="389">
        <v>40632</v>
      </c>
      <c r="E11" s="369"/>
      <c r="F11" s="370"/>
      <c r="G11" s="493"/>
    </row>
    <row r="12" spans="2:28" s="32" customFormat="1">
      <c r="B12" s="366"/>
      <c r="C12" s="388" t="s">
        <v>101</v>
      </c>
      <c r="D12" s="389">
        <v>40816</v>
      </c>
      <c r="E12" s="369"/>
      <c r="F12" s="370"/>
      <c r="G12" s="65"/>
      <c r="H12"/>
      <c r="I12"/>
      <c r="J12"/>
      <c r="K12"/>
      <c r="L12"/>
      <c r="M12"/>
      <c r="N12"/>
      <c r="O12"/>
      <c r="P12"/>
      <c r="Q12"/>
      <c r="R12"/>
      <c r="S12"/>
      <c r="T12"/>
      <c r="U12"/>
      <c r="V12"/>
      <c r="W12"/>
      <c r="X12"/>
      <c r="Y12"/>
      <c r="Z12"/>
      <c r="AA12"/>
      <c r="AB12"/>
    </row>
    <row r="13" spans="2:28" s="32" customFormat="1">
      <c r="B13" s="366"/>
      <c r="C13" s="388"/>
      <c r="D13" s="381"/>
      <c r="E13" s="369"/>
      <c r="F13" s="370"/>
      <c r="G13" s="65"/>
      <c r="H13"/>
      <c r="I13"/>
      <c r="J13"/>
      <c r="K13"/>
      <c r="L13"/>
      <c r="M13"/>
      <c r="N13"/>
      <c r="O13"/>
      <c r="P13"/>
      <c r="Q13"/>
      <c r="R13"/>
      <c r="S13"/>
      <c r="T13"/>
      <c r="U13"/>
      <c r="V13"/>
      <c r="W13"/>
      <c r="X13"/>
      <c r="Y13"/>
      <c r="Z13"/>
      <c r="AA13"/>
      <c r="AB13"/>
    </row>
    <row r="14" spans="2:28">
      <c r="B14" s="361"/>
      <c r="C14" s="388" t="s">
        <v>100</v>
      </c>
      <c r="D14" s="383" t="s">
        <v>99</v>
      </c>
      <c r="E14" s="374" t="s">
        <v>202</v>
      </c>
      <c r="F14" s="365"/>
      <c r="G14" s="65"/>
      <c r="I14" s="504"/>
      <c r="J14" s="504"/>
      <c r="K14" s="504"/>
      <c r="L14" s="39"/>
    </row>
    <row r="15" spans="2:28">
      <c r="B15" s="361"/>
      <c r="C15" s="364"/>
      <c r="D15" s="383" t="s">
        <v>98</v>
      </c>
      <c r="E15" s="374"/>
      <c r="F15" s="365"/>
      <c r="G15" s="65"/>
      <c r="I15" s="39"/>
      <c r="J15" s="39"/>
      <c r="K15" s="39"/>
      <c r="L15" s="39"/>
    </row>
    <row r="16" spans="2:28">
      <c r="B16" s="361"/>
      <c r="C16" s="364"/>
      <c r="D16" s="383" t="s">
        <v>97</v>
      </c>
      <c r="E16" s="375" t="s">
        <v>106</v>
      </c>
      <c r="F16" s="365"/>
      <c r="G16" s="65"/>
    </row>
    <row r="17" spans="2:7">
      <c r="B17" s="361"/>
      <c r="C17" s="364"/>
      <c r="D17" s="383" t="s">
        <v>45</v>
      </c>
      <c r="E17" s="374"/>
      <c r="F17" s="365"/>
      <c r="G17" s="65"/>
    </row>
    <row r="18" spans="2:7">
      <c r="B18" s="361"/>
      <c r="C18" s="364"/>
      <c r="D18" s="383" t="s">
        <v>95</v>
      </c>
      <c r="E18" s="374"/>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93</v>
      </c>
      <c r="E23" s="364"/>
      <c r="F23" s="365"/>
      <c r="G23" s="65"/>
    </row>
    <row r="24" spans="2:7" hidden="1">
      <c r="B24" s="361"/>
      <c r="C24" s="388"/>
      <c r="D24" s="382"/>
      <c r="E24" s="364"/>
      <c r="F24" s="365"/>
      <c r="G24" s="65"/>
    </row>
    <row r="25" spans="2:7" hidden="1">
      <c r="B25" s="361"/>
      <c r="C25" s="388"/>
      <c r="D25" s="371" t="s">
        <v>93</v>
      </c>
      <c r="E25" s="364"/>
      <c r="F25" s="365"/>
      <c r="G25" s="65"/>
    </row>
    <row r="26" spans="2:7" hidden="1">
      <c r="B26" s="361"/>
      <c r="C26" s="388"/>
      <c r="D26" s="371" t="s">
        <v>58</v>
      </c>
      <c r="E26" s="364"/>
      <c r="F26" s="365"/>
      <c r="G26" s="65"/>
    </row>
    <row r="27" spans="2:7" hidden="1">
      <c r="B27" s="361"/>
      <c r="C27" s="388"/>
      <c r="D27" s="371" t="s">
        <v>92</v>
      </c>
      <c r="E27" s="364"/>
      <c r="F27" s="365"/>
      <c r="G27" s="65"/>
    </row>
    <row r="28" spans="2:7" hidden="1">
      <c r="B28" s="361"/>
      <c r="C28" s="388"/>
      <c r="D28" s="371" t="s">
        <v>91</v>
      </c>
      <c r="E28" s="364"/>
      <c r="F28" s="365"/>
      <c r="G28" s="65"/>
    </row>
    <row r="29" spans="2:7" hidden="1">
      <c r="B29" s="361"/>
      <c r="C29" s="388"/>
      <c r="D29" s="371" t="s">
        <v>90</v>
      </c>
      <c r="E29" s="364"/>
      <c r="F29" s="365"/>
      <c r="G29" s="65"/>
    </row>
    <row r="30" spans="2:7" hidden="1">
      <c r="B30" s="361"/>
      <c r="C30" s="388"/>
      <c r="D30" s="371" t="s">
        <v>89</v>
      </c>
      <c r="E30" s="364"/>
      <c r="F30" s="365"/>
      <c r="G30" s="65"/>
    </row>
    <row r="31" spans="2:7" hidden="1">
      <c r="B31" s="361"/>
      <c r="C31" s="388"/>
      <c r="D31" s="371" t="s">
        <v>88</v>
      </c>
      <c r="E31" s="364"/>
      <c r="F31" s="365"/>
      <c r="G31" s="65"/>
    </row>
    <row r="32" spans="2:7" hidden="1">
      <c r="B32" s="361"/>
      <c r="C32" s="388"/>
      <c r="D32" s="371" t="s">
        <v>87</v>
      </c>
      <c r="E32" s="364"/>
      <c r="F32" s="365"/>
      <c r="G32" s="65"/>
    </row>
    <row r="33" spans="2:7" hidden="1">
      <c r="B33" s="361"/>
      <c r="C33" s="388"/>
      <c r="D33" s="371" t="s">
        <v>86</v>
      </c>
      <c r="E33" s="364"/>
      <c r="F33" s="365"/>
      <c r="G33" s="65"/>
    </row>
    <row r="34" spans="2:7" hidden="1">
      <c r="B34" s="361"/>
      <c r="C34" s="388"/>
      <c r="D34" s="371" t="s">
        <v>85</v>
      </c>
      <c r="E34" s="364"/>
      <c r="F34" s="365"/>
      <c r="G34" s="65"/>
    </row>
    <row r="35" spans="2:7" hidden="1">
      <c r="B35" s="361"/>
      <c r="C35" s="388"/>
      <c r="D35" s="371" t="s">
        <v>84</v>
      </c>
      <c r="E35" s="364"/>
      <c r="F35" s="365"/>
      <c r="G35" s="65"/>
    </row>
    <row r="36" spans="2:7" hidden="1">
      <c r="B36" s="361"/>
      <c r="C36" s="388"/>
      <c r="D36" s="371" t="s">
        <v>83</v>
      </c>
      <c r="E36" s="364"/>
      <c r="F36" s="365"/>
      <c r="G36" s="65"/>
    </row>
    <row r="37" spans="2:7" hidden="1">
      <c r="B37" s="361"/>
      <c r="C37" s="388"/>
      <c r="D37" s="371" t="s">
        <v>82</v>
      </c>
      <c r="E37" s="364"/>
      <c r="F37" s="365"/>
      <c r="G37" s="65"/>
    </row>
    <row r="38" spans="2:7" hidden="1">
      <c r="B38" s="361"/>
      <c r="C38" s="388"/>
      <c r="D38" s="371" t="s">
        <v>81</v>
      </c>
      <c r="E38" s="364"/>
      <c r="F38" s="365"/>
      <c r="G38" s="65"/>
    </row>
    <row r="39" spans="2:7" hidden="1">
      <c r="B39" s="361"/>
      <c r="C39" s="388"/>
      <c r="D39" s="378" t="s">
        <v>66</v>
      </c>
      <c r="E39" s="364"/>
      <c r="F39" s="365"/>
      <c r="G39" s="65"/>
    </row>
    <row r="40" spans="2:7">
      <c r="B40" s="361"/>
      <c r="C40" s="388"/>
      <c r="D40" s="380"/>
      <c r="E40" s="364"/>
      <c r="F40" s="365"/>
      <c r="G40" s="65"/>
    </row>
    <row r="41" spans="2:7">
      <c r="B41" s="361"/>
      <c r="C41" s="376" t="s">
        <v>65</v>
      </c>
      <c r="D41" s="382"/>
      <c r="E41" s="364"/>
      <c r="F41" s="365"/>
      <c r="G41" s="65"/>
    </row>
    <row r="42" spans="2:7">
      <c r="B42" s="361"/>
      <c r="C42" s="377"/>
      <c r="D42" s="380"/>
      <c r="E42" s="364"/>
      <c r="F42" s="365"/>
      <c r="G42" s="65"/>
    </row>
    <row r="43" spans="2:7" ht="18.75">
      <c r="B43" s="392"/>
      <c r="C43" s="405" t="s">
        <v>80</v>
      </c>
      <c r="D43" s="404"/>
      <c r="E43" s="395"/>
      <c r="F43" s="396"/>
      <c r="G43" s="65"/>
    </row>
    <row r="44" spans="2:7" ht="180">
      <c r="B44" s="392"/>
      <c r="C44" s="406" t="s">
        <v>79</v>
      </c>
      <c r="D44" s="399" t="s">
        <v>729</v>
      </c>
      <c r="E44" s="395"/>
      <c r="F44" s="396"/>
      <c r="G44" s="65"/>
    </row>
    <row r="45" spans="2:7" ht="45">
      <c r="B45" s="392"/>
      <c r="C45" s="406" t="s">
        <v>78</v>
      </c>
      <c r="D45" s="399" t="s">
        <v>635</v>
      </c>
      <c r="E45" s="395"/>
      <c r="F45" s="396"/>
      <c r="G45" s="65"/>
    </row>
    <row r="46" spans="2:7" ht="30">
      <c r="B46" s="392"/>
      <c r="C46" s="407" t="s">
        <v>77</v>
      </c>
      <c r="D46" s="399"/>
      <c r="E46" s="395"/>
      <c r="F46" s="396"/>
      <c r="G46" s="65"/>
    </row>
    <row r="47" spans="2:7" ht="30">
      <c r="B47" s="392"/>
      <c r="C47" s="400" t="s">
        <v>76</v>
      </c>
      <c r="D47" s="399" t="s">
        <v>277</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69</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8">
      <c r="B65" s="346"/>
      <c r="C65" s="354" t="s">
        <v>65</v>
      </c>
      <c r="D65" s="413"/>
      <c r="E65" s="349"/>
      <c r="F65" s="350"/>
    </row>
    <row r="66" spans="2:8">
      <c r="B66" s="346"/>
      <c r="C66" s="417"/>
      <c r="D66" s="412"/>
      <c r="E66" s="349"/>
      <c r="F66" s="350"/>
    </row>
    <row r="67" spans="2:8" ht="18.75">
      <c r="B67" s="419"/>
      <c r="C67" s="443" t="s">
        <v>64</v>
      </c>
      <c r="D67" s="434"/>
      <c r="E67" s="422"/>
      <c r="F67" s="423"/>
    </row>
    <row r="68" spans="2:8">
      <c r="B68" s="419"/>
      <c r="C68" s="444" t="s">
        <v>118</v>
      </c>
      <c r="D68" s="424" t="s">
        <v>106</v>
      </c>
      <c r="E68" s="422"/>
      <c r="F68" s="423"/>
    </row>
    <row r="69" spans="2:8">
      <c r="B69" s="419"/>
      <c r="C69" s="444" t="s">
        <v>107</v>
      </c>
      <c r="D69" s="427"/>
      <c r="E69" s="422"/>
      <c r="F69" s="423"/>
    </row>
    <row r="70" spans="2:8" ht="45">
      <c r="B70" s="419"/>
      <c r="C70" s="444" t="s">
        <v>119</v>
      </c>
      <c r="D70" s="424" t="s">
        <v>730</v>
      </c>
      <c r="E70" s="422"/>
      <c r="F70" s="423"/>
      <c r="H70" s="39"/>
    </row>
    <row r="71" spans="2:8">
      <c r="B71" s="419"/>
      <c r="C71" s="444"/>
      <c r="D71" s="433"/>
      <c r="E71" s="422"/>
      <c r="F71" s="423"/>
    </row>
    <row r="72" spans="2:8">
      <c r="B72" s="419"/>
      <c r="C72" s="444" t="s">
        <v>223</v>
      </c>
      <c r="D72" s="426" t="s">
        <v>5</v>
      </c>
      <c r="E72" s="422"/>
      <c r="F72" s="423"/>
    </row>
    <row r="73" spans="2:8">
      <c r="B73" s="419"/>
      <c r="C73" s="444" t="s">
        <v>62</v>
      </c>
      <c r="D73" s="426" t="s">
        <v>6</v>
      </c>
      <c r="E73" s="422"/>
      <c r="F73" s="423"/>
    </row>
    <row r="74" spans="2:8">
      <c r="B74" s="419"/>
      <c r="C74" s="444"/>
      <c r="D74" s="433"/>
      <c r="E74" s="422"/>
      <c r="F74" s="423"/>
    </row>
    <row r="75" spans="2:8">
      <c r="B75" s="419"/>
      <c r="C75" s="444" t="s">
        <v>61</v>
      </c>
      <c r="D75" s="427">
        <v>0.33</v>
      </c>
      <c r="E75" s="422"/>
      <c r="F75" s="423"/>
    </row>
    <row r="76" spans="2:8">
      <c r="B76" s="419"/>
      <c r="C76" s="444"/>
      <c r="D76" s="433"/>
      <c r="E76" s="422"/>
      <c r="F76" s="423"/>
    </row>
    <row r="77" spans="2:8">
      <c r="B77" s="419"/>
      <c r="C77" s="446"/>
      <c r="D77" s="434"/>
      <c r="E77" s="422"/>
      <c r="F77" s="423"/>
    </row>
    <row r="78" spans="2:8" ht="15.75" thickBot="1">
      <c r="B78" s="429"/>
      <c r="C78" s="430"/>
      <c r="D78" s="435"/>
      <c r="E78" s="430"/>
      <c r="F78" s="432"/>
    </row>
    <row r="80" spans="2:8">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47">
      <formula1>$D$48:$D$51</formula1>
    </dataValidation>
    <dataValidation type="list" allowBlank="1" showInputMessage="1" showErrorMessage="1" sqref="D60">
      <formula1>$D$61:$D$64</formula1>
    </dataValidation>
    <dataValidation type="list" allowBlank="1" showInputMessage="1" showErrorMessage="1" sqref="D23">
      <formula1>$D$25:$D$39</formula1>
    </dataValidation>
    <dataValidation type="list" allowBlank="1" showInputMessage="1" showErrorMessage="1" sqref="D54">
      <formula1>$D$56:$D$58</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72" orientation="portrait" copies="2" r:id="rId1"/>
</worksheet>
</file>

<file path=xl/worksheets/sheet29.xml><?xml version="1.0" encoding="utf-8"?>
<worksheet xmlns="http://schemas.openxmlformats.org/spreadsheetml/2006/main" xmlns:r="http://schemas.openxmlformats.org/officeDocument/2006/relationships">
  <sheetPr>
    <pageSetUpPr fitToPage="1"/>
  </sheetPr>
  <dimension ref="B1:AB105"/>
  <sheetViews>
    <sheetView topLeftCell="A11" zoomScale="75" zoomScaleNormal="75" workbookViewId="0">
      <selection activeCell="I78" sqref="I78"/>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 min="8" max="8" width="10.140625" customWidth="1"/>
    <col min="10" max="10" width="11.5703125" bestFit="1" customWidth="1"/>
    <col min="20" max="20" width="10.42578125" customWidth="1"/>
  </cols>
  <sheetData>
    <row r="1" spans="2:28" ht="18.75">
      <c r="B1" s="280" t="s">
        <v>60</v>
      </c>
    </row>
    <row r="2" spans="2:28" ht="18.75">
      <c r="B2" s="280" t="s">
        <v>347</v>
      </c>
    </row>
    <row r="3" spans="2:28" ht="18.75">
      <c r="B3" s="280" t="s">
        <v>671</v>
      </c>
    </row>
    <row r="4" spans="2:28" ht="19.5" thickBot="1">
      <c r="B4" s="280"/>
      <c r="C4" s="50"/>
    </row>
    <row r="5" spans="2:28" ht="18.75">
      <c r="B5" s="356"/>
      <c r="C5" s="386" t="s">
        <v>105</v>
      </c>
      <c r="D5" s="379"/>
      <c r="E5" s="359"/>
      <c r="F5" s="360"/>
    </row>
    <row r="6" spans="2:28" ht="18" customHeight="1">
      <c r="B6" s="361"/>
      <c r="C6" s="564" t="s">
        <v>671</v>
      </c>
      <c r="D6" s="380"/>
      <c r="E6" s="364"/>
      <c r="F6" s="365"/>
    </row>
    <row r="7" spans="2:28" ht="18.75">
      <c r="B7" s="361"/>
      <c r="C7" s="564" t="s">
        <v>104</v>
      </c>
      <c r="D7" s="380"/>
      <c r="E7" s="364"/>
      <c r="F7" s="365"/>
    </row>
    <row r="8" spans="2:28" s="32" customFormat="1">
      <c r="B8" s="366"/>
      <c r="C8" s="388"/>
      <c r="D8" s="381"/>
      <c r="E8" s="369"/>
      <c r="F8" s="370"/>
    </row>
    <row r="9" spans="2:28" s="32" customFormat="1">
      <c r="B9" s="366"/>
      <c r="C9" s="388" t="s">
        <v>103</v>
      </c>
      <c r="D9" s="382" t="s">
        <v>106</v>
      </c>
      <c r="E9" s="369"/>
      <c r="F9" s="370"/>
    </row>
    <row r="10" spans="2:28" s="32" customFormat="1">
      <c r="B10" s="366"/>
      <c r="C10" s="388" t="s">
        <v>102</v>
      </c>
      <c r="D10" s="453" t="s">
        <v>670</v>
      </c>
      <c r="E10" s="369"/>
      <c r="F10" s="370"/>
      <c r="G10" s="493"/>
    </row>
    <row r="11" spans="2:28" s="32" customFormat="1">
      <c r="B11" s="366"/>
      <c r="C11" s="388" t="s">
        <v>109</v>
      </c>
      <c r="D11" s="389">
        <v>40632</v>
      </c>
      <c r="E11" s="369"/>
      <c r="F11" s="370"/>
      <c r="G11" s="493"/>
    </row>
    <row r="12" spans="2:28" s="32" customFormat="1">
      <c r="B12" s="366"/>
      <c r="C12" s="388" t="s">
        <v>101</v>
      </c>
      <c r="D12" s="389">
        <v>40816</v>
      </c>
      <c r="E12" s="369"/>
      <c r="F12" s="370"/>
      <c r="G12" s="65"/>
      <c r="H12"/>
      <c r="I12"/>
      <c r="J12"/>
      <c r="K12"/>
      <c r="L12"/>
      <c r="M12"/>
      <c r="N12"/>
      <c r="O12"/>
      <c r="P12"/>
      <c r="Q12"/>
      <c r="R12"/>
      <c r="S12"/>
      <c r="T12"/>
      <c r="U12"/>
      <c r="V12"/>
      <c r="W12"/>
      <c r="X12"/>
      <c r="Y12"/>
      <c r="Z12"/>
      <c r="AA12"/>
      <c r="AB12"/>
    </row>
    <row r="13" spans="2:28" s="32" customFormat="1">
      <c r="B13" s="366"/>
      <c r="C13" s="388"/>
      <c r="D13" s="381"/>
      <c r="E13" s="369"/>
      <c r="F13" s="370"/>
      <c r="G13" s="65"/>
      <c r="H13"/>
      <c r="I13"/>
      <c r="J13"/>
      <c r="K13"/>
      <c r="L13"/>
      <c r="M13"/>
      <c r="N13"/>
      <c r="O13"/>
      <c r="P13"/>
      <c r="Q13"/>
      <c r="R13"/>
      <c r="S13"/>
      <c r="T13"/>
      <c r="U13"/>
      <c r="V13"/>
      <c r="W13"/>
      <c r="X13"/>
      <c r="Y13"/>
      <c r="Z13"/>
      <c r="AA13"/>
      <c r="AB13"/>
    </row>
    <row r="14" spans="2:28">
      <c r="B14" s="361"/>
      <c r="C14" s="388" t="s">
        <v>100</v>
      </c>
      <c r="D14" s="383" t="s">
        <v>99</v>
      </c>
      <c r="E14" s="374" t="s">
        <v>202</v>
      </c>
      <c r="F14" s="365"/>
      <c r="G14" s="65"/>
      <c r="I14" s="504"/>
      <c r="J14" s="504"/>
      <c r="K14" s="504"/>
      <c r="L14" s="39"/>
    </row>
    <row r="15" spans="2:28">
      <c r="B15" s="361"/>
      <c r="C15" s="364"/>
      <c r="D15" s="383" t="s">
        <v>98</v>
      </c>
      <c r="E15" s="374"/>
      <c r="F15" s="365"/>
      <c r="G15" s="65"/>
      <c r="I15" s="39"/>
      <c r="J15" s="39"/>
      <c r="K15" s="39"/>
      <c r="L15" s="39"/>
    </row>
    <row r="16" spans="2:28">
      <c r="B16" s="361"/>
      <c r="C16" s="364"/>
      <c r="D16" s="383" t="s">
        <v>97</v>
      </c>
      <c r="E16" s="375" t="s">
        <v>106</v>
      </c>
      <c r="F16" s="365"/>
      <c r="G16" s="65"/>
    </row>
    <row r="17" spans="2:7">
      <c r="B17" s="361"/>
      <c r="C17" s="364"/>
      <c r="D17" s="383" t="s">
        <v>45</v>
      </c>
      <c r="E17" s="374"/>
      <c r="F17" s="365"/>
      <c r="G17" s="65"/>
    </row>
    <row r="18" spans="2:7">
      <c r="B18" s="361"/>
      <c r="C18" s="364"/>
      <c r="D18" s="383" t="s">
        <v>95</v>
      </c>
      <c r="E18" s="374"/>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93</v>
      </c>
      <c r="E23" s="364"/>
      <c r="F23" s="365"/>
      <c r="G23" s="65"/>
    </row>
    <row r="24" spans="2:7" hidden="1">
      <c r="B24" s="361"/>
      <c r="C24" s="388"/>
      <c r="D24" s="382"/>
      <c r="E24" s="364"/>
      <c r="F24" s="365"/>
      <c r="G24" s="65"/>
    </row>
    <row r="25" spans="2:7" hidden="1">
      <c r="B25" s="361"/>
      <c r="C25" s="388"/>
      <c r="D25" s="371" t="s">
        <v>93</v>
      </c>
      <c r="E25" s="364"/>
      <c r="F25" s="365"/>
      <c r="G25" s="65"/>
    </row>
    <row r="26" spans="2:7" hidden="1">
      <c r="B26" s="361"/>
      <c r="C26" s="388"/>
      <c r="D26" s="371" t="s">
        <v>58</v>
      </c>
      <c r="E26" s="364"/>
      <c r="F26" s="365"/>
      <c r="G26" s="65"/>
    </row>
    <row r="27" spans="2:7" hidden="1">
      <c r="B27" s="361"/>
      <c r="C27" s="388"/>
      <c r="D27" s="371" t="s">
        <v>92</v>
      </c>
      <c r="E27" s="364"/>
      <c r="F27" s="365"/>
      <c r="G27" s="65"/>
    </row>
    <row r="28" spans="2:7" hidden="1">
      <c r="B28" s="361"/>
      <c r="C28" s="388"/>
      <c r="D28" s="371" t="s">
        <v>91</v>
      </c>
      <c r="E28" s="364"/>
      <c r="F28" s="365"/>
      <c r="G28" s="65"/>
    </row>
    <row r="29" spans="2:7" hidden="1">
      <c r="B29" s="361"/>
      <c r="C29" s="388"/>
      <c r="D29" s="371" t="s">
        <v>90</v>
      </c>
      <c r="E29" s="364"/>
      <c r="F29" s="365"/>
      <c r="G29" s="65"/>
    </row>
    <row r="30" spans="2:7" hidden="1">
      <c r="B30" s="361"/>
      <c r="C30" s="388"/>
      <c r="D30" s="371" t="s">
        <v>89</v>
      </c>
      <c r="E30" s="364"/>
      <c r="F30" s="365"/>
      <c r="G30" s="65"/>
    </row>
    <row r="31" spans="2:7" hidden="1">
      <c r="B31" s="361"/>
      <c r="C31" s="388"/>
      <c r="D31" s="371" t="s">
        <v>88</v>
      </c>
      <c r="E31" s="364"/>
      <c r="F31" s="365"/>
      <c r="G31" s="65"/>
    </row>
    <row r="32" spans="2:7" hidden="1">
      <c r="B32" s="361"/>
      <c r="C32" s="388"/>
      <c r="D32" s="371" t="s">
        <v>87</v>
      </c>
      <c r="E32" s="364"/>
      <c r="F32" s="365"/>
      <c r="G32" s="65"/>
    </row>
    <row r="33" spans="2:7" hidden="1">
      <c r="B33" s="361"/>
      <c r="C33" s="388"/>
      <c r="D33" s="371" t="s">
        <v>86</v>
      </c>
      <c r="E33" s="364"/>
      <c r="F33" s="365"/>
      <c r="G33" s="65"/>
    </row>
    <row r="34" spans="2:7" hidden="1">
      <c r="B34" s="361"/>
      <c r="C34" s="388"/>
      <c r="D34" s="371" t="s">
        <v>85</v>
      </c>
      <c r="E34" s="364"/>
      <c r="F34" s="365"/>
      <c r="G34" s="65"/>
    </row>
    <row r="35" spans="2:7" hidden="1">
      <c r="B35" s="361"/>
      <c r="C35" s="388"/>
      <c r="D35" s="371" t="s">
        <v>84</v>
      </c>
      <c r="E35" s="364"/>
      <c r="F35" s="365"/>
      <c r="G35" s="65"/>
    </row>
    <row r="36" spans="2:7" hidden="1">
      <c r="B36" s="361"/>
      <c r="C36" s="388"/>
      <c r="D36" s="371" t="s">
        <v>83</v>
      </c>
      <c r="E36" s="364"/>
      <c r="F36" s="365"/>
      <c r="G36" s="65"/>
    </row>
    <row r="37" spans="2:7" hidden="1">
      <c r="B37" s="361"/>
      <c r="C37" s="388"/>
      <c r="D37" s="371" t="s">
        <v>82</v>
      </c>
      <c r="E37" s="364"/>
      <c r="F37" s="365"/>
      <c r="G37" s="65"/>
    </row>
    <row r="38" spans="2:7" hidden="1">
      <c r="B38" s="361"/>
      <c r="C38" s="388"/>
      <c r="D38" s="371" t="s">
        <v>81</v>
      </c>
      <c r="E38" s="364"/>
      <c r="F38" s="365"/>
      <c r="G38" s="65"/>
    </row>
    <row r="39" spans="2:7" hidden="1">
      <c r="B39" s="361"/>
      <c r="C39" s="388"/>
      <c r="D39" s="378" t="s">
        <v>66</v>
      </c>
      <c r="E39" s="364"/>
      <c r="F39" s="365"/>
      <c r="G39" s="65"/>
    </row>
    <row r="40" spans="2:7">
      <c r="B40" s="361"/>
      <c r="C40" s="388"/>
      <c r="D40" s="380"/>
      <c r="E40" s="364"/>
      <c r="F40" s="365"/>
      <c r="G40" s="65"/>
    </row>
    <row r="41" spans="2:7">
      <c r="B41" s="361"/>
      <c r="C41" s="376" t="s">
        <v>65</v>
      </c>
      <c r="D41" s="382"/>
      <c r="E41" s="364"/>
      <c r="F41" s="365"/>
      <c r="G41" s="65"/>
    </row>
    <row r="42" spans="2:7">
      <c r="B42" s="361"/>
      <c r="C42" s="377"/>
      <c r="D42" s="380"/>
      <c r="E42" s="364"/>
      <c r="F42" s="365"/>
      <c r="G42" s="65"/>
    </row>
    <row r="43" spans="2:7" ht="18.75">
      <c r="B43" s="392"/>
      <c r="C43" s="405" t="s">
        <v>80</v>
      </c>
      <c r="D43" s="404"/>
      <c r="E43" s="395"/>
      <c r="F43" s="396"/>
      <c r="G43" s="65"/>
    </row>
    <row r="44" spans="2:7" ht="45">
      <c r="B44" s="392"/>
      <c r="C44" s="406" t="s">
        <v>79</v>
      </c>
      <c r="D44" s="567" t="s">
        <v>672</v>
      </c>
      <c r="E44" s="395"/>
      <c r="F44" s="396"/>
      <c r="G44" s="65"/>
    </row>
    <row r="45" spans="2:7">
      <c r="B45" s="392"/>
      <c r="C45" s="406" t="s">
        <v>78</v>
      </c>
      <c r="D45" s="399"/>
      <c r="E45" s="395"/>
      <c r="F45" s="396"/>
      <c r="G45" s="65"/>
    </row>
    <row r="46" spans="2:7" ht="30">
      <c r="B46" s="392"/>
      <c r="C46" s="407" t="s">
        <v>77</v>
      </c>
      <c r="D46" s="399"/>
      <c r="E46" s="395"/>
      <c r="F46" s="396"/>
      <c r="G46" s="65"/>
    </row>
    <row r="47" spans="2:7" ht="30">
      <c r="B47" s="392"/>
      <c r="C47" s="400" t="s">
        <v>76</v>
      </c>
      <c r="D47" s="399" t="s">
        <v>277</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67</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10">
      <c r="B65" s="346"/>
      <c r="C65" s="354" t="s">
        <v>65</v>
      </c>
      <c r="D65" s="413"/>
      <c r="E65" s="349"/>
      <c r="F65" s="350"/>
    </row>
    <row r="66" spans="2:10">
      <c r="B66" s="346"/>
      <c r="C66" s="417"/>
      <c r="D66" s="412"/>
      <c r="E66" s="349"/>
      <c r="F66" s="350"/>
    </row>
    <row r="67" spans="2:10" ht="18.75">
      <c r="B67" s="419"/>
      <c r="C67" s="443" t="s">
        <v>64</v>
      </c>
      <c r="D67" s="434"/>
      <c r="E67" s="422"/>
      <c r="F67" s="423"/>
    </row>
    <row r="68" spans="2:10">
      <c r="B68" s="419"/>
      <c r="C68" s="444" t="s">
        <v>118</v>
      </c>
      <c r="D68" s="424" t="s">
        <v>106</v>
      </c>
      <c r="E68" s="422"/>
      <c r="F68" s="423"/>
    </row>
    <row r="69" spans="2:10">
      <c r="B69" s="419"/>
      <c r="C69" s="444" t="s">
        <v>107</v>
      </c>
      <c r="D69" s="427"/>
      <c r="E69" s="422"/>
      <c r="F69" s="423"/>
    </row>
    <row r="70" spans="2:10">
      <c r="B70" s="419"/>
      <c r="C70" s="444" t="s">
        <v>119</v>
      </c>
      <c r="D70" s="606">
        <v>113800</v>
      </c>
      <c r="E70" s="422"/>
      <c r="F70" s="423"/>
      <c r="J70" s="612"/>
    </row>
    <row r="71" spans="2:10">
      <c r="B71" s="419"/>
      <c r="C71" s="444"/>
      <c r="D71" s="433"/>
      <c r="E71" s="422"/>
      <c r="F71" s="423"/>
    </row>
    <row r="72" spans="2:10">
      <c r="B72" s="419"/>
      <c r="C72" s="444" t="s">
        <v>223</v>
      </c>
      <c r="D72" s="426" t="s">
        <v>5</v>
      </c>
      <c r="E72" s="422"/>
      <c r="F72" s="423"/>
      <c r="H72" t="s">
        <v>731</v>
      </c>
    </row>
    <row r="73" spans="2:10" ht="30">
      <c r="B73" s="419"/>
      <c r="C73" s="444" t="s">
        <v>62</v>
      </c>
      <c r="D73" s="568" t="s">
        <v>673</v>
      </c>
      <c r="E73" s="422"/>
      <c r="F73" s="423"/>
      <c r="H73" s="605">
        <f>D70/3</f>
        <v>37933.333333333336</v>
      </c>
    </row>
    <row r="74" spans="2:10">
      <c r="B74" s="419"/>
      <c r="C74" s="444"/>
      <c r="D74" s="433"/>
      <c r="E74" s="422"/>
      <c r="F74" s="423"/>
      <c r="H74" t="s">
        <v>106</v>
      </c>
    </row>
    <row r="75" spans="2:10">
      <c r="B75" s="419"/>
      <c r="C75" s="444" t="s">
        <v>61</v>
      </c>
      <c r="D75" s="427">
        <v>0.5</v>
      </c>
      <c r="E75" s="422"/>
      <c r="F75" s="423"/>
    </row>
    <row r="76" spans="2:10">
      <c r="B76" s="419"/>
      <c r="C76" s="444"/>
      <c r="D76" s="433"/>
      <c r="E76" s="422"/>
      <c r="F76" s="423"/>
    </row>
    <row r="77" spans="2:10">
      <c r="B77" s="419"/>
      <c r="C77" s="446"/>
      <c r="D77" s="434"/>
      <c r="E77" s="422"/>
      <c r="F77" s="423"/>
    </row>
    <row r="78" spans="2:10" ht="15.75" thickBot="1">
      <c r="B78" s="429"/>
      <c r="C78" s="430"/>
      <c r="D78" s="435"/>
      <c r="E78" s="430"/>
      <c r="F78" s="432"/>
    </row>
    <row r="80" spans="2:10">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54">
      <formula1>$D$56:$D$58</formula1>
    </dataValidation>
    <dataValidation type="list" allowBlank="1" showInputMessage="1" showErrorMessage="1" sqref="D23">
      <formula1>$D$25:$D$39</formula1>
    </dataValidation>
    <dataValidation type="list" allowBlank="1" showInputMessage="1" showErrorMessage="1" sqref="D60">
      <formula1>$D$61:$D$64</formula1>
    </dataValidation>
    <dataValidation type="list" allowBlank="1" showInputMessage="1" showErrorMessage="1" sqref="D47">
      <formula1>$D$48:$D$51</formula1>
    </dataValidation>
  </dataValidations>
  <pageMargins left="0.7" right="0.7" top="0.75" bottom="0.75" header="0.3" footer="0.3"/>
  <pageSetup paperSize="9" scale="59" orientation="portrait" copies="2" r:id="rId1"/>
</worksheet>
</file>

<file path=xl/worksheets/sheet3.xml><?xml version="1.0" encoding="utf-8"?>
<worksheet xmlns="http://schemas.openxmlformats.org/spreadsheetml/2006/main" xmlns:r="http://schemas.openxmlformats.org/officeDocument/2006/relationships">
  <sheetPr>
    <pageSetUpPr fitToPage="1"/>
  </sheetPr>
  <dimension ref="B1:Z100"/>
  <sheetViews>
    <sheetView zoomScale="75" zoomScaleNormal="75" workbookViewId="0">
      <selection activeCell="B15" sqref="B15:E68"/>
    </sheetView>
  </sheetViews>
  <sheetFormatPr defaultRowHeight="15"/>
  <cols>
    <col min="1" max="1" width="2.85546875" customWidth="1"/>
    <col min="2" max="2" width="11.140625" bestFit="1" customWidth="1"/>
    <col min="3" max="3" width="84.7109375" customWidth="1"/>
    <col min="4" max="4" width="28.140625" style="1" customWidth="1"/>
    <col min="5" max="5" width="33.42578125" style="1" bestFit="1" customWidth="1"/>
    <col min="6" max="6" width="15.42578125" style="1" bestFit="1" customWidth="1"/>
    <col min="7" max="7" width="17.42578125" bestFit="1" customWidth="1"/>
    <col min="8" max="8" width="21.140625" bestFit="1" customWidth="1"/>
    <col min="9" max="10" width="17.28515625" customWidth="1"/>
    <col min="11" max="11" width="11.5703125" bestFit="1" customWidth="1"/>
    <col min="12" max="12" width="17.28515625" customWidth="1"/>
    <col min="13" max="13" width="14.140625" customWidth="1"/>
    <col min="14" max="17" width="17.28515625" customWidth="1"/>
    <col min="18" max="18" width="14.140625" customWidth="1"/>
    <col min="19" max="19" width="17.28515625" bestFit="1" customWidth="1"/>
    <col min="20" max="22" width="17.28515625" customWidth="1"/>
    <col min="23" max="23" width="13.5703125" customWidth="1"/>
    <col min="24" max="24" width="15" customWidth="1"/>
    <col min="25" max="25" width="15.7109375" bestFit="1" customWidth="1"/>
    <col min="26" max="26" width="12.140625" bestFit="1" customWidth="1"/>
  </cols>
  <sheetData>
    <row r="1" spans="2:24" ht="18.75">
      <c r="B1" s="25" t="s">
        <v>60</v>
      </c>
    </row>
    <row r="2" spans="2:24" ht="18.75">
      <c r="B2" s="25" t="s">
        <v>347</v>
      </c>
    </row>
    <row r="3" spans="2:24" ht="18.75">
      <c r="B3" s="280" t="s">
        <v>745</v>
      </c>
      <c r="H3" s="65"/>
      <c r="I3" s="65"/>
      <c r="J3" s="65"/>
      <c r="K3" s="65"/>
      <c r="L3" s="65"/>
      <c r="M3" s="65"/>
      <c r="N3" s="65"/>
      <c r="O3" s="65"/>
      <c r="P3" s="65"/>
      <c r="Q3" s="65"/>
      <c r="R3" s="65"/>
      <c r="S3" s="8"/>
      <c r="T3" s="8"/>
      <c r="U3" s="8"/>
      <c r="V3" s="65"/>
    </row>
    <row r="4" spans="2:24" ht="15.75" customHeight="1">
      <c r="B4" s="25"/>
      <c r="H4" s="65"/>
      <c r="I4" s="65"/>
      <c r="J4" s="65"/>
      <c r="K4" s="65"/>
      <c r="L4" s="65"/>
      <c r="M4" s="65"/>
      <c r="N4" s="65"/>
      <c r="O4" s="65"/>
      <c r="P4" s="65"/>
      <c r="Q4" s="65"/>
      <c r="R4" s="65"/>
      <c r="S4" s="8"/>
      <c r="T4" s="8"/>
      <c r="U4" s="8"/>
      <c r="V4" s="65"/>
    </row>
    <row r="5" spans="2:24" ht="15.75" customHeight="1" thickBot="1">
      <c r="B5" s="182" t="s">
        <v>270</v>
      </c>
      <c r="H5" s="65"/>
      <c r="I5" s="65"/>
      <c r="J5" s="65"/>
      <c r="K5" s="65"/>
      <c r="L5" s="65"/>
      <c r="M5" s="65"/>
      <c r="N5" s="65"/>
      <c r="O5" s="65"/>
      <c r="P5" s="65"/>
      <c r="Q5" s="65"/>
      <c r="R5" s="65"/>
      <c r="S5" s="8"/>
      <c r="T5" s="8"/>
      <c r="U5" s="8"/>
      <c r="V5" s="65"/>
    </row>
    <row r="6" spans="2:24" ht="15.75" customHeight="1" thickBot="1">
      <c r="B6" s="186" t="s">
        <v>249</v>
      </c>
      <c r="C6" s="184"/>
      <c r="H6" s="65"/>
      <c r="I6" s="65"/>
      <c r="J6" s="65"/>
      <c r="K6" s="65"/>
      <c r="L6" s="65"/>
      <c r="M6" s="65"/>
      <c r="N6" s="65"/>
      <c r="O6" s="65"/>
      <c r="P6" s="65"/>
      <c r="Q6" s="65"/>
      <c r="R6" s="65"/>
      <c r="S6" s="8"/>
      <c r="T6" s="8"/>
      <c r="U6" s="8"/>
      <c r="V6" s="65"/>
    </row>
    <row r="7" spans="2:24" ht="15.75" customHeight="1" thickBot="1">
      <c r="B7" s="187" t="s">
        <v>254</v>
      </c>
      <c r="C7" s="183"/>
      <c r="H7" s="65"/>
      <c r="I7" s="65"/>
      <c r="J7" s="65"/>
      <c r="K7" s="65"/>
      <c r="L7" s="65"/>
      <c r="M7" s="65"/>
      <c r="N7" s="65"/>
      <c r="O7" s="65"/>
      <c r="P7" s="65"/>
      <c r="Q7" s="65"/>
      <c r="R7" s="65"/>
      <c r="S7" s="8"/>
      <c r="T7" s="8"/>
      <c r="U7" s="8"/>
      <c r="V7" s="65"/>
    </row>
    <row r="8" spans="2:24" ht="15.75" customHeight="1" thickBot="1">
      <c r="B8" s="188" t="s">
        <v>250</v>
      </c>
      <c r="C8" s="185"/>
      <c r="H8" s="65"/>
      <c r="I8" s="65"/>
      <c r="J8" s="65"/>
      <c r="K8" s="65"/>
      <c r="L8" s="65"/>
      <c r="M8" s="65"/>
      <c r="N8" s="65"/>
      <c r="O8" s="65"/>
      <c r="P8" s="65"/>
      <c r="Q8" s="65"/>
      <c r="R8" s="65"/>
      <c r="S8" s="8"/>
      <c r="T8" s="8"/>
      <c r="U8" s="8"/>
      <c r="V8" s="65"/>
    </row>
    <row r="9" spans="2:24" ht="15.75" customHeight="1" thickBot="1">
      <c r="B9" s="189" t="s">
        <v>252</v>
      </c>
      <c r="C9" s="27"/>
      <c r="H9" s="65"/>
      <c r="I9" s="65"/>
      <c r="J9" s="65"/>
      <c r="K9" s="65"/>
      <c r="L9" s="65"/>
      <c r="M9" s="65"/>
      <c r="N9" s="65"/>
      <c r="O9" s="65"/>
      <c r="P9" s="65"/>
      <c r="Q9" s="65"/>
      <c r="R9" s="65"/>
      <c r="S9" s="8"/>
      <c r="T9" s="8"/>
      <c r="U9" s="8"/>
      <c r="V9" s="65"/>
    </row>
    <row r="10" spans="2:24" ht="15.75" customHeight="1" thickBot="1">
      <c r="B10" s="195" t="s">
        <v>251</v>
      </c>
      <c r="C10" s="194"/>
      <c r="G10" s="1"/>
      <c r="H10" s="174"/>
      <c r="I10" s="65"/>
      <c r="J10" s="65"/>
      <c r="K10" s="65"/>
      <c r="L10" s="65"/>
      <c r="M10" s="65"/>
      <c r="N10" s="65"/>
      <c r="O10" s="65"/>
      <c r="P10" s="65"/>
      <c r="Q10" s="65"/>
      <c r="R10" s="65"/>
      <c r="S10" s="65"/>
      <c r="T10" s="65"/>
      <c r="U10" s="65"/>
      <c r="V10" s="65"/>
    </row>
    <row r="11" spans="2:24" ht="15.75" customHeight="1" thickBot="1">
      <c r="B11" s="238" t="s">
        <v>253</v>
      </c>
      <c r="C11" s="239"/>
      <c r="G11" s="1"/>
      <c r="H11" s="174"/>
      <c r="I11" s="65"/>
      <c r="J11" s="65"/>
      <c r="K11" s="65"/>
      <c r="L11" s="65"/>
      <c r="M11" s="65"/>
      <c r="N11" s="65"/>
      <c r="O11" s="65"/>
      <c r="P11" s="65"/>
      <c r="Q11" s="65"/>
      <c r="R11" s="65"/>
      <c r="S11" s="65"/>
      <c r="T11" s="65"/>
      <c r="U11" s="65"/>
      <c r="V11" s="65"/>
    </row>
    <row r="12" spans="2:24" ht="15.75" customHeight="1" thickBot="1">
      <c r="B12" s="208"/>
      <c r="C12" s="65"/>
      <c r="G12" s="1"/>
      <c r="I12" s="65"/>
      <c r="J12" s="65"/>
      <c r="K12" s="65"/>
      <c r="L12" s="65"/>
      <c r="M12" s="65"/>
      <c r="N12" s="65"/>
      <c r="O12" s="65"/>
      <c r="P12" s="65"/>
      <c r="Q12" s="65"/>
      <c r="R12" s="65"/>
      <c r="S12" s="65"/>
      <c r="T12" s="65"/>
      <c r="U12" s="65"/>
      <c r="V12" s="65"/>
    </row>
    <row r="13" spans="2:24" ht="15.75" customHeight="1" thickBot="1">
      <c r="B13" s="499" t="s">
        <v>743</v>
      </c>
      <c r="C13" s="172"/>
      <c r="D13" s="240"/>
      <c r="E13" s="240"/>
      <c r="F13" s="240"/>
      <c r="G13" s="240"/>
      <c r="H13" s="617" t="s">
        <v>309</v>
      </c>
      <c r="I13" s="221"/>
      <c r="J13" s="172"/>
      <c r="K13" s="172"/>
      <c r="L13" s="172"/>
      <c r="M13" s="941" t="s">
        <v>271</v>
      </c>
      <c r="N13" s="947"/>
      <c r="O13" s="947"/>
      <c r="P13" s="947"/>
      <c r="Q13" s="947"/>
      <c r="R13" s="941" t="s">
        <v>310</v>
      </c>
      <c r="S13" s="947"/>
      <c r="T13" s="172"/>
      <c r="U13" s="172"/>
      <c r="V13" s="222"/>
    </row>
    <row r="14" spans="2:24" ht="15.75" thickBot="1">
      <c r="B14" s="234" t="s">
        <v>12</v>
      </c>
      <c r="C14" s="234" t="s">
        <v>37</v>
      </c>
      <c r="D14" s="66" t="s">
        <v>121</v>
      </c>
      <c r="E14" s="235" t="s">
        <v>113</v>
      </c>
      <c r="F14" s="236" t="s">
        <v>115</v>
      </c>
      <c r="G14" s="237" t="s">
        <v>288</v>
      </c>
      <c r="H14" s="941" t="s">
        <v>744</v>
      </c>
      <c r="I14" s="938"/>
      <c r="J14" s="939" t="s">
        <v>858</v>
      </c>
      <c r="K14" s="940"/>
      <c r="L14" s="934" t="s">
        <v>859</v>
      </c>
      <c r="M14" s="942" t="s">
        <v>744</v>
      </c>
      <c r="N14" s="938"/>
      <c r="O14" s="939" t="s">
        <v>3</v>
      </c>
      <c r="P14" s="943"/>
      <c r="Q14" s="943" t="s">
        <v>859</v>
      </c>
      <c r="R14" s="942" t="s">
        <v>744</v>
      </c>
      <c r="S14" s="944"/>
      <c r="T14" s="945" t="s">
        <v>3</v>
      </c>
      <c r="U14" s="1035"/>
      <c r="V14" s="946" t="s">
        <v>859</v>
      </c>
    </row>
    <row r="15" spans="2:24">
      <c r="B15" s="643" t="str">
        <f>'A1 PUK KSR Fees'!D10</f>
        <v>A1</v>
      </c>
      <c r="C15" s="77" t="str">
        <f>'A1 PUK KSR Fees'!B3</f>
        <v>Key Stage Reviews - PUK KSR Costs Avoided</v>
      </c>
      <c r="D15" s="749" t="str">
        <f>'A1 PUK KSR Fees'!D17</f>
        <v>Validation</v>
      </c>
      <c r="E15" s="741" t="s">
        <v>370</v>
      </c>
      <c r="F15" s="225">
        <f>'A1 PUK KSR Fees'!D9</f>
        <v>0</v>
      </c>
      <c r="G15" s="225" t="str">
        <f>'Calcs - Scen 1'!C14</f>
        <v>A - High</v>
      </c>
      <c r="H15" s="620"/>
      <c r="I15" s="935">
        <f>'Calcs - Scen 1'!D18+'Calcs - Scen 1'!E18</f>
        <v>204996</v>
      </c>
      <c r="J15" s="936">
        <v>83996</v>
      </c>
      <c r="K15" s="619"/>
      <c r="L15" s="619">
        <f>I15-J15</f>
        <v>121000</v>
      </c>
      <c r="M15" s="620"/>
      <c r="N15" s="935">
        <f>'Calcs - Scen 2'!E18+'Calcs - Scen 2'!F18</f>
        <v>204996</v>
      </c>
      <c r="O15" s="936">
        <v>83996</v>
      </c>
      <c r="P15" s="619"/>
      <c r="Q15" s="619">
        <f>N15-O15</f>
        <v>121000</v>
      </c>
      <c r="R15" s="620"/>
      <c r="S15" s="621">
        <f>'Calcs - Scen 3'!D18+'Calcs - Scen 3'!E18</f>
        <v>163996.79999999999</v>
      </c>
      <c r="T15" s="1034">
        <v>67196.800000000003</v>
      </c>
      <c r="U15" s="1034"/>
      <c r="V15" s="935">
        <f>S15-T15</f>
        <v>96799.999999999985</v>
      </c>
      <c r="X15" s="491"/>
    </row>
    <row r="16" spans="2:24">
      <c r="B16" s="644" t="str">
        <f>'A2 Waste Validation Fees'!D10</f>
        <v>A2</v>
      </c>
      <c r="C16" s="78" t="str">
        <f>'A2 Waste Validation Fees'!B3</f>
        <v>Waste - Gateway Review Costs Avoided</v>
      </c>
      <c r="D16" s="750" t="str">
        <f>'A2 Waste Validation Fees'!D17</f>
        <v>Validation</v>
      </c>
      <c r="E16" s="742" t="s">
        <v>370</v>
      </c>
      <c r="F16" s="226">
        <f>'A2 Waste Validation Fees'!D9</f>
        <v>0</v>
      </c>
      <c r="G16" s="226" t="str">
        <f>'Calcs - Scen 1'!C21</f>
        <v>A - High</v>
      </c>
      <c r="H16" s="618"/>
      <c r="I16" s="623">
        <f>'Calcs - Scen 1'!D25+'Calcs - Scen 1'!E25</f>
        <v>45000</v>
      </c>
      <c r="J16" s="884">
        <v>15000</v>
      </c>
      <c r="K16" s="622"/>
      <c r="L16" s="619">
        <f t="shared" ref="L16:L36" si="0">I16-J16</f>
        <v>30000</v>
      </c>
      <c r="M16" s="618"/>
      <c r="N16" s="623">
        <f>'Calcs - Scen 2'!E25+'Calcs - Scen 2'!F25</f>
        <v>45000</v>
      </c>
      <c r="O16" s="884">
        <v>15000</v>
      </c>
      <c r="P16" s="622"/>
      <c r="Q16" s="619">
        <f t="shared" ref="Q16:Q36" si="1">N16-O16</f>
        <v>30000</v>
      </c>
      <c r="R16" s="618"/>
      <c r="S16" s="623">
        <f>'Calcs - Scen 3'!D25+'Calcs - Scen 3'!E25</f>
        <v>36000</v>
      </c>
      <c r="T16" s="910">
        <v>12000</v>
      </c>
      <c r="U16" s="910"/>
      <c r="V16" s="911">
        <f t="shared" ref="V16:V36" si="2">S16-T16</f>
        <v>24000</v>
      </c>
    </row>
    <row r="17" spans="2:22">
      <c r="B17" s="644" t="str">
        <f>'A3 Waste Data Capture'!D10</f>
        <v>A3</v>
      </c>
      <c r="C17" s="78" t="str">
        <f>'A3 Waste Data Capture'!B3</f>
        <v>Waste - Data Capture and Market Engagement</v>
      </c>
      <c r="D17" s="750" t="str">
        <f>'A3 Waste Data Capture'!D18</f>
        <v>Centre of Expertise</v>
      </c>
      <c r="E17" s="742" t="s">
        <v>370</v>
      </c>
      <c r="F17" s="226">
        <f>'A3 Waste Data Capture'!D9</f>
        <v>0</v>
      </c>
      <c r="G17" s="226" t="str">
        <f>'Calcs - Scen 1'!C28</f>
        <v>A - High</v>
      </c>
      <c r="H17" s="618"/>
      <c r="I17" s="623">
        <f>'Calcs - Scen 1'!D32+'Calcs - Scen 1'!E32</f>
        <v>63200</v>
      </c>
      <c r="J17" s="884">
        <v>50000</v>
      </c>
      <c r="K17" s="622"/>
      <c r="L17" s="619">
        <f t="shared" si="0"/>
        <v>13200</v>
      </c>
      <c r="M17" s="618"/>
      <c r="N17" s="623">
        <f>'Calcs - Scen 2'!E32+'Calcs - Scen 2'!F32</f>
        <v>63200</v>
      </c>
      <c r="O17" s="884">
        <v>50000</v>
      </c>
      <c r="P17" s="622"/>
      <c r="Q17" s="619">
        <f t="shared" si="1"/>
        <v>13200</v>
      </c>
      <c r="R17" s="618"/>
      <c r="S17" s="623">
        <f>'Calcs - Scen 3'!D32+'Calcs - Scen 3'!E32</f>
        <v>50560</v>
      </c>
      <c r="T17" s="910">
        <v>40000</v>
      </c>
      <c r="U17" s="910"/>
      <c r="V17" s="911">
        <f t="shared" si="2"/>
        <v>10560</v>
      </c>
    </row>
    <row r="18" spans="2:22">
      <c r="B18" s="644" t="str">
        <f>'A4 Waste Prog Support'!D10</f>
        <v>A4</v>
      </c>
      <c r="C18" s="78" t="str">
        <f>'A4 Waste Prog Support'!B3</f>
        <v>Waste - Programme Support</v>
      </c>
      <c r="D18" s="750" t="str">
        <f>'A4 Waste Prog Support'!D18</f>
        <v>Centre of Expertise</v>
      </c>
      <c r="E18" s="742" t="s">
        <v>370</v>
      </c>
      <c r="F18" s="226">
        <f>'A4 Waste Prog Support'!D9</f>
        <v>0</v>
      </c>
      <c r="G18" s="226" t="str">
        <f>'Calcs - Scen 1'!C35</f>
        <v>A - High</v>
      </c>
      <c r="H18" s="618"/>
      <c r="I18" s="623">
        <f>'Calcs - Scen 1'!D39+'Calcs - Scen 1'!E39</f>
        <v>150000</v>
      </c>
      <c r="J18" s="884">
        <v>50000</v>
      </c>
      <c r="K18" s="622"/>
      <c r="L18" s="619">
        <f t="shared" si="0"/>
        <v>100000</v>
      </c>
      <c r="M18" s="618"/>
      <c r="N18" s="623">
        <f>'Calcs - Scen 2'!E39+'Calcs - Scen 2'!F39</f>
        <v>150000</v>
      </c>
      <c r="O18" s="884">
        <v>50000</v>
      </c>
      <c r="P18" s="622"/>
      <c r="Q18" s="619">
        <f t="shared" si="1"/>
        <v>100000</v>
      </c>
      <c r="R18" s="618"/>
      <c r="S18" s="623">
        <f>'Calcs - Scen 3'!D39+'Calcs - Scen 3'!E39</f>
        <v>120000</v>
      </c>
      <c r="T18" s="910">
        <v>40000</v>
      </c>
      <c r="U18" s="910"/>
      <c r="V18" s="911">
        <f t="shared" si="2"/>
        <v>80000</v>
      </c>
    </row>
    <row r="19" spans="2:22">
      <c r="B19" s="644" t="str">
        <f>'A5 Waste Proc Cost Benefits '!D10</f>
        <v>A5</v>
      </c>
      <c r="C19" s="78" t="str">
        <f>'A5 Waste Proc Cost Benefits '!B3</f>
        <v>Waste - Procurement Cost Benefits - Avoided Support Costs</v>
      </c>
      <c r="D19" s="750" t="str">
        <f>'A5 Waste Proc Cost Benefits '!D18</f>
        <v>Centre of Expertise</v>
      </c>
      <c r="E19" s="742" t="s">
        <v>370</v>
      </c>
      <c r="F19" s="226">
        <f>'A5 Waste Proc Cost Benefits '!D9</f>
        <v>0</v>
      </c>
      <c r="G19" s="226" t="str">
        <f>'Calcs - Scen 1'!C42</f>
        <v>A - High</v>
      </c>
      <c r="H19" s="618"/>
      <c r="I19" s="623">
        <f>'Calcs - Scen 1'!D46+'Calcs - Scen 1'!E46</f>
        <v>594000</v>
      </c>
      <c r="J19" s="884">
        <v>162000</v>
      </c>
      <c r="K19" s="622"/>
      <c r="L19" s="619">
        <f t="shared" si="0"/>
        <v>432000</v>
      </c>
      <c r="M19" s="618"/>
      <c r="N19" s="623">
        <f>'Calcs - Scen 2'!E46+'Calcs - Scen 2'!F46</f>
        <v>594000</v>
      </c>
      <c r="O19" s="884">
        <v>162000</v>
      </c>
      <c r="P19" s="622"/>
      <c r="Q19" s="619">
        <f t="shared" si="1"/>
        <v>432000</v>
      </c>
      <c r="R19" s="618"/>
      <c r="S19" s="623">
        <f>'Calcs - Scen 3'!D46+'Calcs - Scen 3'!E46</f>
        <v>475200</v>
      </c>
      <c r="T19" s="910">
        <v>129600</v>
      </c>
      <c r="U19" s="910"/>
      <c r="V19" s="911">
        <f t="shared" si="2"/>
        <v>345600</v>
      </c>
    </row>
    <row r="20" spans="2:22">
      <c r="B20" s="644" t="str">
        <f>'A6 ESA95 Consult Fees'!D10</f>
        <v>A6</v>
      </c>
      <c r="C20" s="78" t="str">
        <f>'A6 ESA95 Consult Fees'!B3</f>
        <v>ESA 95 - Consultancy Costs Avoided</v>
      </c>
      <c r="D20" s="750" t="str">
        <f>'A6 ESA95 Consult Fees'!D16</f>
        <v>Funding &amp; Finance</v>
      </c>
      <c r="E20" s="742" t="s">
        <v>370</v>
      </c>
      <c r="F20" s="226">
        <f>'A6 ESA95 Consult Fees'!D9</f>
        <v>0</v>
      </c>
      <c r="G20" s="226" t="str">
        <f>'Calcs - Scen 1'!C49</f>
        <v>A - High</v>
      </c>
      <c r="H20" s="618"/>
      <c r="I20" s="623">
        <f>'Calcs - Scen 1'!D53+'Calcs - Scen 1'!E53</f>
        <v>53249.774752499994</v>
      </c>
      <c r="J20" s="884">
        <v>29156.25</v>
      </c>
      <c r="K20" s="622"/>
      <c r="L20" s="619">
        <f t="shared" si="0"/>
        <v>24093.524752499994</v>
      </c>
      <c r="M20" s="618"/>
      <c r="N20" s="623">
        <f>'Calcs - Scen 2'!E53+'Calcs - Scen 2'!F53</f>
        <v>53249.774752499994</v>
      </c>
      <c r="O20" s="884">
        <v>29156.25</v>
      </c>
      <c r="P20" s="622"/>
      <c r="Q20" s="619">
        <f t="shared" si="1"/>
        <v>24093.524752499994</v>
      </c>
      <c r="R20" s="618"/>
      <c r="S20" s="623">
        <f>'Calcs - Scen 3'!D53+'Calcs - Scen 3'!E53</f>
        <v>42599.819801999998</v>
      </c>
      <c r="T20" s="910">
        <v>23325</v>
      </c>
      <c r="U20" s="910"/>
      <c r="V20" s="911">
        <f t="shared" si="2"/>
        <v>19274.819801999998</v>
      </c>
    </row>
    <row r="21" spans="2:22">
      <c r="B21" s="644" t="str">
        <f>'A7 TIF Consult Fees'!D10</f>
        <v>A7</v>
      </c>
      <c r="C21" s="78" t="str">
        <f>'A7 TIF Consult Fees'!B3</f>
        <v>TIF - Consultancy Costs Avoided</v>
      </c>
      <c r="D21" s="750" t="str">
        <f>'A7 TIF Consult Fees'!D16</f>
        <v>Funding &amp; Finance</v>
      </c>
      <c r="E21" s="742" t="s">
        <v>370</v>
      </c>
      <c r="F21" s="226">
        <f>'A7 TIF Consult Fees'!D9</f>
        <v>0</v>
      </c>
      <c r="G21" s="226" t="str">
        <f>'Calcs - Scen 1'!C56</f>
        <v>A - High</v>
      </c>
      <c r="H21" s="618"/>
      <c r="I21" s="623">
        <f>'Calcs - Scen 1'!D60+'Calcs - Scen 1'!E60</f>
        <v>174469</v>
      </c>
      <c r="J21" s="884">
        <v>47343.75</v>
      </c>
      <c r="K21" s="622"/>
      <c r="L21" s="619">
        <f t="shared" si="0"/>
        <v>127125.25</v>
      </c>
      <c r="M21" s="618"/>
      <c r="N21" s="623">
        <f>'Calcs - Scen 2'!E60+'Calcs - Scen 2'!F60</f>
        <v>174469</v>
      </c>
      <c r="O21" s="884">
        <v>47343.75</v>
      </c>
      <c r="P21" s="622"/>
      <c r="Q21" s="619">
        <f t="shared" si="1"/>
        <v>127125.25</v>
      </c>
      <c r="R21" s="618"/>
      <c r="S21" s="623">
        <f>'Calcs - Scen 3'!D60+'Calcs - Scen 3'!E60</f>
        <v>139575.20000000001</v>
      </c>
      <c r="T21" s="910">
        <v>37875</v>
      </c>
      <c r="U21" s="910"/>
      <c r="V21" s="911">
        <f t="shared" si="2"/>
        <v>101700.20000000001</v>
      </c>
    </row>
    <row r="22" spans="2:22">
      <c r="B22" s="644" t="str">
        <f>'A8 NHT Consult Fees'!D10</f>
        <v>A8</v>
      </c>
      <c r="C22" s="78" t="str">
        <f>'A8 NHT Consult Fees'!B3</f>
        <v>NHT - Consultancy Costs Avoided</v>
      </c>
      <c r="D22" s="750" t="str">
        <f>'A8 NHT Consult Fees'!D16</f>
        <v>Funding &amp; Finance</v>
      </c>
      <c r="E22" s="742" t="s">
        <v>370</v>
      </c>
      <c r="F22" s="226">
        <f>'A8 NHT Consult Fees'!$D$9</f>
        <v>0</v>
      </c>
      <c r="G22" s="226" t="str">
        <f>'Calcs - Scen 1'!C63</f>
        <v>A - High</v>
      </c>
      <c r="H22" s="618"/>
      <c r="I22" s="623">
        <f>'Calcs - Scen 1'!D67+'Calcs - Scen 1'!E67</f>
        <v>851400</v>
      </c>
      <c r="J22" s="884">
        <v>378600</v>
      </c>
      <c r="K22" s="622"/>
      <c r="L22" s="619">
        <f t="shared" si="0"/>
        <v>472800</v>
      </c>
      <c r="M22" s="618"/>
      <c r="N22" s="623">
        <f>'Calcs - Scen 2'!E67+'Calcs - Scen 2'!F67</f>
        <v>851400</v>
      </c>
      <c r="O22" s="884">
        <v>378600</v>
      </c>
      <c r="P22" s="622"/>
      <c r="Q22" s="619">
        <f t="shared" si="1"/>
        <v>472800</v>
      </c>
      <c r="R22" s="618"/>
      <c r="S22" s="623">
        <f>'Calcs - Scen 3'!D67+'Calcs - Scen 3'!E67</f>
        <v>681120</v>
      </c>
      <c r="T22" s="910">
        <v>302880</v>
      </c>
      <c r="U22" s="910"/>
      <c r="V22" s="911">
        <f t="shared" si="2"/>
        <v>378240</v>
      </c>
    </row>
    <row r="23" spans="2:22">
      <c r="B23" s="645" t="str">
        <f>'A9 URC Consult Fees'!D10</f>
        <v>A9</v>
      </c>
      <c r="C23" s="78" t="str">
        <f>'A9 URC Consult Fees'!B3</f>
        <v>URC - Consultancy Costs Avoided</v>
      </c>
      <c r="D23" s="750" t="str">
        <f>'A9 URC Consult Fees'!D19</f>
        <v>Other</v>
      </c>
      <c r="E23" s="742" t="s">
        <v>370</v>
      </c>
      <c r="F23" s="226">
        <f>'A9 URC Consult Fees'!D9</f>
        <v>0</v>
      </c>
      <c r="G23" s="226" t="str">
        <f>'A9 URC Consult Fees'!D47</f>
        <v>A - High</v>
      </c>
      <c r="H23" s="618"/>
      <c r="I23" s="623">
        <f>'Calcs - Scen 1'!D74+'Calcs - Scen 1'!E74</f>
        <v>16200</v>
      </c>
      <c r="J23" s="884">
        <v>0</v>
      </c>
      <c r="K23" s="622"/>
      <c r="L23" s="619">
        <f t="shared" si="0"/>
        <v>16200</v>
      </c>
      <c r="M23" s="618"/>
      <c r="N23" s="623">
        <f>'Calcs - Scen 2'!E74+'Calcs - Scen 2'!F74</f>
        <v>16200</v>
      </c>
      <c r="O23" s="884">
        <v>0</v>
      </c>
      <c r="P23" s="622"/>
      <c r="Q23" s="619">
        <f t="shared" si="1"/>
        <v>16200</v>
      </c>
      <c r="R23" s="618"/>
      <c r="S23" s="623">
        <f>'Calcs - Scen 3'!D74+'Calcs - Scen 3'!E74</f>
        <v>12960</v>
      </c>
      <c r="T23" s="910">
        <v>0</v>
      </c>
      <c r="U23" s="910"/>
      <c r="V23" s="911">
        <f t="shared" si="2"/>
        <v>12960</v>
      </c>
    </row>
    <row r="24" spans="2:22">
      <c r="B24" s="645" t="str">
        <f>'A10 CMAL Consult Fees '!D10</f>
        <v>A10</v>
      </c>
      <c r="C24" s="78" t="str">
        <f>'A10 CMAL Consult Fees '!B3</f>
        <v>CMAL - Consultancy Costs Avoided</v>
      </c>
      <c r="D24" s="750" t="str">
        <f>'A10 CMAL Consult Fees '!D17</f>
        <v>Validation</v>
      </c>
      <c r="E24" s="742" t="s">
        <v>370</v>
      </c>
      <c r="F24" s="226">
        <f>'A10 CMAL Consult Fees '!D9</f>
        <v>0</v>
      </c>
      <c r="G24" s="226" t="str">
        <f>'A10 CMAL Consult Fees '!D47</f>
        <v>A - High</v>
      </c>
      <c r="H24" s="618"/>
      <c r="I24" s="623">
        <f>'Calcs - Scen 1'!D81+'Calcs - Scen 1'!E81</f>
        <v>100000</v>
      </c>
      <c r="J24" s="884">
        <v>0</v>
      </c>
      <c r="K24" s="622"/>
      <c r="L24" s="619">
        <f t="shared" si="0"/>
        <v>100000</v>
      </c>
      <c r="M24" s="618"/>
      <c r="N24" s="623">
        <f>'Calcs - Scen 2'!E81+'Calcs - Scen 2'!F81</f>
        <v>100000</v>
      </c>
      <c r="O24" s="884">
        <v>0</v>
      </c>
      <c r="P24" s="622"/>
      <c r="Q24" s="619">
        <f t="shared" si="1"/>
        <v>100000</v>
      </c>
      <c r="R24" s="618"/>
      <c r="S24" s="623">
        <f>'Calcs - Scen 3'!D81+'Calcs - Scen 3'!E81</f>
        <v>80000</v>
      </c>
      <c r="T24" s="910">
        <v>0</v>
      </c>
      <c r="U24" s="910"/>
      <c r="V24" s="911">
        <f t="shared" si="2"/>
        <v>80000</v>
      </c>
    </row>
    <row r="25" spans="2:22">
      <c r="B25" s="645" t="str">
        <f>'A11 CH Consult Fees'!D10</f>
        <v>A11</v>
      </c>
      <c r="C25" s="78" t="str">
        <f>'A11 CH Consult Fees'!B3</f>
        <v>Collaborative Housing - Consultancy Costs Avoided</v>
      </c>
      <c r="D25" s="750" t="str">
        <f>'A11 CH Consult Fees'!D14</f>
        <v>Delivery</v>
      </c>
      <c r="E25" s="742" t="s">
        <v>370</v>
      </c>
      <c r="F25" s="226">
        <f>'A11 CH Consult Fees'!D9</f>
        <v>0</v>
      </c>
      <c r="G25" s="226" t="str">
        <f>'A11 CH Consult Fees'!D47</f>
        <v>A - High</v>
      </c>
      <c r="H25" s="618"/>
      <c r="I25" s="623">
        <f>'Calcs - Scen 1'!D88+'Calcs - Scen 1'!E88</f>
        <v>149000</v>
      </c>
      <c r="J25" s="884">
        <v>0</v>
      </c>
      <c r="K25" s="622"/>
      <c r="L25" s="619">
        <f t="shared" si="0"/>
        <v>149000</v>
      </c>
      <c r="M25" s="618"/>
      <c r="N25" s="623">
        <f>'Calcs - Scen 2'!E88+'Calcs - Scen 2'!F88</f>
        <v>149000</v>
      </c>
      <c r="O25" s="884">
        <v>0</v>
      </c>
      <c r="P25" s="622"/>
      <c r="Q25" s="619">
        <f t="shared" si="1"/>
        <v>149000</v>
      </c>
      <c r="R25" s="618"/>
      <c r="S25" s="623">
        <f>'Calcs - Scen 3'!D88+'Calcs - Scen 3'!E88</f>
        <v>119200</v>
      </c>
      <c r="T25" s="910">
        <v>0</v>
      </c>
      <c r="U25" s="910"/>
      <c r="V25" s="911">
        <f t="shared" si="2"/>
        <v>119200</v>
      </c>
    </row>
    <row r="26" spans="2:22">
      <c r="B26" s="645" t="str">
        <f>'A12 Waste Avoided Abort Cost CV'!D10</f>
        <v>A12</v>
      </c>
      <c r="C26" s="78" t="str">
        <f>'A12 Waste Avoided Abort Cost CV'!B3</f>
        <v>Waste - Avoided Abortive Advisory Costs Clyde Valley</v>
      </c>
      <c r="D26" s="750" t="str">
        <f>'A12 Waste Avoided Abort Cost CV'!D17</f>
        <v>Validation</v>
      </c>
      <c r="E26" s="742" t="s">
        <v>370</v>
      </c>
      <c r="F26" s="226">
        <f>'A12 Waste Avoided Abort Cost CV'!D9</f>
        <v>0</v>
      </c>
      <c r="G26" s="226" t="str">
        <f>'A12 Waste Avoided Abort Cost CV'!D47</f>
        <v>A - High</v>
      </c>
      <c r="H26" s="618"/>
      <c r="I26" s="623">
        <f>'Calcs - Scen 1'!D95+'Calcs - Scen 1'!E95</f>
        <v>77000</v>
      </c>
      <c r="J26" s="884">
        <v>0</v>
      </c>
      <c r="K26" s="622"/>
      <c r="L26" s="619">
        <f t="shared" si="0"/>
        <v>77000</v>
      </c>
      <c r="M26" s="618"/>
      <c r="N26" s="623">
        <f>'Calcs - Scen 2'!E95+'Calcs - Scen 2'!F95</f>
        <v>77000</v>
      </c>
      <c r="O26" s="884">
        <v>0</v>
      </c>
      <c r="P26" s="622"/>
      <c r="Q26" s="619">
        <f t="shared" si="1"/>
        <v>77000</v>
      </c>
      <c r="R26" s="618"/>
      <c r="S26" s="623">
        <f>'Calcs - Scen 3'!D95+'Calcs - Scen 3'!E95</f>
        <v>61600</v>
      </c>
      <c r="T26" s="910">
        <v>0</v>
      </c>
      <c r="U26" s="910"/>
      <c r="V26" s="911">
        <f t="shared" si="2"/>
        <v>61600</v>
      </c>
    </row>
    <row r="27" spans="2:22">
      <c r="B27" s="645" t="str">
        <f>'A13 Waste Avoid Advisor Non CV '!D10</f>
        <v>A13</v>
      </c>
      <c r="C27" s="78" t="str">
        <f>'A13 Waste Avoid Advisor Non CV '!B3</f>
        <v>Waste - Avoided Advisory Costs - Projects other than Clyde Valley</v>
      </c>
      <c r="D27" s="750" t="str">
        <f>'A13 Waste Avoid Advisor Non CV '!D18</f>
        <v>Centre of Expertise</v>
      </c>
      <c r="E27" s="742" t="s">
        <v>370</v>
      </c>
      <c r="F27" s="226">
        <f>'A13 Waste Avoid Advisor Non CV '!D9</f>
        <v>0</v>
      </c>
      <c r="G27" s="226" t="str">
        <f>'A13 Waste Avoid Advisor Non CV '!D47</f>
        <v>C - Good</v>
      </c>
      <c r="H27" s="618"/>
      <c r="I27" s="623">
        <f>'Calcs - Scen 1'!D102+'Calcs - Scen 1'!E102</f>
        <v>104267.93500039438</v>
      </c>
      <c r="J27" s="884">
        <v>0</v>
      </c>
      <c r="K27" s="622"/>
      <c r="L27" s="619">
        <f t="shared" si="0"/>
        <v>104267.93500039438</v>
      </c>
      <c r="M27" s="618"/>
      <c r="N27" s="623">
        <f>'Calcs - Scen 2'!E102+'Calcs - Scen 2'!F102</f>
        <v>104267.93500039438</v>
      </c>
      <c r="O27" s="884">
        <v>0</v>
      </c>
      <c r="P27" s="622"/>
      <c r="Q27" s="619">
        <f t="shared" si="1"/>
        <v>104267.93500039438</v>
      </c>
      <c r="R27" s="618"/>
      <c r="S27" s="623">
        <f>'Calcs - Scen 3'!D102+'Calcs - Scen 3'!E102</f>
        <v>76463.152333622536</v>
      </c>
      <c r="T27" s="910">
        <v>0</v>
      </c>
      <c r="U27" s="910"/>
      <c r="V27" s="911">
        <f t="shared" si="2"/>
        <v>76463.152333622536</v>
      </c>
    </row>
    <row r="28" spans="2:22">
      <c r="B28" s="645" t="str">
        <f>'A14 Waste Avoid Advisor CV '!D10</f>
        <v>A14</v>
      </c>
      <c r="C28" s="78" t="str">
        <f>'A14 Waste Avoid Advisor CV '!B3</f>
        <v>Waste - Avoided Advisory Costs - Clyde Valley</v>
      </c>
      <c r="D28" s="750" t="str">
        <f>'A14 Waste Avoid Advisor CV '!D18</f>
        <v>Centre of Expertise</v>
      </c>
      <c r="E28" s="742" t="s">
        <v>370</v>
      </c>
      <c r="F28" s="226">
        <f>'A14 Waste Avoid Advisor CV '!D9</f>
        <v>0</v>
      </c>
      <c r="G28" s="226" t="str">
        <f>'A14 Waste Avoid Advisor CV '!D47</f>
        <v>D - Moderate</v>
      </c>
      <c r="H28" s="618"/>
      <c r="I28" s="623">
        <f>'Calcs - Scen 1'!D109+'Calcs - Scen 1'!E109</f>
        <v>8193.0383921536686</v>
      </c>
      <c r="J28" s="884">
        <v>0</v>
      </c>
      <c r="K28" s="622"/>
      <c r="L28" s="619">
        <f t="shared" si="0"/>
        <v>8193.0383921536686</v>
      </c>
      <c r="M28" s="618"/>
      <c r="N28" s="623">
        <f>'Calcs - Scen 2'!E109+'Calcs - Scen 2'!F109</f>
        <v>8193.0383921536686</v>
      </c>
      <c r="O28" s="884">
        <v>0</v>
      </c>
      <c r="P28" s="622"/>
      <c r="Q28" s="619">
        <f t="shared" si="1"/>
        <v>8193.0383921536686</v>
      </c>
      <c r="R28" s="618"/>
      <c r="S28" s="623">
        <f>'Calcs - Scen 3'!D109+'Calcs - Scen 3'!E109</f>
        <v>5213.7517040977891</v>
      </c>
      <c r="T28" s="910">
        <v>0</v>
      </c>
      <c r="U28" s="910"/>
      <c r="V28" s="911">
        <f t="shared" si="2"/>
        <v>5213.7517040977891</v>
      </c>
    </row>
    <row r="29" spans="2:22">
      <c r="B29" s="645" t="str">
        <f>'A15 Waste Avoid Disposal Non CV'!D10</f>
        <v>A15</v>
      </c>
      <c r="C29" s="78" t="str">
        <f>'A15 Waste Avoid Disposal Non CV'!B3</f>
        <v xml:space="preserve">Waste - Avoided Disposal Costs - Clyde Valley </v>
      </c>
      <c r="D29" s="750" t="str">
        <f>'A15 Waste Avoid Disposal Non CV'!D14</f>
        <v>Delivery</v>
      </c>
      <c r="E29" s="742" t="s">
        <v>370</v>
      </c>
      <c r="F29" s="226">
        <f>'A15 Waste Avoid Disposal Non CV'!D9</f>
        <v>0</v>
      </c>
      <c r="G29" s="226" t="str">
        <f>'A15 Waste Avoid Disposal Non CV'!D47</f>
        <v>D - Moderate</v>
      </c>
      <c r="H29" s="618"/>
      <c r="I29" s="623">
        <f>'Calcs - Scen 1'!D116+'Calcs - Scen 1'!E116</f>
        <v>12595.996389308633</v>
      </c>
      <c r="J29" s="884">
        <v>0</v>
      </c>
      <c r="K29" s="622"/>
      <c r="L29" s="619">
        <f t="shared" si="0"/>
        <v>12595.996389308633</v>
      </c>
      <c r="M29" s="618"/>
      <c r="N29" s="623">
        <f>'Calcs - Scen 2'!E116+'Calcs - Scen 2'!F116</f>
        <v>12595.996389308633</v>
      </c>
      <c r="O29" s="884">
        <v>0</v>
      </c>
      <c r="P29" s="622"/>
      <c r="Q29" s="619">
        <f t="shared" si="1"/>
        <v>12595.996389308633</v>
      </c>
      <c r="R29" s="618"/>
      <c r="S29" s="623">
        <f>'Calcs - Scen 3'!D116+'Calcs - Scen 3'!E116</f>
        <v>8015.6340659236748</v>
      </c>
      <c r="T29" s="910">
        <v>0</v>
      </c>
      <c r="U29" s="910"/>
      <c r="V29" s="911">
        <f t="shared" si="2"/>
        <v>8015.6340659236748</v>
      </c>
    </row>
    <row r="30" spans="2:22">
      <c r="B30" s="645" t="str">
        <f>'A16 Waste Food Treatment Suppor'!D10</f>
        <v>A16</v>
      </c>
      <c r="C30" s="78" t="str">
        <f>'A16 Waste Food Treatment Suppor'!B3</f>
        <v>Waste - Food Treatment Support</v>
      </c>
      <c r="D30" s="750" t="str">
        <f>'A16 Waste Food Treatment Suppor'!D14</f>
        <v>Delivery</v>
      </c>
      <c r="E30" s="742" t="s">
        <v>370</v>
      </c>
      <c r="F30" s="226">
        <f>'A16 Waste Food Treatment Suppor'!D9</f>
        <v>0</v>
      </c>
      <c r="G30" s="226" t="str">
        <f>'A16 Waste Food Treatment Suppor'!D47</f>
        <v>A - High</v>
      </c>
      <c r="H30" s="618"/>
      <c r="I30" s="623">
        <f>'Calcs - Scen 1'!D123+'Calcs - Scen 1'!E123</f>
        <v>12000</v>
      </c>
      <c r="J30" s="884">
        <v>0</v>
      </c>
      <c r="K30" s="622"/>
      <c r="L30" s="619">
        <f t="shared" si="0"/>
        <v>12000</v>
      </c>
      <c r="M30" s="618"/>
      <c r="N30" s="623">
        <f>'Calcs - Scen 2'!E123+'Calcs - Scen 2'!F123</f>
        <v>12000</v>
      </c>
      <c r="O30" s="884">
        <v>0</v>
      </c>
      <c r="P30" s="622"/>
      <c r="Q30" s="619">
        <f t="shared" si="1"/>
        <v>12000</v>
      </c>
      <c r="R30" s="618"/>
      <c r="S30" s="623">
        <f>'Calcs - Scen 3'!D123+'Calcs - Scen 3'!E123</f>
        <v>9600</v>
      </c>
      <c r="T30" s="910">
        <v>0</v>
      </c>
      <c r="U30" s="910"/>
      <c r="V30" s="911">
        <f t="shared" si="2"/>
        <v>9600</v>
      </c>
    </row>
    <row r="31" spans="2:22">
      <c r="B31" s="645" t="str">
        <f>'A17 Wst Avoid Future Variations'!D10</f>
        <v>A17</v>
      </c>
      <c r="C31" s="78" t="str">
        <f>'A17 Wst Avoid Future Variations'!B3</f>
        <v>Waste - Avoided Future Contract Variations</v>
      </c>
      <c r="D31" s="750" t="str">
        <f>'A17 Wst Avoid Future Variations'!D18</f>
        <v>Centre of Expertise</v>
      </c>
      <c r="E31" s="742" t="s">
        <v>370</v>
      </c>
      <c r="F31" s="226">
        <f>'A17 Wst Avoid Future Variations'!D9</f>
        <v>0</v>
      </c>
      <c r="G31" s="226" t="str">
        <f>'A17 Wst Avoid Future Variations'!D47</f>
        <v>D - Moderate</v>
      </c>
      <c r="H31" s="618"/>
      <c r="I31" s="623">
        <f>'Calcs - Scen 1'!D130+'Calcs - Scen 1'!E130</f>
        <v>996241.7014643359</v>
      </c>
      <c r="J31" s="884">
        <v>0</v>
      </c>
      <c r="K31" s="622"/>
      <c r="L31" s="619">
        <f t="shared" si="0"/>
        <v>996241.7014643359</v>
      </c>
      <c r="M31" s="618"/>
      <c r="N31" s="623">
        <f>'Calcs - Scen 2'!E130+'Calcs - Scen 2'!F130</f>
        <v>196385.33564322779</v>
      </c>
      <c r="O31" s="884">
        <v>0</v>
      </c>
      <c r="P31" s="622"/>
      <c r="Q31" s="619">
        <f t="shared" si="1"/>
        <v>196385.33564322779</v>
      </c>
      <c r="R31" s="618"/>
      <c r="S31" s="623">
        <f>'Calcs - Scen 3'!D130+'Calcs - Scen 3'!E130</f>
        <v>124972.48631841771</v>
      </c>
      <c r="T31" s="910">
        <v>0</v>
      </c>
      <c r="U31" s="910"/>
      <c r="V31" s="911">
        <f t="shared" si="2"/>
        <v>124972.48631841771</v>
      </c>
    </row>
    <row r="32" spans="2:22">
      <c r="B32" s="645" t="str">
        <f>'A18 NPD Contract-Avoid Consulta'!D10</f>
        <v>A18</v>
      </c>
      <c r="C32" s="78" t="str">
        <f>'A18 NPD Contract-Avoid Consulta'!B3</f>
        <v>Avoided Consultancy Costs - NPD Contract</v>
      </c>
      <c r="D32" s="750" t="str">
        <f>'A18 NPD Contract-Avoid Consulta'!D16</f>
        <v>Funding &amp; Finance</v>
      </c>
      <c r="E32" s="742" t="s">
        <v>370</v>
      </c>
      <c r="F32" s="226">
        <v>0</v>
      </c>
      <c r="G32" s="226" t="str">
        <f>'A18 NPD Contract-Avoid Consulta'!D47</f>
        <v>A - High</v>
      </c>
      <c r="H32" s="618"/>
      <c r="I32" s="623">
        <f>'Calcs - Scen 1'!D137+'Calcs - Scen 1'!E137</f>
        <v>74000</v>
      </c>
      <c r="J32" s="884">
        <v>0</v>
      </c>
      <c r="K32" s="622"/>
      <c r="L32" s="619">
        <f t="shared" si="0"/>
        <v>74000</v>
      </c>
      <c r="M32" s="618"/>
      <c r="N32" s="623">
        <f>'Calcs - Scen 2'!E137+'Calcs - Scen 2'!F137</f>
        <v>74000</v>
      </c>
      <c r="O32" s="884">
        <v>0</v>
      </c>
      <c r="P32" s="622"/>
      <c r="Q32" s="619">
        <f t="shared" si="1"/>
        <v>74000</v>
      </c>
      <c r="R32" s="618"/>
      <c r="S32" s="623">
        <f>'Calcs - Scen 3'!D137+'Calcs - Scen 3'!E137</f>
        <v>59200</v>
      </c>
      <c r="T32" s="910">
        <v>0</v>
      </c>
      <c r="U32" s="910"/>
      <c r="V32" s="911">
        <f t="shared" si="2"/>
        <v>59200</v>
      </c>
    </row>
    <row r="33" spans="2:22">
      <c r="B33" s="645" t="str">
        <f>'A19 hub consultancy avoided'!D10</f>
        <v>A19</v>
      </c>
      <c r="C33" s="78" t="str">
        <f>'A19 hub consultancy avoided'!B3</f>
        <v>hub - Consultancy Costs Avoided</v>
      </c>
      <c r="D33" s="750" t="str">
        <f>'A19 hub consultancy avoided'!D14</f>
        <v>Delivery</v>
      </c>
      <c r="E33" s="742" t="s">
        <v>370</v>
      </c>
      <c r="F33" s="226">
        <v>0</v>
      </c>
      <c r="G33" s="226" t="str">
        <f>'A19 hub consultancy avoided'!D47</f>
        <v>B - Very Good</v>
      </c>
      <c r="H33" s="618"/>
      <c r="I33" s="623">
        <f>'Calcs - Scen 1'!D144+'Calcs - Scen 1'!E144</f>
        <v>121095.65217391305</v>
      </c>
      <c r="J33" s="884">
        <v>0</v>
      </c>
      <c r="K33" s="622"/>
      <c r="L33" s="619">
        <f t="shared" si="0"/>
        <v>121095.65217391305</v>
      </c>
      <c r="M33" s="618"/>
      <c r="N33" s="623">
        <f>'Calcs - Scen 2'!E144+'Calcs - Scen 2'!F144</f>
        <v>121095.65217391305</v>
      </c>
      <c r="O33" s="884">
        <v>0</v>
      </c>
      <c r="P33" s="622"/>
      <c r="Q33" s="619">
        <f t="shared" si="1"/>
        <v>121095.65217391305</v>
      </c>
      <c r="R33" s="618"/>
      <c r="S33" s="623">
        <f>'Calcs - Scen 3'!D144+'Calcs - Scen 3'!E144</f>
        <v>94185.507246376816</v>
      </c>
      <c r="T33" s="910">
        <v>0</v>
      </c>
      <c r="U33" s="910"/>
      <c r="V33" s="911">
        <f t="shared" si="2"/>
        <v>94185.507246376816</v>
      </c>
    </row>
    <row r="34" spans="2:22">
      <c r="B34" s="645" t="str">
        <f>'A20 hub performance mngt'!D10</f>
        <v>A20</v>
      </c>
      <c r="C34" s="78" t="str">
        <f>'A20 hub performance mngt'!B3</f>
        <v>hub performance management - avoided costs</v>
      </c>
      <c r="D34" s="750" t="str">
        <f>'A20 hub performance mngt'!D14</f>
        <v>Delivery</v>
      </c>
      <c r="E34" s="742" t="s">
        <v>370</v>
      </c>
      <c r="F34" s="226">
        <v>0</v>
      </c>
      <c r="G34" s="226" t="str">
        <f>'A20 hub performance mngt'!D47</f>
        <v>B - Very Good</v>
      </c>
      <c r="H34" s="618"/>
      <c r="I34" s="623">
        <f>'Calcs - Scen 1'!D151+'Calcs - Scen 1'!E151</f>
        <v>47823.943264196052</v>
      </c>
      <c r="J34" s="884">
        <v>0</v>
      </c>
      <c r="K34" s="622"/>
      <c r="L34" s="619">
        <f t="shared" si="0"/>
        <v>47823.943264196052</v>
      </c>
      <c r="M34" s="757"/>
      <c r="N34" s="759">
        <f>'Calcs - Scen 2'!E151+'Calcs - Scen 2'!F151</f>
        <v>47823.943264196052</v>
      </c>
      <c r="O34" s="885">
        <v>0</v>
      </c>
      <c r="P34" s="758"/>
      <c r="Q34" s="619">
        <f t="shared" si="1"/>
        <v>47823.943264196052</v>
      </c>
      <c r="R34" s="757"/>
      <c r="S34" s="759">
        <f>'Calcs - Scen 3'!D151+'Calcs - Scen 3'!E151</f>
        <v>37196.400316596926</v>
      </c>
      <c r="T34" s="912">
        <v>0</v>
      </c>
      <c r="U34" s="912"/>
      <c r="V34" s="911">
        <f t="shared" si="2"/>
        <v>37196.400316596926</v>
      </c>
    </row>
    <row r="35" spans="2:22" ht="15.75" thickBot="1">
      <c r="B35" s="645" t="str">
        <f>'A21 Asset Mgt Avoided Dev Work'!D10</f>
        <v>A21</v>
      </c>
      <c r="C35" s="78" t="str">
        <f>'A21 Asset Mgt Avoided Dev Work'!B3</f>
        <v>Asset Management - Avoided Cost of Pilot Development Work (Consultancy Costs Avoided)</v>
      </c>
      <c r="D35" s="750" t="str">
        <f>'A21 Asset Mgt Avoided Dev Work'!D18</f>
        <v>Centre of Expertise</v>
      </c>
      <c r="E35" s="742" t="s">
        <v>370</v>
      </c>
      <c r="F35" s="226">
        <v>0</v>
      </c>
      <c r="G35" s="226" t="str">
        <f>'A21 Asset Mgt Avoided Dev Work'!D47</f>
        <v>A - High</v>
      </c>
      <c r="H35" s="618"/>
      <c r="I35" s="623">
        <f>'Calcs - Scen 1'!D158+'Calcs - Scen 1'!E158</f>
        <v>134000</v>
      </c>
      <c r="J35" s="884">
        <v>0</v>
      </c>
      <c r="K35" s="622"/>
      <c r="L35" s="619">
        <f t="shared" si="0"/>
        <v>134000</v>
      </c>
      <c r="M35" s="757"/>
      <c r="N35" s="759">
        <f>'Calcs - Scen 2'!E158+'Calcs - Scen 2'!F158</f>
        <v>134000</v>
      </c>
      <c r="O35" s="885">
        <v>0</v>
      </c>
      <c r="P35" s="758"/>
      <c r="Q35" s="619">
        <f t="shared" si="1"/>
        <v>134000</v>
      </c>
      <c r="R35" s="757"/>
      <c r="S35" s="759">
        <f>'Calcs - Scen 3'!D158+'Calcs - Scen 3'!E158</f>
        <v>107200</v>
      </c>
      <c r="T35" s="912">
        <v>0</v>
      </c>
      <c r="U35" s="912"/>
      <c r="V35" s="911">
        <f t="shared" si="2"/>
        <v>107200</v>
      </c>
    </row>
    <row r="36" spans="2:22" ht="15.75" thickBot="1">
      <c r="B36" s="645" t="str">
        <f>'A22 Optimism Bias &amp; Contingency'!D10</f>
        <v>A22</v>
      </c>
      <c r="C36" s="78" t="str">
        <f>'A22 Optimism Bias &amp; Contingency'!B3</f>
        <v>Optimism Bias &amp; Contingency Management Review - Development Work</v>
      </c>
      <c r="D36" s="750" t="str">
        <f>'A22 Optimism Bias &amp; Contingency'!D18</f>
        <v>Centre of Expertise</v>
      </c>
      <c r="E36" s="742" t="s">
        <v>370</v>
      </c>
      <c r="F36" s="226">
        <v>0</v>
      </c>
      <c r="G36" s="226" t="str">
        <f>'A22 Optimism Bias &amp; Contingency'!D47</f>
        <v>A - High</v>
      </c>
      <c r="H36" s="646">
        <f>SUM(I15:I36)</f>
        <v>4037887.6308087823</v>
      </c>
      <c r="I36" s="913">
        <f>'Calcs - Scen 1'!D165+'Calcs - Scen 1'!E165</f>
        <v>49154.589371980677</v>
      </c>
      <c r="J36" s="937">
        <v>0</v>
      </c>
      <c r="K36" s="621">
        <f>SUM(L15:L36)</f>
        <v>3221791.6308087828</v>
      </c>
      <c r="L36" s="619">
        <f t="shared" si="0"/>
        <v>49154.589371980677</v>
      </c>
      <c r="M36" s="646">
        <f>SUM(N15:N36)</f>
        <v>3238031.2649876741</v>
      </c>
      <c r="N36" s="913">
        <f>'Calcs - Scen 2'!E165+'Calcs - Scen 2'!F165</f>
        <v>49154.589371980677</v>
      </c>
      <c r="O36" s="937">
        <v>0</v>
      </c>
      <c r="P36" s="951">
        <f>SUM(Q15:Q36)</f>
        <v>2421935.2649876745</v>
      </c>
      <c r="Q36" s="619">
        <f t="shared" si="1"/>
        <v>49154.589371980677</v>
      </c>
      <c r="R36" s="646">
        <f>SUM(S15:S36)</f>
        <v>2544182.42328462</v>
      </c>
      <c r="S36" s="913">
        <f>'Calcs - Scen 3'!D165+'Calcs - Scen 3'!E165</f>
        <v>39323.671497584539</v>
      </c>
      <c r="T36" s="910">
        <v>0</v>
      </c>
      <c r="U36" s="901">
        <f>SUM(V15:V36)</f>
        <v>1891305.6232846198</v>
      </c>
      <c r="V36" s="1036">
        <f t="shared" si="2"/>
        <v>39323.671497584539</v>
      </c>
    </row>
    <row r="37" spans="2:22" ht="15.75" thickBot="1">
      <c r="B37" s="199" t="str">
        <f>'B1 TIF Develop'!D10</f>
        <v>B1</v>
      </c>
      <c r="C37" s="78" t="str">
        <f>'B1 TIF Develop'!B3</f>
        <v xml:space="preserve">TIF - Development of Model </v>
      </c>
      <c r="D37" s="750" t="str">
        <f>'B1 TIF Develop'!D16</f>
        <v>Funding &amp; Finance</v>
      </c>
      <c r="E37" s="743" t="s">
        <v>254</v>
      </c>
      <c r="F37" s="226">
        <f>'A8 NHT Consult Fees'!$D$9</f>
        <v>0</v>
      </c>
      <c r="G37" s="226" t="str">
        <f>'B1 TIF Develop'!D47</f>
        <v>C - Good</v>
      </c>
      <c r="H37" s="624"/>
      <c r="I37" s="625">
        <f>'Calcs - Scen 1'!D172+'Calcs - Scen 1'!E172</f>
        <v>42279306.864952073</v>
      </c>
      <c r="J37" s="844">
        <v>19994193.289121676</v>
      </c>
      <c r="K37" s="921"/>
      <c r="L37" s="625">
        <f>I37-J37</f>
        <v>22285113.575830396</v>
      </c>
      <c r="M37" s="948"/>
      <c r="N37" s="625">
        <f>'Calcs - Scen 2'!E172+'Calcs - Scen 2'!F172</f>
        <v>42279306.864952073</v>
      </c>
      <c r="O37" s="886">
        <v>19994193.289121676</v>
      </c>
      <c r="P37" s="921"/>
      <c r="Q37" s="625">
        <f>N37-O37</f>
        <v>22285113.575830396</v>
      </c>
      <c r="R37" s="950"/>
      <c r="S37" s="920">
        <f>'Calcs - Scen 3'!D172+'Calcs - Scen 3'!E172</f>
        <v>31004825.034298193</v>
      </c>
      <c r="T37" s="886">
        <v>12723577.547622887</v>
      </c>
      <c r="U37" s="920"/>
      <c r="V37" s="626">
        <f>S37-T37</f>
        <v>18281247.486675307</v>
      </c>
    </row>
    <row r="38" spans="2:22" ht="15.75" thickBot="1">
      <c r="B38" s="199" t="str">
        <f>'B2 NHT Develop'!D10</f>
        <v>B2</v>
      </c>
      <c r="C38" s="78" t="str">
        <f>'B2 NHT Develop'!B3</f>
        <v xml:space="preserve">NHT - Development of Model </v>
      </c>
      <c r="D38" s="750" t="str">
        <f>'B2 NHT Develop'!D16</f>
        <v>Funding &amp; Finance</v>
      </c>
      <c r="E38" s="743" t="s">
        <v>254</v>
      </c>
      <c r="F38" s="226">
        <f>'B2 NHT Develop'!D9</f>
        <v>0</v>
      </c>
      <c r="G38" s="226" t="str">
        <f>'B2 NHT Develop'!D47</f>
        <v>B - Very Good</v>
      </c>
      <c r="H38" s="647">
        <f>SUM(I37:I38)</f>
        <v>64934177.690408915</v>
      </c>
      <c r="I38" s="626">
        <f>'Calcs - Scen 1'!D179+'Calcs - Scen 1'!E179</f>
        <v>22654870.825456839</v>
      </c>
      <c r="J38" s="920">
        <v>6879973.8617003905</v>
      </c>
      <c r="K38" s="914">
        <f>SUM(L37:L38)</f>
        <v>38060010.539586842</v>
      </c>
      <c r="L38" s="627">
        <f>I38-J38</f>
        <v>15774896.96375645</v>
      </c>
      <c r="M38" s="949">
        <f>SUM(N37:N38)</f>
        <v>64934177.690408915</v>
      </c>
      <c r="N38" s="627">
        <f>'Calcs - Scen 2'!E179+'Calcs - Scen 2'!F179</f>
        <v>22654870.825456839</v>
      </c>
      <c r="O38" s="887">
        <v>6879973.8617003905</v>
      </c>
      <c r="P38" s="952">
        <f>SUM(Q37:Q38)</f>
        <v>38060010.539586842</v>
      </c>
      <c r="Q38" s="627">
        <f>N38-O38</f>
        <v>15774896.96375645</v>
      </c>
      <c r="R38" s="949">
        <f>SUM(S37:S38)</f>
        <v>48625280.120764628</v>
      </c>
      <c r="S38" s="919">
        <f>'Calcs - Scen 3'!D179+'Calcs - Scen 3'!E179</f>
        <v>17620455.086466432</v>
      </c>
      <c r="T38" s="909">
        <v>4378165.184718431</v>
      </c>
      <c r="U38" s="886">
        <f>SUM(V37:V38)</f>
        <v>31523537.388423309</v>
      </c>
      <c r="V38" s="626">
        <f>S38-T38</f>
        <v>13242289.901748002</v>
      </c>
    </row>
    <row r="39" spans="2:22">
      <c r="B39" s="200" t="str">
        <f>'C1 West &amp; Ork'!D10</f>
        <v>C1</v>
      </c>
      <c r="C39" s="78" t="str">
        <f>'C1 West &amp; Ork'!B3</f>
        <v>Western Isles and Orkney Schools Projects - Finance Structure</v>
      </c>
      <c r="D39" s="750" t="str">
        <f>'C1 West &amp; Ork'!D16</f>
        <v>Funding &amp; Finance</v>
      </c>
      <c r="E39" s="744" t="s">
        <v>250</v>
      </c>
      <c r="F39" s="226">
        <f>'C1 West &amp; Ork'!D9</f>
        <v>0</v>
      </c>
      <c r="G39" s="226" t="str">
        <f>'Calcs - Scen 1'!C182</f>
        <v>A - High</v>
      </c>
      <c r="H39" s="648"/>
      <c r="I39" s="649">
        <f>'Calcs - Scen 1'!D186+'Calcs - Scen 1'!E186</f>
        <v>38205698.197516993</v>
      </c>
      <c r="J39" s="888">
        <v>7382743.6130467644</v>
      </c>
      <c r="K39" s="846"/>
      <c r="L39" s="846">
        <f>I39-J39</f>
        <v>30822954.584470227</v>
      </c>
      <c r="M39" s="648"/>
      <c r="N39" s="649">
        <f>'Calcs - Scen 2'!E186+'Calcs - Scen 2'!F186</f>
        <v>14279231.308076261</v>
      </c>
      <c r="O39" s="888">
        <v>2454436.6604576991</v>
      </c>
      <c r="P39" s="846"/>
      <c r="Q39" s="846">
        <f>N39-O39</f>
        <v>11824794.647618562</v>
      </c>
      <c r="R39" s="648"/>
      <c r="S39" s="845">
        <f>'Calcs - Scen 3'!D186+'Calcs - Scen 3'!E186</f>
        <v>11423385.046461008</v>
      </c>
      <c r="T39" s="888">
        <v>1963549.328366159</v>
      </c>
      <c r="U39" s="923"/>
      <c r="V39" s="649">
        <f>S39-T39</f>
        <v>9459835.71809485</v>
      </c>
    </row>
    <row r="40" spans="2:22">
      <c r="B40" s="200" t="str">
        <f>'C2 Borders Rail Fin'!D10</f>
        <v>C2</v>
      </c>
      <c r="C40" s="78" t="str">
        <f>'C2 Borders Rail Fin'!B3</f>
        <v>Borders Rail - Lower Financing Costs (Nil Benefit)</v>
      </c>
      <c r="D40" s="750" t="str">
        <f>'C2 Borders Rail Fin'!D16</f>
        <v>Funding &amp; Finance</v>
      </c>
      <c r="E40" s="841" t="s">
        <v>250</v>
      </c>
      <c r="F40" s="226">
        <f>'C2 Borders Rail Fin'!D9</f>
        <v>0</v>
      </c>
      <c r="G40" s="226" t="str">
        <f>'Calcs - Scen 1'!C189</f>
        <v>D - Moderate</v>
      </c>
      <c r="H40" s="628"/>
      <c r="I40" s="629">
        <f>'Calcs - Scen 1'!D193+'Calcs - Scen 1'!E193</f>
        <v>0</v>
      </c>
      <c r="J40" s="889">
        <v>1252814.628314107</v>
      </c>
      <c r="K40" s="846"/>
      <c r="L40" s="846">
        <f t="shared" ref="L40:L47" si="3">I40-J40</f>
        <v>-1252814.628314107</v>
      </c>
      <c r="M40" s="628"/>
      <c r="N40" s="629">
        <f>'Calcs - Scen 2'!E193+'Calcs - Scen 2'!F193</f>
        <v>0</v>
      </c>
      <c r="O40" s="889">
        <v>255142.31600528854</v>
      </c>
      <c r="P40" s="846"/>
      <c r="Q40" s="846">
        <f t="shared" ref="Q40:Q47" si="4">N40-O40</f>
        <v>-255142.31600528854</v>
      </c>
      <c r="R40" s="628"/>
      <c r="S40" s="846">
        <f>'Calcs - Scen 3'!D193+'Calcs - Scen 3'!E193</f>
        <v>0</v>
      </c>
      <c r="T40" s="889">
        <v>162363.29200336547</v>
      </c>
      <c r="U40" s="924"/>
      <c r="V40" s="629">
        <f t="shared" ref="V40:V47" si="5">S40-T40</f>
        <v>-162363.29200336547</v>
      </c>
    </row>
    <row r="41" spans="2:22">
      <c r="B41" s="200" t="str">
        <f>'C3 Borders Rail Comp'!D10</f>
        <v>C3</v>
      </c>
      <c r="C41" s="78" t="str">
        <f>'C3 Borders Rail Comp'!B3</f>
        <v>Borders Rail - Competition</v>
      </c>
      <c r="D41" s="750" t="str">
        <f>'C3 Borders Rail Comp'!D16</f>
        <v>Funding &amp; Finance</v>
      </c>
      <c r="E41" s="744" t="s">
        <v>250</v>
      </c>
      <c r="F41" s="226">
        <f>'C3 Borders Rail Comp'!D9</f>
        <v>0</v>
      </c>
      <c r="G41" s="226" t="str">
        <f>'C3 Borders Rail Comp'!D47</f>
        <v>C - Good</v>
      </c>
      <c r="H41" s="628"/>
      <c r="I41" s="629">
        <f>'Calcs - Scen 1'!D200+'Calcs - Scen 1'!E200</f>
        <v>8086928.4605331924</v>
      </c>
      <c r="J41" s="889">
        <v>7813457.4497905253</v>
      </c>
      <c r="K41" s="846"/>
      <c r="L41" s="846">
        <f t="shared" si="3"/>
        <v>273471.01074266713</v>
      </c>
      <c r="M41" s="628"/>
      <c r="N41" s="629">
        <f>'Calcs - Scen 2'!E200+'Calcs - Scen 2'!F200</f>
        <v>2342949.1448778352</v>
      </c>
      <c r="O41" s="889">
        <v>1918121.0588747808</v>
      </c>
      <c r="P41" s="846"/>
      <c r="Q41" s="846">
        <f t="shared" si="4"/>
        <v>424828.0860030544</v>
      </c>
      <c r="R41" s="628"/>
      <c r="S41" s="846">
        <f>'Calcs - Scen 3'!D200+'Calcs - Scen 3'!E200</f>
        <v>1718162.7062437457</v>
      </c>
      <c r="T41" s="889">
        <v>1406622.1098415062</v>
      </c>
      <c r="U41" s="924"/>
      <c r="V41" s="629">
        <f t="shared" si="5"/>
        <v>311540.59640223952</v>
      </c>
    </row>
    <row r="42" spans="2:22">
      <c r="B42" s="200" t="str">
        <f>'C4 Orkney Schools Fin'!D10</f>
        <v>C4</v>
      </c>
      <c r="C42" s="78" t="str">
        <f>'C4 Orkney Schools Fin'!B3</f>
        <v>Orkney Schools Projects -  Business Case Diligence</v>
      </c>
      <c r="D42" s="750" t="str">
        <f>'C4 Orkney Schools Fin'!D16</f>
        <v>Funding &amp; Finance</v>
      </c>
      <c r="E42" s="744" t="s">
        <v>250</v>
      </c>
      <c r="F42" s="226">
        <f>'C4 Orkney Schools Fin'!D9</f>
        <v>0</v>
      </c>
      <c r="G42" s="226" t="str">
        <f>'C4 Orkney Schools Fin'!D47</f>
        <v>A - High</v>
      </c>
      <c r="H42" s="628"/>
      <c r="I42" s="629">
        <f>'Calcs - Scen 1'!D207+'Calcs - Scen 1'!E207</f>
        <v>1022525.7704392668</v>
      </c>
      <c r="J42" s="889">
        <v>0</v>
      </c>
      <c r="K42" s="846"/>
      <c r="L42" s="846">
        <f t="shared" si="3"/>
        <v>1022525.7704392668</v>
      </c>
      <c r="M42" s="628"/>
      <c r="N42" s="629">
        <f>'Calcs - Scen 2'!E207+'Calcs - Scen 2'!F207</f>
        <v>353895.51848459843</v>
      </c>
      <c r="O42" s="889">
        <v>0</v>
      </c>
      <c r="P42" s="846"/>
      <c r="Q42" s="846">
        <f t="shared" si="4"/>
        <v>353895.51848459843</v>
      </c>
      <c r="R42" s="628"/>
      <c r="S42" s="846">
        <f>'Calcs - Scen 3'!D207+'Calcs - Scen 3'!E207</f>
        <v>283116.4147876788</v>
      </c>
      <c r="T42" s="889">
        <v>0</v>
      </c>
      <c r="U42" s="924"/>
      <c r="V42" s="629">
        <f t="shared" si="5"/>
        <v>283116.4147876788</v>
      </c>
    </row>
    <row r="43" spans="2:22">
      <c r="B43" s="200" t="str">
        <f>'C5 RHSC DCN Comp'!D10</f>
        <v>C5</v>
      </c>
      <c r="C43" s="78" t="str">
        <f>'C5 RHSC DCN Comp'!B3</f>
        <v>RHSC/DCN Procurement Strategy and Increased Competition</v>
      </c>
      <c r="D43" s="750" t="str">
        <f>'C5 RHSC DCN Comp'!D16</f>
        <v>Funding &amp; Finance</v>
      </c>
      <c r="E43" s="744" t="s">
        <v>250</v>
      </c>
      <c r="F43" s="226">
        <f>'C5 RHSC DCN Comp'!D9</f>
        <v>0</v>
      </c>
      <c r="G43" s="226" t="str">
        <f>'C5 RHSC DCN Comp'!D47</f>
        <v>C - Good</v>
      </c>
      <c r="H43" s="628"/>
      <c r="I43" s="629">
        <f>'Calcs - Scen 1'!D214+'Calcs - Scen 1'!E214</f>
        <v>1246475.6079071835</v>
      </c>
      <c r="J43" s="889">
        <v>0</v>
      </c>
      <c r="K43" s="846"/>
      <c r="L43" s="846">
        <f t="shared" si="3"/>
        <v>1246475.6079071835</v>
      </c>
      <c r="M43" s="628"/>
      <c r="N43" s="629">
        <f>'Calcs - Scen 2'!E214+'Calcs - Scen 2'!F214</f>
        <v>361129.5653114586</v>
      </c>
      <c r="O43" s="889">
        <v>0</v>
      </c>
      <c r="P43" s="846"/>
      <c r="Q43" s="846">
        <f t="shared" si="4"/>
        <v>361129.5653114586</v>
      </c>
      <c r="R43" s="628"/>
      <c r="S43" s="846">
        <f>'Calcs - Scen 3'!D214+'Calcs - Scen 3'!E214</f>
        <v>264828.34789506969</v>
      </c>
      <c r="T43" s="889">
        <v>0</v>
      </c>
      <c r="U43" s="924"/>
      <c r="V43" s="629">
        <f t="shared" si="5"/>
        <v>264828.34789506969</v>
      </c>
    </row>
    <row r="44" spans="2:22">
      <c r="B44" s="200" t="str">
        <f>'C6 NPD Saved Proc Time'!D10</f>
        <v>C6</v>
      </c>
      <c r="C44" s="78" t="str">
        <f>'C6 NPD Saved Proc Time'!B3</f>
        <v>NPD Contract - Saved Procurement Time</v>
      </c>
      <c r="D44" s="750" t="str">
        <f>'C6 NPD Saved Proc Time'!D16</f>
        <v>Funding &amp; Finance</v>
      </c>
      <c r="E44" s="744" t="s">
        <v>250</v>
      </c>
      <c r="F44" s="226">
        <f>'C6 NPD Saved Proc Time'!D9</f>
        <v>0</v>
      </c>
      <c r="G44" s="226" t="str">
        <f>'C6 NPD Saved Proc Time'!D47</f>
        <v>D - Moderate</v>
      </c>
      <c r="H44" s="628"/>
      <c r="I44" s="629">
        <f>'Calcs - Scen 1'!D221+'Calcs - Scen 1'!E221</f>
        <v>1923580.628336421</v>
      </c>
      <c r="J44" s="889">
        <v>0</v>
      </c>
      <c r="K44" s="846"/>
      <c r="L44" s="846">
        <f t="shared" si="3"/>
        <v>1923580.628336421</v>
      </c>
      <c r="M44" s="628"/>
      <c r="N44" s="629">
        <f>'Calcs - Scen 2'!E221+'Calcs - Scen 2'!F221</f>
        <v>780215.31070849672</v>
      </c>
      <c r="O44" s="889">
        <v>0</v>
      </c>
      <c r="P44" s="846"/>
      <c r="Q44" s="846">
        <f t="shared" si="4"/>
        <v>780215.31070849672</v>
      </c>
      <c r="R44" s="628"/>
      <c r="S44" s="846">
        <f>'Calcs - Scen 3'!D221+'Calcs - Scen 3'!E221</f>
        <v>496500.65226904344</v>
      </c>
      <c r="T44" s="889">
        <v>0</v>
      </c>
      <c r="U44" s="924"/>
      <c r="V44" s="629">
        <f t="shared" si="5"/>
        <v>496500.65226904344</v>
      </c>
    </row>
    <row r="45" spans="2:22">
      <c r="B45" s="200" t="str">
        <f>'C7 NPD Optimal Risk Transfer'!D10</f>
        <v>C7</v>
      </c>
      <c r="C45" s="78" t="str">
        <f>'C7 NPD Optimal Risk Transfer'!B3</f>
        <v xml:space="preserve">NPD Contract - Optimal Risk Transfer </v>
      </c>
      <c r="D45" s="750" t="str">
        <f>'C7 NPD Optimal Risk Transfer'!D16</f>
        <v>Funding &amp; Finance</v>
      </c>
      <c r="E45" s="744" t="s">
        <v>250</v>
      </c>
      <c r="F45" s="226">
        <v>0</v>
      </c>
      <c r="G45" s="226" t="str">
        <f>'C7 NPD Optimal Risk Transfer'!D47</f>
        <v>C - Good</v>
      </c>
      <c r="H45" s="628"/>
      <c r="I45" s="629">
        <f>'Calcs - Scen 1'!D228+'Calcs - Scen 1'!E228</f>
        <v>2794140.3880614224</v>
      </c>
      <c r="J45" s="889">
        <v>0</v>
      </c>
      <c r="K45" s="846"/>
      <c r="L45" s="846">
        <f t="shared" si="3"/>
        <v>2794140.3880614224</v>
      </c>
      <c r="M45" s="628"/>
      <c r="N45" s="629">
        <f>'Calcs - Scen 2'!E228+'Calcs - Scen 2'!F228</f>
        <v>849219.11787830712</v>
      </c>
      <c r="O45" s="889">
        <v>0</v>
      </c>
      <c r="P45" s="846"/>
      <c r="Q45" s="846">
        <f t="shared" si="4"/>
        <v>849219.11787830712</v>
      </c>
      <c r="R45" s="628"/>
      <c r="S45" s="846">
        <f>'Calcs - Scen 3'!D228+'Calcs - Scen 3'!E228</f>
        <v>622760.68644409196</v>
      </c>
      <c r="T45" s="889">
        <v>0</v>
      </c>
      <c r="U45" s="924"/>
      <c r="V45" s="629">
        <f t="shared" si="5"/>
        <v>622760.68644409196</v>
      </c>
    </row>
    <row r="46" spans="2:22" ht="15.75" thickBot="1">
      <c r="B46" s="200" t="str">
        <f>'C8 Reduced Cost of Capital'!D10</f>
        <v>C8</v>
      </c>
      <c r="C46" s="78" t="str">
        <f>'C8 Reduced Cost of Capital'!B3</f>
        <v>NPD Programme - Reduced Cost of Capital</v>
      </c>
      <c r="D46" s="750" t="str">
        <f>'C8 Reduced Cost of Capital'!D16</f>
        <v>Funding &amp; Finance</v>
      </c>
      <c r="E46" s="744" t="s">
        <v>250</v>
      </c>
      <c r="F46" s="226">
        <v>0</v>
      </c>
      <c r="G46" s="226" t="str">
        <f>'C8 Reduced Cost of Capital'!D47</f>
        <v>D - Moderate</v>
      </c>
      <c r="H46" s="628"/>
      <c r="I46" s="629">
        <f>'Calcs - Scen 1'!D235+'Calcs - Scen 1'!E235</f>
        <v>2433227.6696775607</v>
      </c>
      <c r="J46" s="889">
        <v>0</v>
      </c>
      <c r="K46" s="846"/>
      <c r="L46" s="846">
        <f t="shared" si="3"/>
        <v>2433227.6696775607</v>
      </c>
      <c r="M46" s="628"/>
      <c r="N46" s="629">
        <f>'Calcs - Scen 2'!E235+'Calcs - Scen 2'!F235</f>
        <v>554194.5730138229</v>
      </c>
      <c r="O46" s="889">
        <v>0</v>
      </c>
      <c r="P46" s="846"/>
      <c r="Q46" s="846">
        <f t="shared" si="4"/>
        <v>554194.5730138229</v>
      </c>
      <c r="R46" s="628"/>
      <c r="S46" s="846">
        <f>'Calcs - Scen 3'!D235+'Calcs - Scen 3'!E235</f>
        <v>352669.27373606915</v>
      </c>
      <c r="T46" s="889">
        <v>0</v>
      </c>
      <c r="U46" s="924"/>
      <c r="V46" s="629">
        <f t="shared" si="5"/>
        <v>352669.27373606915</v>
      </c>
    </row>
    <row r="47" spans="2:22" ht="15.75" thickBot="1">
      <c r="B47" s="200" t="str">
        <f>'C9 hub Return on Workg Cap Inv'!D10</f>
        <v>C9</v>
      </c>
      <c r="C47" s="78" t="str">
        <f>'C9 hub Return on Workg Cap Inv'!B3</f>
        <v>hub - Return on Working capital investment</v>
      </c>
      <c r="D47" s="750" t="str">
        <f>'C9 hub Return on Workg Cap Inv'!D16</f>
        <v>Funding &amp; Finance</v>
      </c>
      <c r="E47" s="744" t="s">
        <v>250</v>
      </c>
      <c r="F47" s="226">
        <v>0</v>
      </c>
      <c r="G47" s="226" t="str">
        <f>'C9 hub Return on Workg Cap Inv'!D47</f>
        <v>B - Very Good</v>
      </c>
      <c r="H47" s="655">
        <f>SUM(I39:I47)</f>
        <v>55728294.621742137</v>
      </c>
      <c r="I47" s="650">
        <f>'Calcs - Scen 1'!D242+'Calcs - Scen 1'!E242</f>
        <v>15717.899270091635</v>
      </c>
      <c r="J47" s="890">
        <v>0</v>
      </c>
      <c r="K47" s="888">
        <f>SUM(L39:L47)</f>
        <v>39279278.930590734</v>
      </c>
      <c r="L47" s="846">
        <f t="shared" si="3"/>
        <v>15717.899270091635</v>
      </c>
      <c r="M47" s="655">
        <f>SUM(N39:N47)</f>
        <v>19536552.437620871</v>
      </c>
      <c r="N47" s="650">
        <f>'Calcs - Scen 2'!E242+'Calcs - Scen 2'!F242</f>
        <v>15717.899270091635</v>
      </c>
      <c r="O47" s="890">
        <v>0</v>
      </c>
      <c r="P47" s="1029">
        <f>SUM(Q39:Q47)</f>
        <v>14908852.402283102</v>
      </c>
      <c r="Q47" s="846">
        <f t="shared" si="4"/>
        <v>15717.899270091635</v>
      </c>
      <c r="R47" s="655">
        <f>SUM(S39:S47)</f>
        <v>15173648.160602333</v>
      </c>
      <c r="S47" s="922">
        <f>'Calcs - Scen 3'!D242+'Calcs - Scen 3'!E242</f>
        <v>12225.032765626825</v>
      </c>
      <c r="T47" s="890">
        <v>0</v>
      </c>
      <c r="U47" s="915">
        <f>SUM(V39:V47)</f>
        <v>11641113.430391302</v>
      </c>
      <c r="V47" s="650">
        <f t="shared" si="5"/>
        <v>12225.032765626825</v>
      </c>
    </row>
    <row r="48" spans="2:22">
      <c r="B48" s="201" t="str">
        <f>'D1 hub Reduced Proc Time'!D10</f>
        <v>D1</v>
      </c>
      <c r="C48" s="78" t="str">
        <f>'D1 hub Reduced Proc Time'!B3</f>
        <v>Hub Programme - Reduced Procurement Time</v>
      </c>
      <c r="D48" s="750" t="s">
        <v>122</v>
      </c>
      <c r="E48" s="745" t="s">
        <v>273</v>
      </c>
      <c r="F48" s="226">
        <f>'D1 hub Reduced Proc Time'!D9</f>
        <v>0</v>
      </c>
      <c r="G48" s="226" t="str">
        <f>'Calcs - Scen 1'!C245</f>
        <v>B - Very Good</v>
      </c>
      <c r="H48" s="630"/>
      <c r="I48" s="631">
        <f>'Calcs - Scen 1'!D249+'Calcs - Scen 1'!E249</f>
        <v>8927982.4934530407</v>
      </c>
      <c r="J48" s="925">
        <v>3741581.2984960284</v>
      </c>
      <c r="K48" s="925"/>
      <c r="L48" s="631">
        <f>I48-J48</f>
        <v>5186401.1949570123</v>
      </c>
      <c r="M48" s="653"/>
      <c r="N48" s="631">
        <f>'Calcs - Scen 2'!E249+'Calcs - Scen 2'!F249</f>
        <v>3900860.0334648625</v>
      </c>
      <c r="O48" s="891">
        <v>895563.24121620588</v>
      </c>
      <c r="P48" s="847"/>
      <c r="Q48" s="631">
        <f>N48-O48</f>
        <v>3005296.7922486565</v>
      </c>
      <c r="R48" s="653"/>
      <c r="S48" s="847">
        <f>'Calcs - Scen 3'!D249+'Calcs - Scen 3'!E249</f>
        <v>3034002.2482504486</v>
      </c>
      <c r="T48" s="891">
        <v>696549.1876126047</v>
      </c>
      <c r="U48" s="925"/>
      <c r="V48" s="631">
        <f>S48-T48</f>
        <v>2337453.0606378438</v>
      </c>
    </row>
    <row r="49" spans="2:22">
      <c r="B49" s="201" t="str">
        <f>'D2 hub Cont Improvement'!D10</f>
        <v>D2</v>
      </c>
      <c r="C49" s="78" t="str">
        <f>'D2 hub Cont Improvement'!B3</f>
        <v>Hub Programme - Capital Costs Continuous Improvement</v>
      </c>
      <c r="D49" s="750" t="s">
        <v>122</v>
      </c>
      <c r="E49" s="745" t="s">
        <v>273</v>
      </c>
      <c r="F49" s="226">
        <f>'D2 hub Cont Improvement'!D9</f>
        <v>0</v>
      </c>
      <c r="G49" s="226" t="str">
        <f>'Calcs - Scen 1'!C252</f>
        <v>C - Good</v>
      </c>
      <c r="H49" s="632"/>
      <c r="I49" s="633">
        <f>'Calcs - Scen 1'!D256+'Calcs - Scen 1'!E256</f>
        <v>11947071.249046497</v>
      </c>
      <c r="J49" s="926">
        <v>6577163.5038835816</v>
      </c>
      <c r="K49" s="926"/>
      <c r="L49" s="633">
        <f t="shared" ref="L49:L57" si="6">I49-J49</f>
        <v>5369907.7451629154</v>
      </c>
      <c r="M49" s="651"/>
      <c r="N49" s="633">
        <f>'Calcs - Scen 2'!E256+'Calcs - Scen 2'!F256</f>
        <v>4161479.3936108956</v>
      </c>
      <c r="O49" s="892">
        <v>925946.89965302951</v>
      </c>
      <c r="P49" s="848"/>
      <c r="Q49" s="633">
        <f t="shared" ref="Q49:Q57" si="7">N49-O49</f>
        <v>3235532.493957866</v>
      </c>
      <c r="R49" s="651"/>
      <c r="S49" s="848">
        <f>'Calcs - Scen 3'!D256+'Calcs - Scen 3'!E256</f>
        <v>3051751.5553146573</v>
      </c>
      <c r="T49" s="892">
        <v>679027.72641222179</v>
      </c>
      <c r="U49" s="926"/>
      <c r="V49" s="633">
        <f t="shared" ref="V49:V57" si="8">S49-T49</f>
        <v>2372723.8289024355</v>
      </c>
    </row>
    <row r="50" spans="2:22">
      <c r="B50" s="201" t="str">
        <f>'D3 hub Savings in Bid Costs'!D10</f>
        <v>D3</v>
      </c>
      <c r="C50" s="78" t="str">
        <f>'D3 hub Savings in Bid Costs'!B3</f>
        <v>Hub Programme - Bid Costs Savings</v>
      </c>
      <c r="D50" s="750" t="s">
        <v>122</v>
      </c>
      <c r="E50" s="745" t="s">
        <v>273</v>
      </c>
      <c r="F50" s="226">
        <f>'D3 hub Savings in Bid Costs'!D9</f>
        <v>0</v>
      </c>
      <c r="G50" s="226" t="str">
        <f>'Calcs - Scen 1'!C259</f>
        <v>B - Very Good</v>
      </c>
      <c r="H50" s="632"/>
      <c r="I50" s="633">
        <f>'Calcs - Scen 1'!D263+'Calcs - Scen 1'!E263</f>
        <v>10224105.350157773</v>
      </c>
      <c r="J50" s="926">
        <v>3873732.6786953495</v>
      </c>
      <c r="K50" s="926"/>
      <c r="L50" s="633">
        <f t="shared" si="6"/>
        <v>6350372.6714624241</v>
      </c>
      <c r="M50" s="651"/>
      <c r="N50" s="633">
        <f>'Calcs - Scen 2'!E263+'Calcs - Scen 2'!F263</f>
        <v>1782956.4935690127</v>
      </c>
      <c r="O50" s="892">
        <v>322470.14214322221</v>
      </c>
      <c r="P50" s="848"/>
      <c r="Q50" s="633">
        <f t="shared" si="7"/>
        <v>1460486.3514257905</v>
      </c>
      <c r="R50" s="651"/>
      <c r="S50" s="848">
        <f>'Calcs - Scen 3'!D263+'Calcs - Scen 3'!E263</f>
        <v>1386743.9394425654</v>
      </c>
      <c r="T50" s="892">
        <v>236478.1042383629</v>
      </c>
      <c r="U50" s="926"/>
      <c r="V50" s="633">
        <f t="shared" si="8"/>
        <v>1150265.8352042024</v>
      </c>
    </row>
    <row r="51" spans="2:22">
      <c r="B51" s="201" t="str">
        <f>'D4 hub Public Sector Inv Return'!D10</f>
        <v>D4</v>
      </c>
      <c r="C51" s="78" t="str">
        <f>'D4 hub Public Sector Inv Return'!B3</f>
        <v>Hub Programme - Public Sector Investment Returns</v>
      </c>
      <c r="D51" s="750" t="s">
        <v>122</v>
      </c>
      <c r="E51" s="745" t="s">
        <v>273</v>
      </c>
      <c r="F51" s="226">
        <f>'D4 hub Public Sector Inv Return'!D9</f>
        <v>0</v>
      </c>
      <c r="G51" s="226" t="str">
        <f>'Calcs - Scen 1'!C266</f>
        <v>C - Good</v>
      </c>
      <c r="H51" s="632"/>
      <c r="I51" s="633">
        <f>'Calcs - Scen 1'!D270+'Calcs - Scen 1'!E270</f>
        <v>4625923.7807705458</v>
      </c>
      <c r="J51" s="926">
        <v>1938725.7310334481</v>
      </c>
      <c r="K51" s="926"/>
      <c r="L51" s="633">
        <f t="shared" si="6"/>
        <v>2687198.0497370977</v>
      </c>
      <c r="M51" s="651"/>
      <c r="N51" s="633">
        <f>'Calcs - Scen 2'!E270+'Calcs - Scen 2'!F270</f>
        <v>876720.02023177221</v>
      </c>
      <c r="O51" s="892">
        <v>161389.8567398398</v>
      </c>
      <c r="P51" s="848"/>
      <c r="Q51" s="633">
        <f t="shared" si="7"/>
        <v>715330.16349193244</v>
      </c>
      <c r="R51" s="651"/>
      <c r="S51" s="848">
        <f>'Calcs - Scen 3'!D270+'Calcs - Scen 3'!E270</f>
        <v>642928.01483663311</v>
      </c>
      <c r="T51" s="892">
        <v>118352.56160921586</v>
      </c>
      <c r="U51" s="926"/>
      <c r="V51" s="633">
        <f t="shared" si="8"/>
        <v>524575.45322741731</v>
      </c>
    </row>
    <row r="52" spans="2:22">
      <c r="B52" s="201" t="str">
        <f>'D5 hub Reduced IRR'!D10</f>
        <v>D5</v>
      </c>
      <c r="C52" s="78" t="str">
        <f>'D5 hub Reduced IRR'!B3</f>
        <v>Hub Programme - Reduced Rates of Return</v>
      </c>
      <c r="D52" s="750" t="s">
        <v>122</v>
      </c>
      <c r="E52" s="745" t="s">
        <v>273</v>
      </c>
      <c r="F52" s="226">
        <f>'D5 hub Reduced IRR'!D9</f>
        <v>0</v>
      </c>
      <c r="G52" s="226" t="str">
        <f>'Calcs - Scen 1'!C273</f>
        <v>B - Very Good</v>
      </c>
      <c r="H52" s="632"/>
      <c r="I52" s="633">
        <f>'Calcs - Scen 1'!D277+'Calcs - Scen 1'!E277</f>
        <v>10647906.400750611</v>
      </c>
      <c r="J52" s="926">
        <v>11156350.114642609</v>
      </c>
      <c r="K52" s="926"/>
      <c r="L52" s="633">
        <f t="shared" si="6"/>
        <v>-508443.71389199793</v>
      </c>
      <c r="M52" s="651"/>
      <c r="N52" s="633">
        <f>'Calcs - Scen 2'!E277+'Calcs - Scen 2'!F277</f>
        <v>2018025.6220168674</v>
      </c>
      <c r="O52" s="892">
        <v>928714.00937247963</v>
      </c>
      <c r="P52" s="848"/>
      <c r="Q52" s="633">
        <f t="shared" si="7"/>
        <v>1089311.6126443879</v>
      </c>
      <c r="R52" s="651"/>
      <c r="S52" s="848">
        <f>'Calcs - Scen 3'!D277+'Calcs - Scen 3'!E277</f>
        <v>1569575.4837908964</v>
      </c>
      <c r="T52" s="892">
        <v>722333.1184008175</v>
      </c>
      <c r="U52" s="926"/>
      <c r="V52" s="633">
        <f t="shared" si="8"/>
        <v>847242.36539007886</v>
      </c>
    </row>
    <row r="53" spans="2:22">
      <c r="B53" s="201" t="str">
        <f>'D6 hub dialogue savings'!D10</f>
        <v>D6</v>
      </c>
      <c r="C53" s="78" t="str">
        <f>'D6 hub dialogue savings'!B3</f>
        <v xml:space="preserve">Hub Programme - Dialogue Stage Public Sector Savings </v>
      </c>
      <c r="D53" s="750" t="s">
        <v>122</v>
      </c>
      <c r="E53" s="745" t="s">
        <v>273</v>
      </c>
      <c r="F53" s="226">
        <f>'D6 hub dialogue savings'!D9</f>
        <v>0</v>
      </c>
      <c r="G53" s="226" t="str">
        <f>'Calcs - Scen 1'!C280</f>
        <v>A - High</v>
      </c>
      <c r="H53" s="632"/>
      <c r="I53" s="633">
        <f>'Calcs - Scen 1'!D284+'Calcs - Scen 1'!E284</f>
        <v>781299.08652502275</v>
      </c>
      <c r="J53" s="926">
        <v>406354.71379236731</v>
      </c>
      <c r="K53" s="926"/>
      <c r="L53" s="633">
        <f t="shared" si="6"/>
        <v>374944.37273265544</v>
      </c>
      <c r="M53" s="651"/>
      <c r="N53" s="633">
        <f>'Calcs - Scen 2'!E284+'Calcs - Scen 2'!F284</f>
        <v>781299.08652502275</v>
      </c>
      <c r="O53" s="892">
        <v>406354.71379236731</v>
      </c>
      <c r="P53" s="848"/>
      <c r="Q53" s="633">
        <f t="shared" si="7"/>
        <v>374944.37273265544</v>
      </c>
      <c r="R53" s="651"/>
      <c r="S53" s="848">
        <f>'Calcs - Scen 3'!D284+'Calcs - Scen 3'!E284</f>
        <v>625039.26922001818</v>
      </c>
      <c r="T53" s="892">
        <v>316053.66628295241</v>
      </c>
      <c r="U53" s="926"/>
      <c r="V53" s="633">
        <f t="shared" si="8"/>
        <v>308985.60293706576</v>
      </c>
    </row>
    <row r="54" spans="2:22">
      <c r="B54" s="201" t="str">
        <f>'D7 Schools Pilot Project'!D10</f>
        <v>D7</v>
      </c>
      <c r="C54" s="78" t="str">
        <f>'D7 Schools Pilot Project'!B3</f>
        <v>Schools Programme - Pilot Project Savings</v>
      </c>
      <c r="D54" s="750" t="s">
        <v>122</v>
      </c>
      <c r="E54" s="745" t="s">
        <v>273</v>
      </c>
      <c r="F54" s="226">
        <f>'D7 Schools Pilot Project'!D9</f>
        <v>0</v>
      </c>
      <c r="G54" s="226" t="str">
        <f>'Calcs - Scen 1'!C287</f>
        <v>B - Very Good</v>
      </c>
      <c r="H54" s="632"/>
      <c r="I54" s="633">
        <f>'Calcs - Scen 1'!D291+'Calcs - Scen 1'!E291</f>
        <v>1496894.5612347506</v>
      </c>
      <c r="J54" s="926">
        <v>867764.96303463809</v>
      </c>
      <c r="K54" s="926"/>
      <c r="L54" s="633">
        <f t="shared" si="6"/>
        <v>629129.59820011246</v>
      </c>
      <c r="M54" s="651"/>
      <c r="N54" s="633">
        <f>'Calcs - Scen 2'!E291+'Calcs - Scen 2'!F291</f>
        <v>1496894.5612347506</v>
      </c>
      <c r="O54" s="892">
        <v>867764.96303463809</v>
      </c>
      <c r="P54" s="848"/>
      <c r="Q54" s="633">
        <f t="shared" si="7"/>
        <v>629129.59820011246</v>
      </c>
      <c r="R54" s="651"/>
      <c r="S54" s="848">
        <f>'Calcs - Scen 3'!D291+'Calcs - Scen 3'!E291</f>
        <v>1164251.3254048061</v>
      </c>
      <c r="T54" s="892">
        <v>674928.30458249641</v>
      </c>
      <c r="U54" s="926"/>
      <c r="V54" s="633">
        <f t="shared" si="8"/>
        <v>489323.02082230966</v>
      </c>
    </row>
    <row r="55" spans="2:22">
      <c r="B55" s="201" t="str">
        <f>'D8 Schools Needs Ident'!D10</f>
        <v>D8</v>
      </c>
      <c r="C55" s="78" t="str">
        <f>'D8 Schools Needs Ident'!B3</f>
        <v>Schools Programme - Needs Identification</v>
      </c>
      <c r="D55" s="750" t="s">
        <v>122</v>
      </c>
      <c r="E55" s="745" t="s">
        <v>273</v>
      </c>
      <c r="F55" s="226">
        <f>'D8 Schools Needs Ident'!D9</f>
        <v>0</v>
      </c>
      <c r="G55" s="226" t="str">
        <f>'Calcs - Scen 1'!C294</f>
        <v>C - Good</v>
      </c>
      <c r="H55" s="632"/>
      <c r="I55" s="633">
        <f>'Calcs - Scen 1'!D298+'Calcs - Scen 1'!E298</f>
        <v>71127001.344951212</v>
      </c>
      <c r="J55" s="926">
        <v>68721740.429904565</v>
      </c>
      <c r="K55" s="926"/>
      <c r="L55" s="633">
        <f t="shared" si="6"/>
        <v>2405260.9150466472</v>
      </c>
      <c r="M55" s="651"/>
      <c r="N55" s="633">
        <f>'Calcs - Scen 2'!E298+'Calcs - Scen 2'!F298</f>
        <v>71127001.344951212</v>
      </c>
      <c r="O55" s="892">
        <v>68721740.429904565</v>
      </c>
      <c r="P55" s="848"/>
      <c r="Q55" s="633">
        <f t="shared" si="7"/>
        <v>2405260.9150466472</v>
      </c>
      <c r="R55" s="651"/>
      <c r="S55" s="848">
        <f>'Calcs - Scen 3'!D298+'Calcs - Scen 3'!E298</f>
        <v>52159800.986297555</v>
      </c>
      <c r="T55" s="892">
        <v>50395942.981930017</v>
      </c>
      <c r="U55" s="926"/>
      <c r="V55" s="633">
        <f t="shared" si="8"/>
        <v>1763858.0043675378</v>
      </c>
    </row>
    <row r="56" spans="2:22" ht="15.75" thickBot="1">
      <c r="B56" s="201" t="str">
        <f>'D9 Schools Cont Improv'!D10</f>
        <v>D9</v>
      </c>
      <c r="C56" s="78" t="str">
        <f>'D9 Schools Cont Improv'!B3</f>
        <v>Schools Programme - Continuous Improvement Savings</v>
      </c>
      <c r="D56" s="750" t="str">
        <f>'D9 Schools Cont Improv'!D14</f>
        <v>Delivery</v>
      </c>
      <c r="E56" s="745" t="s">
        <v>273</v>
      </c>
      <c r="F56" s="226">
        <f>'D9 Schools Cont Improv'!D9</f>
        <v>0</v>
      </c>
      <c r="G56" s="226" t="str">
        <f>'D9 Schools Cont Improv'!D47</f>
        <v>C - Good</v>
      </c>
      <c r="H56" s="632"/>
      <c r="I56" s="633">
        <f>'Calcs - Scen 1'!D305+'Calcs - Scen 1'!E305</f>
        <v>6607104.2365203165</v>
      </c>
      <c r="J56" s="926">
        <v>1093112.6575566421</v>
      </c>
      <c r="K56" s="926"/>
      <c r="L56" s="633">
        <f t="shared" si="6"/>
        <v>5513991.5789636746</v>
      </c>
      <c r="M56" s="651"/>
      <c r="N56" s="633">
        <f>'Calcs - Scen 2'!E305+'Calcs - Scen 2'!F305</f>
        <v>4909548.1839117985</v>
      </c>
      <c r="O56" s="892">
        <v>1093112.6575566421</v>
      </c>
      <c r="P56" s="848"/>
      <c r="Q56" s="633">
        <f t="shared" si="7"/>
        <v>3816435.5263551567</v>
      </c>
      <c r="R56" s="651"/>
      <c r="S56" s="848">
        <f>'Calcs - Scen 3'!D305+'Calcs - Scen 3'!E305</f>
        <v>3600335.3348686532</v>
      </c>
      <c r="T56" s="892">
        <v>801615.94887487101</v>
      </c>
      <c r="U56" s="926"/>
      <c r="V56" s="633">
        <f t="shared" si="8"/>
        <v>2798719.3859937824</v>
      </c>
    </row>
    <row r="57" spans="2:22" ht="15.75" thickBot="1">
      <c r="B57" s="201" t="str">
        <f>'D10 Blank - Nil Benefit'!D10</f>
        <v>D10</v>
      </c>
      <c r="C57" s="78" t="str">
        <f>'D10 Blank - Nil Benefit'!C6</f>
        <v>Blank - Nil Benefit</v>
      </c>
      <c r="D57" s="750" t="str">
        <f>'D10 Blank - Nil Benefit'!D14</f>
        <v>Delivery</v>
      </c>
      <c r="E57" s="745" t="s">
        <v>273</v>
      </c>
      <c r="F57" s="226">
        <f>'D10 Blank - Nil Benefit'!D9</f>
        <v>0</v>
      </c>
      <c r="G57" s="226">
        <f>'D10 Blank - Nil Benefit'!D47</f>
        <v>0</v>
      </c>
      <c r="H57" s="656">
        <f>SUM(I48:I57)</f>
        <v>126385288.50340977</v>
      </c>
      <c r="I57" s="654">
        <f>'Calcs - Scen 1'!D312+'Calcs - Scen 1'!E312</f>
        <v>0</v>
      </c>
      <c r="J57" s="1033">
        <v>0</v>
      </c>
      <c r="K57" s="916">
        <f>SUM(L48:L57)</f>
        <v>28008762.41237054</v>
      </c>
      <c r="L57" s="654">
        <f t="shared" si="6"/>
        <v>0</v>
      </c>
      <c r="M57" s="953">
        <f>SUM(N48:N57)</f>
        <v>91054784.739516199</v>
      </c>
      <c r="N57" s="654">
        <f>'Calcs - Scen 2'!E312+'Calcs - Scen 2'!F312</f>
        <v>0</v>
      </c>
      <c r="O57" s="893">
        <v>0</v>
      </c>
      <c r="P57" s="1030">
        <f>SUM(Q48:Q57)</f>
        <v>16731727.826103205</v>
      </c>
      <c r="Q57" s="654">
        <f t="shared" si="7"/>
        <v>0</v>
      </c>
      <c r="R57" s="953">
        <f>SUM(S48:S57)</f>
        <v>67234428.157426238</v>
      </c>
      <c r="S57" s="848">
        <f>'Calcs - Scen 3'!D312+'Calcs - Scen 3'!E312</f>
        <v>0</v>
      </c>
      <c r="T57" s="893">
        <v>0</v>
      </c>
      <c r="U57" s="916">
        <f>SUM(V48:V57)</f>
        <v>12593146.557482675</v>
      </c>
      <c r="V57" s="654">
        <f t="shared" si="8"/>
        <v>0</v>
      </c>
    </row>
    <row r="58" spans="2:22">
      <c r="B58" s="202" t="str">
        <f>'E1 Valdn Non-Std Civils FRC'!D10</f>
        <v>E1</v>
      </c>
      <c r="C58" s="78" t="str">
        <f>'E1 Valdn Non-Std Civils FRC'!B3</f>
        <v>Validation - Non-Standard Civils Projects (FRC)</v>
      </c>
      <c r="D58" s="750" t="s">
        <v>45</v>
      </c>
      <c r="E58" s="746" t="s">
        <v>251</v>
      </c>
      <c r="F58" s="226">
        <f>'E1 Valdn Non-Std Civils FRC'!D9</f>
        <v>0</v>
      </c>
      <c r="G58" s="226" t="str">
        <f>'Calcs - Scen 1'!C315</f>
        <v>B - Very Good</v>
      </c>
      <c r="H58" s="634"/>
      <c r="I58" s="635">
        <f>'Calcs - Scen 1'!D319+'Calcs - Scen 1'!E319</f>
        <v>11778397.501228042</v>
      </c>
      <c r="J58" s="894">
        <v>5030001.638205599</v>
      </c>
      <c r="K58" s="850"/>
      <c r="L58" s="850">
        <f>I58-J58</f>
        <v>6748395.8630224429</v>
      </c>
      <c r="M58" s="634"/>
      <c r="N58" s="635">
        <f>'Calcs - Scen 2'!E319+'Calcs - Scen 2'!F319</f>
        <v>11778397.501228042</v>
      </c>
      <c r="O58" s="895">
        <v>5030001.638205599</v>
      </c>
      <c r="P58" s="850"/>
      <c r="Q58" s="850">
        <f>N58-O58</f>
        <v>6748395.8630224429</v>
      </c>
      <c r="R58" s="634"/>
      <c r="S58" s="849">
        <f>'Calcs - Scen 3'!D319+'Calcs - Scen 3'!E319</f>
        <v>9160975.8342884779</v>
      </c>
      <c r="T58" s="894">
        <v>3688667.8680174397</v>
      </c>
      <c r="U58" s="928"/>
      <c r="V58" s="635">
        <f>S58-T58</f>
        <v>5472307.9662710382</v>
      </c>
    </row>
    <row r="59" spans="2:22">
      <c r="B59" s="203" t="str">
        <f>'E2 Validation Std Accom'!D8</f>
        <v>E2</v>
      </c>
      <c r="C59" s="78" t="str">
        <f>'E2 Validation Std Accom'!B3</f>
        <v>Validation - Standard Accommodation Projects</v>
      </c>
      <c r="D59" s="750" t="s">
        <v>45</v>
      </c>
      <c r="E59" s="842" t="s">
        <v>251</v>
      </c>
      <c r="F59" s="226">
        <f>'E2 Validation Std Accom'!D7</f>
        <v>0</v>
      </c>
      <c r="G59" s="226" t="str">
        <f>'E2 Validation Std Accom'!D45</f>
        <v>C - Good</v>
      </c>
      <c r="H59" s="636"/>
      <c r="I59" s="637">
        <f>'Calcs - Scen 1'!D326+'Calcs - Scen 1'!E326</f>
        <v>1451014.0683002092</v>
      </c>
      <c r="J59" s="895">
        <v>347158.110088574</v>
      </c>
      <c r="K59" s="850"/>
      <c r="L59" s="850">
        <f t="shared" ref="L59:L61" si="9">I59-J59</f>
        <v>1103855.9582116352</v>
      </c>
      <c r="M59" s="636"/>
      <c r="N59" s="637">
        <f>'Calcs - Scen 2'!E326+'Calcs - Scen 2'!F326</f>
        <v>1256263.7564094122</v>
      </c>
      <c r="O59" s="895">
        <v>195780.29103874328</v>
      </c>
      <c r="P59" s="850"/>
      <c r="Q59" s="850">
        <f t="shared" ref="Q59:Q61" si="10">N59-O59</f>
        <v>1060483.465370669</v>
      </c>
      <c r="R59" s="636"/>
      <c r="S59" s="850">
        <f>'Calcs - Scen 3'!D326+'Calcs - Scen 3'!E326</f>
        <v>921260.08803356928</v>
      </c>
      <c r="T59" s="895">
        <v>143572.21342841175</v>
      </c>
      <c r="U59" s="929"/>
      <c r="V59" s="637">
        <f t="shared" ref="V59:V61" si="11">S59-T59</f>
        <v>777687.87460515753</v>
      </c>
    </row>
    <row r="60" spans="2:22" ht="15.75" thickBot="1">
      <c r="B60" s="203" t="str">
        <f>'E3 Validation CMAL'!D8</f>
        <v>E3</v>
      </c>
      <c r="C60" s="78" t="str">
        <f>'E3 Validation CMAL'!B3</f>
        <v>Validation - CMAL</v>
      </c>
      <c r="D60" s="750" t="str">
        <f>'E3 Validation CMAL'!D15</f>
        <v>Validation</v>
      </c>
      <c r="E60" s="746" t="s">
        <v>251</v>
      </c>
      <c r="F60" s="226">
        <f>'E3 Validation CMAL'!D7</f>
        <v>0</v>
      </c>
      <c r="G60" s="226" t="str">
        <f>'E3 Validation CMAL'!D45</f>
        <v>D - Moderate</v>
      </c>
      <c r="H60" s="636"/>
      <c r="I60" s="637">
        <f>'Calcs - Scen 1'!D333+'Calcs - Scen 1'!E333</f>
        <v>24290126.575819377</v>
      </c>
      <c r="J60" s="895">
        <v>0</v>
      </c>
      <c r="K60" s="850"/>
      <c r="L60" s="850">
        <f t="shared" si="9"/>
        <v>24290126.575819377</v>
      </c>
      <c r="M60" s="636"/>
      <c r="N60" s="637">
        <f>'Calcs - Scen 2'!E333+'Calcs - Scen 2'!F333</f>
        <v>11212056.223039756</v>
      </c>
      <c r="O60" s="895">
        <v>0</v>
      </c>
      <c r="P60" s="850"/>
      <c r="Q60" s="850">
        <f t="shared" si="10"/>
        <v>11212056.223039756</v>
      </c>
      <c r="R60" s="636"/>
      <c r="S60" s="850">
        <f>'Calcs - Scen 3'!D333+'Calcs - Scen 3'!E333</f>
        <v>7134944.8692071177</v>
      </c>
      <c r="T60" s="895">
        <v>0</v>
      </c>
      <c r="U60" s="929"/>
      <c r="V60" s="637">
        <f t="shared" si="11"/>
        <v>7134944.8692071177</v>
      </c>
    </row>
    <row r="61" spans="2:22" ht="15.75" thickBot="1">
      <c r="B61" s="203" t="str">
        <f>'E4 Valdn Non-Std Civils (BOR)'!D10</f>
        <v>E4</v>
      </c>
      <c r="C61" s="740" t="str">
        <f>'E4 Valdn Non-Std Civils (BOR)'!B3</f>
        <v>Validation - Non-Standard Civils Projects (Borders Railway)</v>
      </c>
      <c r="D61" s="750" t="s">
        <v>45</v>
      </c>
      <c r="E61" s="746" t="s">
        <v>251</v>
      </c>
      <c r="F61" s="226">
        <f>'E4 Valdn Non-Std Civils (BOR)'!D7</f>
        <v>0</v>
      </c>
      <c r="G61" s="552" t="s">
        <v>276</v>
      </c>
      <c r="H61" s="657">
        <f>SUM(I58:I61)</f>
        <v>38813434.67832917</v>
      </c>
      <c r="I61" s="652">
        <f>'Calcs - Scen 1'!D340+'Calcs - Scen 1'!E340</f>
        <v>1293896.5329815422</v>
      </c>
      <c r="J61" s="896">
        <v>0</v>
      </c>
      <c r="K61" s="894">
        <f>SUM(L58:L61)</f>
        <v>33436274.930034995</v>
      </c>
      <c r="L61" s="850">
        <f t="shared" si="9"/>
        <v>1293896.5329815422</v>
      </c>
      <c r="M61" s="657">
        <f>SUM(N58:N61)</f>
        <v>24564355.377071399</v>
      </c>
      <c r="N61" s="652">
        <f>'Calcs - Scen 2'!E340+'Calcs - Scen 2'!F340</f>
        <v>317637.89639418852</v>
      </c>
      <c r="O61" s="896">
        <v>0</v>
      </c>
      <c r="P61" s="1031">
        <f>SUM(Q58:Q61)</f>
        <v>19338573.447827056</v>
      </c>
      <c r="Q61" s="850">
        <f t="shared" si="10"/>
        <v>317637.89639418852</v>
      </c>
      <c r="R61" s="657">
        <f>SUM(S58:S61)</f>
        <v>17450115.248884901</v>
      </c>
      <c r="S61" s="927">
        <f>'Calcs - Scen 3'!D340+'Calcs - Scen 3'!E340</f>
        <v>232934.45735573821</v>
      </c>
      <c r="T61" s="896">
        <v>0</v>
      </c>
      <c r="U61" s="917">
        <f>SUM(V58:V61)</f>
        <v>13617875.167439051</v>
      </c>
      <c r="V61" s="652">
        <f t="shared" si="11"/>
        <v>232934.45735573821</v>
      </c>
    </row>
    <row r="62" spans="2:22">
      <c r="B62" s="204" t="str">
        <f>'F1 Ops project support'!D10</f>
        <v>F1</v>
      </c>
      <c r="C62" s="78" t="str">
        <f>'F1 Ops project support'!B3</f>
        <v xml:space="preserve">Operational Projects Support </v>
      </c>
      <c r="D62" s="750" t="s">
        <v>95</v>
      </c>
      <c r="E62" s="747" t="s">
        <v>253</v>
      </c>
      <c r="F62" s="226">
        <f>'F1 Ops project support'!D9</f>
        <v>0</v>
      </c>
      <c r="G62" s="226" t="str">
        <f>'Calcs - Scen 1'!C343</f>
        <v>D - Moderate</v>
      </c>
      <c r="H62" s="638"/>
      <c r="I62" s="639">
        <f>'Calcs - Scen 1'!D347+'Calcs - Scen 1'!E347</f>
        <v>5869205.4270919962</v>
      </c>
      <c r="J62" s="897">
        <v>621427.06337081315</v>
      </c>
      <c r="K62" s="931"/>
      <c r="L62" s="639">
        <f>I62-J62</f>
        <v>5247778.3637211826</v>
      </c>
      <c r="M62" s="957"/>
      <c r="N62" s="639">
        <f>'Calcs - Scen 2'!E347+'Calcs - Scen 2'!F347</f>
        <v>2513789.1830496076</v>
      </c>
      <c r="O62" s="897">
        <v>311830.96369499533</v>
      </c>
      <c r="P62" s="851"/>
      <c r="Q62" s="639">
        <f>N62-O62</f>
        <v>2201958.2193546123</v>
      </c>
      <c r="R62" s="957"/>
      <c r="S62" s="851">
        <f>'Calcs - Scen 3'!D347+'Calcs - Scen 3'!E347</f>
        <v>1599684.0255770232</v>
      </c>
      <c r="T62" s="898">
        <v>228676.04004299658</v>
      </c>
      <c r="U62" s="931"/>
      <c r="V62" s="639">
        <f>S62-T62</f>
        <v>1371007.9855340265</v>
      </c>
    </row>
    <row r="63" spans="2:22">
      <c r="B63" s="205" t="str">
        <f>'G1 Wst Proc Time Benefits'!D10</f>
        <v>G1</v>
      </c>
      <c r="C63" s="78" t="str">
        <f>'G1 Wst Proc Time Benefits'!B3</f>
        <v>Waste - Procurement Timetable Benefits - Avoided Disposal Costs - Projects other than Clyde Valley</v>
      </c>
      <c r="D63" s="750" t="s">
        <v>95</v>
      </c>
      <c r="E63" s="843" t="s">
        <v>253</v>
      </c>
      <c r="F63" s="226">
        <f>'G1 Wst Proc Time Benefits'!D9</f>
        <v>0</v>
      </c>
      <c r="G63" s="226" t="str">
        <f>'Calcs - Scen 1'!C350</f>
        <v>C - Good</v>
      </c>
      <c r="H63" s="640"/>
      <c r="I63" s="641">
        <f>'Calcs - Scen 1'!D354+'Calcs - Scen 1'!E354</f>
        <v>187018.227553581</v>
      </c>
      <c r="J63" s="898">
        <v>183819.84490516761</v>
      </c>
      <c r="K63" s="932"/>
      <c r="L63" s="641">
        <f t="shared" ref="L63:L68" si="12">I63-J63</f>
        <v>3198.3826484133897</v>
      </c>
      <c r="M63" s="954"/>
      <c r="N63" s="641">
        <f>'Calcs - Scen 2'!E354+'Calcs - Scen 2'!F354</f>
        <v>187018.227553581</v>
      </c>
      <c r="O63" s="898">
        <v>183819.84490516761</v>
      </c>
      <c r="P63" s="852"/>
      <c r="Q63" s="641">
        <f t="shared" ref="Q63:Q68" si="13">N63-O63</f>
        <v>3198.3826484133897</v>
      </c>
      <c r="R63" s="954"/>
      <c r="S63" s="852">
        <f>'Calcs - Scen 3'!D354+'Calcs - Scen 3'!E354</f>
        <v>137146.70020595941</v>
      </c>
      <c r="T63" s="898">
        <v>134801.21959712292</v>
      </c>
      <c r="U63" s="932"/>
      <c r="V63" s="641">
        <f t="shared" ref="V63:V68" si="14">S63-T63</f>
        <v>2345.4806088364858</v>
      </c>
    </row>
    <row r="64" spans="2:22">
      <c r="B64" s="205" t="str">
        <f>'G2 Wst Serv Cost Benefits'!D10</f>
        <v>G2</v>
      </c>
      <c r="C64" s="78" t="str">
        <f>'G2 Wst Serv Cost Benefits'!B3</f>
        <v>Waste - Service Cost Benefits (Reduced Gate Fees) - Projects other than Clyde Valley</v>
      </c>
      <c r="D64" s="750" t="s">
        <v>95</v>
      </c>
      <c r="E64" s="747" t="s">
        <v>253</v>
      </c>
      <c r="F64" s="226">
        <f>'G2 Wst Serv Cost Benefits'!D9</f>
        <v>0</v>
      </c>
      <c r="G64" s="226" t="str">
        <f>'G2 Wst Serv Cost Benefits'!D47</f>
        <v>C - Good</v>
      </c>
      <c r="H64" s="640"/>
      <c r="I64" s="641">
        <f>'Calcs - Scen 1'!D361+'Calcs - Scen 1'!E361</f>
        <v>4276706.9744019965</v>
      </c>
      <c r="J64" s="898">
        <v>6426898.6021229029</v>
      </c>
      <c r="K64" s="932"/>
      <c r="L64" s="641">
        <f t="shared" si="12"/>
        <v>-2150191.6277209064</v>
      </c>
      <c r="M64" s="954"/>
      <c r="N64" s="641">
        <f>'Calcs - Scen 2'!E361+'Calcs - Scen 2'!F361</f>
        <v>1015789.4383933151</v>
      </c>
      <c r="O64" s="898">
        <v>2027552.1446058191</v>
      </c>
      <c r="P64" s="852"/>
      <c r="Q64" s="641">
        <f t="shared" si="13"/>
        <v>-1011762.7062125041</v>
      </c>
      <c r="R64" s="954"/>
      <c r="S64" s="852">
        <f>'Calcs - Scen 3'!D361+'Calcs - Scen 3'!E361</f>
        <v>744912.25482176454</v>
      </c>
      <c r="T64" s="898">
        <v>1486871.5727109339</v>
      </c>
      <c r="U64" s="932"/>
      <c r="V64" s="641">
        <f t="shared" si="14"/>
        <v>-741959.31788916932</v>
      </c>
    </row>
    <row r="65" spans="2:24">
      <c r="B65" s="205" t="str">
        <f>'G3 Waste Reduced Gate Fees CV'!D10</f>
        <v>G3</v>
      </c>
      <c r="C65" s="78" t="str">
        <f>'G3 Waste Reduced Gate Fees CV'!B3</f>
        <v>Waste - Reduced Gate Fees - Clyde Valley</v>
      </c>
      <c r="D65" s="750" t="str">
        <f>'G3 Waste Reduced Gate Fees CV'!D14</f>
        <v>Delivery</v>
      </c>
      <c r="E65" s="747" t="s">
        <v>253</v>
      </c>
      <c r="F65" s="226">
        <f>'G3 Waste Reduced Gate Fees CV'!D9</f>
        <v>0</v>
      </c>
      <c r="G65" s="226" t="str">
        <f>'G3 Waste Reduced Gate Fees CV'!D47</f>
        <v>D - Moderate</v>
      </c>
      <c r="H65" s="640"/>
      <c r="I65" s="641">
        <f>'Calcs - Scen 1'!D368+'Calcs - Scen 1'!E368</f>
        <v>4366654.6195102688</v>
      </c>
      <c r="J65" s="898">
        <v>0</v>
      </c>
      <c r="K65" s="932"/>
      <c r="L65" s="641">
        <f t="shared" si="12"/>
        <v>4366654.6195102688</v>
      </c>
      <c r="M65" s="954"/>
      <c r="N65" s="641">
        <f>'Calcs - Scen 2'!E368+'Calcs - Scen 2'!F368</f>
        <v>2579913.7340605156</v>
      </c>
      <c r="O65" s="898">
        <v>0</v>
      </c>
      <c r="P65" s="852"/>
      <c r="Q65" s="641">
        <f t="shared" si="13"/>
        <v>2579913.7340605156</v>
      </c>
      <c r="R65" s="954"/>
      <c r="S65" s="852">
        <f>'Calcs - Scen 3'!D368+'Calcs - Scen 3'!E368</f>
        <v>1641763.2853112372</v>
      </c>
      <c r="T65" s="898">
        <v>0</v>
      </c>
      <c r="U65" s="932"/>
      <c r="V65" s="641">
        <f t="shared" si="14"/>
        <v>1641763.2853112372</v>
      </c>
    </row>
    <row r="66" spans="2:24">
      <c r="B66" s="205" t="str">
        <f>'G4 Budget Recast Immediate Save'!D10</f>
        <v>G4</v>
      </c>
      <c r="C66" s="78" t="str">
        <f>'G4 Budget Recast Immediate Save'!B3</f>
        <v>Budget Recast - Initial Benefit Identification</v>
      </c>
      <c r="D66" s="750" t="str">
        <f>'G4 Budget Recast Immediate Save'!D18</f>
        <v>Centre of Expertise</v>
      </c>
      <c r="E66" s="747" t="s">
        <v>253</v>
      </c>
      <c r="F66" s="226">
        <v>0</v>
      </c>
      <c r="G66" s="226" t="str">
        <f>'G4 Budget Recast Immediate Save'!D47</f>
        <v>C - Good</v>
      </c>
      <c r="H66" s="760"/>
      <c r="I66" s="761">
        <f>'Calcs - Scen 1'!D375+'Calcs - Scen 1'!E375</f>
        <v>40492350.79524865</v>
      </c>
      <c r="J66" s="899">
        <v>0</v>
      </c>
      <c r="K66" s="933"/>
      <c r="L66" s="641">
        <f t="shared" si="12"/>
        <v>40492350.79524865</v>
      </c>
      <c r="M66" s="955"/>
      <c r="N66" s="761">
        <f>-'Calcs - Scen 2'!E375+'Calcs - Scen 2'!F375</f>
        <v>30422605.868893057</v>
      </c>
      <c r="O66" s="899">
        <v>0</v>
      </c>
      <c r="P66" s="853"/>
      <c r="Q66" s="641">
        <f t="shared" si="13"/>
        <v>30422605.868893057</v>
      </c>
      <c r="R66" s="955"/>
      <c r="S66" s="853">
        <f>'Calcs - Scen 3'!D375+'Calcs - Scen 3'!E375</f>
        <v>22309910.970521573</v>
      </c>
      <c r="T66" s="899">
        <v>0</v>
      </c>
      <c r="U66" s="933"/>
      <c r="V66" s="641">
        <f t="shared" si="14"/>
        <v>22309910.970521573</v>
      </c>
    </row>
    <row r="67" spans="2:24" ht="15.75" thickBot="1">
      <c r="B67" s="205" t="str">
        <f>'G5 Asset Mgt'!D10</f>
        <v>G5</v>
      </c>
      <c r="C67" s="78" t="str">
        <f>'G5 Asset Mgt'!B3</f>
        <v xml:space="preserve">Asset Management </v>
      </c>
      <c r="D67" s="750" t="str">
        <f>'G5 Asset Mgt'!D18</f>
        <v>Centre of Expertise</v>
      </c>
      <c r="E67" s="747" t="s">
        <v>253</v>
      </c>
      <c r="F67" s="226">
        <v>0</v>
      </c>
      <c r="G67" s="226" t="str">
        <f>'G5 Asset Mgt'!D47</f>
        <v>D - Moderate</v>
      </c>
      <c r="H67" s="760"/>
      <c r="I67" s="761">
        <f>'Calcs - Scen 1'!D382+'Calcs - Scen 1'!E382</f>
        <v>11947778.742523719</v>
      </c>
      <c r="J67" s="899">
        <v>0</v>
      </c>
      <c r="K67" s="933"/>
      <c r="L67" s="641">
        <f t="shared" si="12"/>
        <v>11947778.742523719</v>
      </c>
      <c r="M67" s="955"/>
      <c r="N67" s="761">
        <f>'Calcs - Scen 2'!E382+'Calcs - Scen 2'!F382</f>
        <v>7064897.9307950204</v>
      </c>
      <c r="O67" s="899">
        <v>0</v>
      </c>
      <c r="P67" s="853"/>
      <c r="Q67" s="641">
        <f t="shared" si="13"/>
        <v>7064897.9307950204</v>
      </c>
      <c r="R67" s="955"/>
      <c r="S67" s="853">
        <f>'Calcs - Scen 3'!D382+'Calcs - Scen 3'!E382</f>
        <v>4495844.1377786491</v>
      </c>
      <c r="T67" s="899">
        <v>0</v>
      </c>
      <c r="U67" s="933"/>
      <c r="V67" s="641">
        <f t="shared" si="14"/>
        <v>4495844.1377786491</v>
      </c>
    </row>
    <row r="68" spans="2:24" ht="15.75" thickBot="1">
      <c r="B68" s="780" t="str">
        <f>'G6 NPD Prog Scrutiny &amp;Challenge'!D10</f>
        <v>G6</v>
      </c>
      <c r="C68" s="79" t="str">
        <f>'G6 NPD Prog Scrutiny &amp;Challenge'!B3</f>
        <v xml:space="preserve">NPD Programme - Needs not Wants - Scrutiny &amp; Challenge </v>
      </c>
      <c r="D68" s="781" t="str">
        <f>'G6 NPD Prog Scrutiny &amp;Challenge'!D18</f>
        <v>Centre of Expertise</v>
      </c>
      <c r="E68" s="748" t="s">
        <v>253</v>
      </c>
      <c r="F68" s="616">
        <v>0</v>
      </c>
      <c r="G68" s="616" t="str">
        <f>'G6 NPD Prog Scrutiny &amp;Challenge'!D47</f>
        <v>D - Moderate</v>
      </c>
      <c r="H68" s="779">
        <f>SUM(I62:I68)</f>
        <v>68904475.814839274</v>
      </c>
      <c r="I68" s="782">
        <f>'Calcs - Scen 1'!D389+'Calcs - Scen 1'!E389</f>
        <v>1764761.0285090609</v>
      </c>
      <c r="J68" s="900">
        <v>0</v>
      </c>
      <c r="K68" s="918">
        <f>SUM(L62:L68)</f>
        <v>61672330.304440387</v>
      </c>
      <c r="L68" s="958">
        <f t="shared" si="12"/>
        <v>1764761.0285090609</v>
      </c>
      <c r="M68" s="956">
        <f>SUM(N62:N68)</f>
        <v>44232640.911238976</v>
      </c>
      <c r="N68" s="782">
        <f>'Calcs - Scen 2'!E389+'Calcs - Scen 2'!F389</f>
        <v>448626.52849388059</v>
      </c>
      <c r="O68" s="900">
        <v>0</v>
      </c>
      <c r="P68" s="1032">
        <f>SUM(Q62:Q68)</f>
        <v>41709437.958032995</v>
      </c>
      <c r="Q68" s="958">
        <f t="shared" si="13"/>
        <v>448626.52849388059</v>
      </c>
      <c r="R68" s="956">
        <f>SUM(S62:S69)</f>
        <v>31214750.983257767</v>
      </c>
      <c r="S68" s="930">
        <f>'Calcs - Scen 3'!D389+'Calcs - Scen 3'!E389</f>
        <v>285489.60904156038</v>
      </c>
      <c r="T68" s="900">
        <v>0</v>
      </c>
      <c r="U68" s="918">
        <f>SUM(V62:V68)</f>
        <v>29364402.150906716</v>
      </c>
      <c r="V68" s="958">
        <f t="shared" si="14"/>
        <v>285489.60904156038</v>
      </c>
    </row>
    <row r="69" spans="2:24">
      <c r="G69" s="66"/>
      <c r="H69" s="114"/>
      <c r="I69" s="114"/>
      <c r="J69" s="114"/>
      <c r="K69" s="114"/>
      <c r="L69" s="114"/>
      <c r="M69" s="114"/>
      <c r="N69" s="114"/>
      <c r="O69" s="114"/>
      <c r="P69" s="114"/>
      <c r="Q69" s="114"/>
      <c r="R69" s="114"/>
      <c r="S69" s="114"/>
      <c r="T69" s="114"/>
      <c r="U69" s="114"/>
      <c r="V69" s="114"/>
    </row>
    <row r="70" spans="2:24">
      <c r="G70" s="1"/>
      <c r="H70" s="190"/>
      <c r="I70" s="191"/>
      <c r="J70" s="191"/>
      <c r="K70" s="191"/>
      <c r="L70" s="191"/>
      <c r="M70" s="190"/>
      <c r="N70" s="191"/>
      <c r="O70" s="191"/>
      <c r="P70" s="191"/>
      <c r="Q70" s="191"/>
      <c r="R70" s="190"/>
      <c r="S70" s="191"/>
      <c r="T70" s="191"/>
      <c r="U70" s="191"/>
      <c r="V70" s="191"/>
    </row>
    <row r="71" spans="2:24">
      <c r="B71" s="66"/>
      <c r="C71" s="8"/>
      <c r="D71" s="139"/>
      <c r="G71" s="658" t="s">
        <v>384</v>
      </c>
      <c r="H71" s="193"/>
      <c r="I71" s="192">
        <f>H36+H38+H47+H57+H61+H68</f>
        <v>358803558.939538</v>
      </c>
      <c r="J71" s="854"/>
      <c r="K71" s="854"/>
      <c r="L71" s="854"/>
      <c r="M71" s="36"/>
      <c r="N71" s="783">
        <f>M36+M38+M47+M57+M61+M68</f>
        <v>247560542.42084405</v>
      </c>
      <c r="O71" s="191"/>
      <c r="P71" s="191"/>
      <c r="Q71" s="191"/>
      <c r="R71" s="36"/>
      <c r="S71" s="192">
        <f>R36+R38+R47+R57+R61+R68</f>
        <v>182242405.09422049</v>
      </c>
      <c r="T71" s="854"/>
      <c r="U71" s="854"/>
      <c r="V71" s="191"/>
    </row>
    <row r="72" spans="2:24">
      <c r="B72" s="66"/>
      <c r="C72" s="123"/>
      <c r="D72" s="123"/>
      <c r="G72" s="1"/>
      <c r="I72" s="491"/>
      <c r="J72" s="491"/>
      <c r="K72" s="491"/>
      <c r="L72" s="491"/>
      <c r="N72" s="491"/>
      <c r="O72" s="491"/>
      <c r="P72" s="491"/>
      <c r="Q72" s="491"/>
      <c r="S72" s="491"/>
      <c r="T72" s="491"/>
      <c r="U72" s="491"/>
      <c r="V72" s="491"/>
    </row>
    <row r="73" spans="2:24" ht="15.75" thickBot="1">
      <c r="B73" s="139"/>
      <c r="C73" s="8"/>
      <c r="D73" s="8"/>
      <c r="G73" s="1"/>
    </row>
    <row r="74" spans="2:24" ht="15.75" thickBot="1">
      <c r="B74" s="139"/>
      <c r="C74" s="8"/>
      <c r="D74" s="8"/>
      <c r="G74" s="1"/>
      <c r="H74" s="1060" t="s">
        <v>747</v>
      </c>
      <c r="I74" s="1061"/>
      <c r="J74" s="1061"/>
      <c r="K74" s="1061"/>
      <c r="L74" s="1061"/>
      <c r="M74" s="1062"/>
      <c r="N74" s="1060" t="s">
        <v>748</v>
      </c>
      <c r="O74" s="1061"/>
      <c r="P74" s="1061"/>
      <c r="Q74" s="1061"/>
      <c r="R74" s="1061"/>
      <c r="S74" s="1061"/>
      <c r="T74" s="961"/>
      <c r="U74" s="962"/>
      <c r="V74" s="1063" t="s">
        <v>753</v>
      </c>
      <c r="W74" s="1063"/>
      <c r="X74" s="1064"/>
    </row>
    <row r="75" spans="2:24" ht="63.75" customHeight="1" thickBot="1">
      <c r="F75" s="209" t="s">
        <v>274</v>
      </c>
      <c r="G75" s="671"/>
      <c r="H75" s="675" t="s">
        <v>746</v>
      </c>
      <c r="I75" s="674" t="s">
        <v>751</v>
      </c>
      <c r="J75" s="676"/>
      <c r="K75" s="676"/>
      <c r="L75" s="676"/>
      <c r="M75" s="676" t="s">
        <v>865</v>
      </c>
      <c r="N75" s="675" t="s">
        <v>749</v>
      </c>
      <c r="O75" s="869"/>
      <c r="P75" s="869"/>
      <c r="Q75" s="869"/>
      <c r="R75" s="674" t="s">
        <v>750</v>
      </c>
      <c r="S75" s="676" t="s">
        <v>864</v>
      </c>
      <c r="T75" s="970" t="s">
        <v>860</v>
      </c>
      <c r="U75" s="959"/>
      <c r="V75" s="959"/>
      <c r="W75" s="959" t="s">
        <v>752</v>
      </c>
      <c r="X75" s="960" t="s">
        <v>866</v>
      </c>
    </row>
    <row r="76" spans="2:24" ht="15.75" thickBot="1">
      <c r="F76" s="659" t="s">
        <v>249</v>
      </c>
      <c r="G76" s="642"/>
      <c r="H76" s="795">
        <f>H36</f>
        <v>4037887.6308087823</v>
      </c>
      <c r="I76" s="796">
        <v>816096</v>
      </c>
      <c r="J76" s="855"/>
      <c r="K76" s="855"/>
      <c r="L76" s="855"/>
      <c r="M76" s="797">
        <f>$H76-$I76</f>
        <v>3221791.6308087823</v>
      </c>
      <c r="N76" s="795">
        <f>M36</f>
        <v>3238031.2649876741</v>
      </c>
      <c r="O76" s="870"/>
      <c r="P76" s="870">
        <f>P36</f>
        <v>2421935.2649876745</v>
      </c>
      <c r="Q76" s="870"/>
      <c r="R76" s="798">
        <v>816096</v>
      </c>
      <c r="S76" s="797">
        <f>$N76-$R76</f>
        <v>2421935.2649876741</v>
      </c>
      <c r="T76" s="795">
        <f>R36</f>
        <v>2544182.42328462</v>
      </c>
      <c r="U76" s="798"/>
      <c r="V76" s="798"/>
      <c r="W76" s="798">
        <v>652877</v>
      </c>
      <c r="X76" s="799">
        <f>$T76-$W76</f>
        <v>1891305.42328462</v>
      </c>
    </row>
    <row r="77" spans="2:24" ht="15.75" thickBot="1">
      <c r="F77" s="660" t="s">
        <v>254</v>
      </c>
      <c r="G77" s="666"/>
      <c r="H77" s="800">
        <f>H38</f>
        <v>64934177.690408915</v>
      </c>
      <c r="I77" s="801">
        <v>26874167</v>
      </c>
      <c r="J77" s="856"/>
      <c r="K77" s="856"/>
      <c r="L77" s="856"/>
      <c r="M77" s="802">
        <f t="shared" ref="M77:M82" si="15">$H77-$I77</f>
        <v>38060010.690408915</v>
      </c>
      <c r="N77" s="800">
        <f>M38</f>
        <v>64934177.690408915</v>
      </c>
      <c r="O77" s="871"/>
      <c r="P77" s="871">
        <f>P38</f>
        <v>38060010.539586842</v>
      </c>
      <c r="Q77" s="871"/>
      <c r="R77" s="803">
        <v>26874167</v>
      </c>
      <c r="S77" s="802">
        <f t="shared" ref="S77:S82" si="16">$N77-$R77</f>
        <v>38060010.690408915</v>
      </c>
      <c r="T77" s="971">
        <f>R38</f>
        <v>48625280.120764628</v>
      </c>
      <c r="U77" s="963"/>
      <c r="V77" s="803"/>
      <c r="W77" s="803">
        <v>17101743</v>
      </c>
      <c r="X77" s="804">
        <f t="shared" ref="X77:X82" si="17">$T77-$W77</f>
        <v>31523537.120764628</v>
      </c>
    </row>
    <row r="78" spans="2:24" ht="15.75" thickBot="1">
      <c r="F78" s="662" t="s">
        <v>250</v>
      </c>
      <c r="G78" s="667"/>
      <c r="H78" s="805">
        <f>H47</f>
        <v>55728294.621742137</v>
      </c>
      <c r="I78" s="806">
        <v>16449016</v>
      </c>
      <c r="J78" s="857"/>
      <c r="K78" s="857"/>
      <c r="L78" s="857"/>
      <c r="M78" s="807">
        <f t="shared" si="15"/>
        <v>39279278.621742137</v>
      </c>
      <c r="N78" s="805">
        <f>M47</f>
        <v>19536552.437620871</v>
      </c>
      <c r="O78" s="872"/>
      <c r="P78" s="872">
        <f>P47</f>
        <v>14908852.402283102</v>
      </c>
      <c r="Q78" s="872"/>
      <c r="R78" s="808">
        <v>4627700</v>
      </c>
      <c r="S78" s="807">
        <f t="shared" si="16"/>
        <v>14908852.437620871</v>
      </c>
      <c r="T78" s="972">
        <f>R47</f>
        <v>15173648.160602333</v>
      </c>
      <c r="U78" s="964"/>
      <c r="V78" s="808"/>
      <c r="W78" s="808">
        <v>3532535</v>
      </c>
      <c r="X78" s="809">
        <f t="shared" si="17"/>
        <v>11641113.160602333</v>
      </c>
    </row>
    <row r="79" spans="2:24" ht="15.75" thickBot="1">
      <c r="F79" s="663" t="s">
        <v>252</v>
      </c>
      <c r="G79" s="668"/>
      <c r="H79" s="810">
        <f>H57</f>
        <v>126385288.50340977</v>
      </c>
      <c r="I79" s="811">
        <v>98376526</v>
      </c>
      <c r="J79" s="858"/>
      <c r="K79" s="858"/>
      <c r="L79" s="858"/>
      <c r="M79" s="812">
        <f t="shared" si="15"/>
        <v>28008762.503409773</v>
      </c>
      <c r="N79" s="810">
        <f>M57</f>
        <v>91054784.739516199</v>
      </c>
      <c r="O79" s="873"/>
      <c r="P79" s="873">
        <f>P57</f>
        <v>16731727.826103205</v>
      </c>
      <c r="Q79" s="873"/>
      <c r="R79" s="813">
        <v>74323057</v>
      </c>
      <c r="S79" s="812">
        <f t="shared" si="16"/>
        <v>16731727.739516199</v>
      </c>
      <c r="T79" s="973">
        <f>R57</f>
        <v>67234428.157426238</v>
      </c>
      <c r="U79" s="965"/>
      <c r="V79" s="813"/>
      <c r="W79" s="813">
        <v>54641282</v>
      </c>
      <c r="X79" s="814">
        <f t="shared" si="17"/>
        <v>12593146.157426238</v>
      </c>
    </row>
    <row r="80" spans="2:24" ht="15.75" thickBot="1">
      <c r="F80" s="664" t="s">
        <v>251</v>
      </c>
      <c r="G80" s="669"/>
      <c r="H80" s="815">
        <f>H61</f>
        <v>38813434.67832917</v>
      </c>
      <c r="I80" s="816">
        <v>5377160</v>
      </c>
      <c r="J80" s="859"/>
      <c r="K80" s="859"/>
      <c r="L80" s="859"/>
      <c r="M80" s="817">
        <f t="shared" si="15"/>
        <v>33436274.67832917</v>
      </c>
      <c r="N80" s="815">
        <f>M61</f>
        <v>24564355.377071399</v>
      </c>
      <c r="O80" s="874"/>
      <c r="P80" s="874">
        <f>P61</f>
        <v>19338573.447827056</v>
      </c>
      <c r="Q80" s="874"/>
      <c r="R80" s="818">
        <v>5225782</v>
      </c>
      <c r="S80" s="817">
        <f t="shared" si="16"/>
        <v>19338573.377071399</v>
      </c>
      <c r="T80" s="974">
        <f>R61</f>
        <v>17450115.248884901</v>
      </c>
      <c r="U80" s="966"/>
      <c r="V80" s="818"/>
      <c r="W80" s="818">
        <v>3832240</v>
      </c>
      <c r="X80" s="819">
        <f t="shared" si="17"/>
        <v>13617875.248884901</v>
      </c>
    </row>
    <row r="81" spans="4:26" ht="15.75" thickBot="1">
      <c r="D81" s="661"/>
      <c r="F81" s="665" t="s">
        <v>253</v>
      </c>
      <c r="G81" s="670"/>
      <c r="H81" s="820">
        <f>H68</f>
        <v>68904475.814839274</v>
      </c>
      <c r="I81" s="821">
        <v>7232146</v>
      </c>
      <c r="J81" s="860"/>
      <c r="K81" s="860"/>
      <c r="L81" s="860"/>
      <c r="M81" s="822">
        <f t="shared" si="15"/>
        <v>61672329.814839274</v>
      </c>
      <c r="N81" s="823">
        <f>M68</f>
        <v>44232640.911238976</v>
      </c>
      <c r="O81" s="875"/>
      <c r="P81" s="875">
        <f>P68</f>
        <v>41709437.958032995</v>
      </c>
      <c r="Q81" s="875"/>
      <c r="R81" s="824">
        <v>2523203</v>
      </c>
      <c r="S81" s="822">
        <f t="shared" si="16"/>
        <v>41709437.911238976</v>
      </c>
      <c r="T81" s="975">
        <f>R68</f>
        <v>31214750.983257767</v>
      </c>
      <c r="U81" s="967"/>
      <c r="V81" s="825"/>
      <c r="W81" s="825">
        <v>1850349</v>
      </c>
      <c r="X81" s="977">
        <f t="shared" si="17"/>
        <v>29364401.983257767</v>
      </c>
    </row>
    <row r="82" spans="4:26" ht="30.75" customHeight="1" thickBot="1">
      <c r="E82" s="207"/>
      <c r="F82" s="7" t="s">
        <v>458</v>
      </c>
      <c r="G82" s="65"/>
      <c r="H82" s="673">
        <f>SUM(H76:H81)</f>
        <v>358803558.939538</v>
      </c>
      <c r="I82" s="679">
        <f t="shared" ref="I82:W82" si="18">SUM(I76:I81)</f>
        <v>155125111</v>
      </c>
      <c r="J82" s="463"/>
      <c r="K82" s="463"/>
      <c r="L82" s="463"/>
      <c r="M82" s="680">
        <f t="shared" si="15"/>
        <v>203678447.939538</v>
      </c>
      <c r="N82" s="673">
        <f>SUM(N76:N81)</f>
        <v>247560542.42084405</v>
      </c>
      <c r="O82" s="679"/>
      <c r="P82" s="679">
        <f>SUM(P76:P81)</f>
        <v>133170537.43882088</v>
      </c>
      <c r="Q82" s="679"/>
      <c r="R82" s="679">
        <f t="shared" si="18"/>
        <v>114390005</v>
      </c>
      <c r="S82" s="968">
        <f t="shared" si="16"/>
        <v>133170537.42084405</v>
      </c>
      <c r="T82" s="902">
        <f>SUM(T76:T81)</f>
        <v>182242405.09422049</v>
      </c>
      <c r="U82" s="902"/>
      <c r="V82" s="463"/>
      <c r="W82" s="679">
        <f t="shared" si="18"/>
        <v>81611026</v>
      </c>
      <c r="X82" s="978">
        <f t="shared" si="17"/>
        <v>100631379.09422049</v>
      </c>
    </row>
    <row r="83" spans="4:26" ht="15.75" thickBot="1">
      <c r="E83" s="207"/>
      <c r="F83" s="221"/>
      <c r="G83" s="227"/>
      <c r="H83" s="464"/>
      <c r="I83" s="672"/>
      <c r="J83" s="672"/>
      <c r="K83" s="672"/>
      <c r="L83" s="672"/>
      <c r="M83" s="114"/>
      <c r="N83" s="678"/>
      <c r="O83" s="678"/>
      <c r="P83" s="678"/>
      <c r="Q83" s="678"/>
      <c r="R83" s="228"/>
      <c r="S83" s="969"/>
      <c r="T83" s="976"/>
      <c r="U83" s="969"/>
      <c r="V83" s="969"/>
      <c r="W83" s="464"/>
      <c r="X83" s="233"/>
    </row>
    <row r="84" spans="4:26">
      <c r="E84" s="207"/>
      <c r="F84" s="209" t="s">
        <v>275</v>
      </c>
      <c r="G84" s="165"/>
      <c r="H84" s="5"/>
      <c r="I84" s="677" t="s">
        <v>311</v>
      </c>
      <c r="J84" s="861"/>
      <c r="K84" s="861"/>
      <c r="L84" s="861"/>
      <c r="M84" s="4"/>
      <c r="N84" s="994" t="s">
        <v>754</v>
      </c>
      <c r="O84" s="876"/>
      <c r="P84" s="876"/>
      <c r="Q84" s="876"/>
      <c r="R84" s="724"/>
      <c r="S84" s="979" t="s">
        <v>312</v>
      </c>
      <c r="T84" s="476"/>
      <c r="U84" s="476"/>
      <c r="V84" s="876"/>
    </row>
    <row r="85" spans="4:26">
      <c r="E85" s="208"/>
      <c r="F85" s="1065" t="s">
        <v>249</v>
      </c>
      <c r="G85" s="1057"/>
      <c r="H85" s="1058"/>
      <c r="I85" s="1008">
        <f>($M76-$S76)/$S76</f>
        <v>0.33025505569207647</v>
      </c>
      <c r="J85" s="862"/>
      <c r="K85" s="862"/>
      <c r="L85" s="862"/>
      <c r="M85" s="995"/>
      <c r="N85" s="996">
        <f>$S76/$S76</f>
        <v>1</v>
      </c>
      <c r="O85" s="877"/>
      <c r="P85" s="877"/>
      <c r="Q85" s="877"/>
      <c r="R85" s="987"/>
      <c r="S85" s="980">
        <f>($X76-$S76)/$S76</f>
        <v>-0.21909332151607055</v>
      </c>
      <c r="T85" s="903"/>
      <c r="U85" s="903"/>
      <c r="V85" s="877"/>
      <c r="W85" s="862"/>
      <c r="X85" s="862"/>
    </row>
    <row r="86" spans="4:26">
      <c r="D86"/>
      <c r="E86" s="208"/>
      <c r="F86" s="1066" t="s">
        <v>254</v>
      </c>
      <c r="G86" s="1057"/>
      <c r="H86" s="1058"/>
      <c r="I86" s="1009">
        <f t="shared" ref="I86:I91" si="19">($M77-$S77)/$S77</f>
        <v>0</v>
      </c>
      <c r="J86" s="863"/>
      <c r="K86" s="863"/>
      <c r="L86" s="863"/>
      <c r="M86" s="997"/>
      <c r="N86" s="998">
        <f t="shared" ref="N86:N91" si="20">$S77/$S77</f>
        <v>1</v>
      </c>
      <c r="O86" s="878"/>
      <c r="P86" s="878"/>
      <c r="Q86" s="878"/>
      <c r="R86" s="988"/>
      <c r="S86" s="981">
        <f t="shared" ref="S86:S91" si="21">($X77-$S77)/$S77</f>
        <v>-0.17174124365896387</v>
      </c>
      <c r="T86" s="904"/>
      <c r="U86" s="904"/>
      <c r="V86" s="878"/>
      <c r="W86" s="863"/>
      <c r="X86" s="863"/>
    </row>
    <row r="87" spans="4:26">
      <c r="D87"/>
      <c r="E87" s="208"/>
      <c r="F87" s="1067" t="s">
        <v>250</v>
      </c>
      <c r="G87" s="1057"/>
      <c r="H87" s="1058"/>
      <c r="I87" s="1010">
        <f t="shared" si="19"/>
        <v>1.6346279021868337</v>
      </c>
      <c r="J87" s="864"/>
      <c r="K87" s="864"/>
      <c r="L87" s="864"/>
      <c r="M87" s="999"/>
      <c r="N87" s="1000">
        <f t="shared" si="20"/>
        <v>1</v>
      </c>
      <c r="O87" s="879"/>
      <c r="P87" s="879"/>
      <c r="Q87" s="879"/>
      <c r="R87" s="989"/>
      <c r="S87" s="982">
        <f t="shared" si="21"/>
        <v>-0.21918114024475502</v>
      </c>
      <c r="T87" s="905"/>
      <c r="U87" s="905"/>
      <c r="V87" s="879"/>
      <c r="W87" s="864"/>
      <c r="X87" s="864"/>
      <c r="Y87" s="82"/>
    </row>
    <row r="88" spans="4:26">
      <c r="D88"/>
      <c r="E88" s="208"/>
      <c r="F88" s="1068" t="s">
        <v>252</v>
      </c>
      <c r="G88" s="1057"/>
      <c r="H88" s="1058"/>
      <c r="I88" s="1011">
        <f t="shared" si="19"/>
        <v>0.67399105098154388</v>
      </c>
      <c r="J88" s="865"/>
      <c r="K88" s="865"/>
      <c r="L88" s="865"/>
      <c r="M88" s="1001"/>
      <c r="N88" s="1002">
        <f t="shared" si="20"/>
        <v>1</v>
      </c>
      <c r="O88" s="880"/>
      <c r="P88" s="880"/>
      <c r="Q88" s="880"/>
      <c r="R88" s="990"/>
      <c r="S88" s="983">
        <f>($X79-$S79)/$S79</f>
        <v>-0.24734932617362973</v>
      </c>
      <c r="T88" s="906"/>
      <c r="U88" s="906"/>
      <c r="V88" s="880"/>
      <c r="W88" s="865"/>
      <c r="X88" s="865"/>
    </row>
    <row r="89" spans="4:26">
      <c r="D89"/>
      <c r="E89" s="208"/>
      <c r="F89" s="1056" t="s">
        <v>251</v>
      </c>
      <c r="G89" s="1057"/>
      <c r="H89" s="1058"/>
      <c r="I89" s="1012">
        <f t="shared" si="19"/>
        <v>0.72899386249311338</v>
      </c>
      <c r="J89" s="866"/>
      <c r="K89" s="866"/>
      <c r="L89" s="866"/>
      <c r="M89" s="1003"/>
      <c r="N89" s="1004">
        <f t="shared" si="20"/>
        <v>1</v>
      </c>
      <c r="O89" s="881"/>
      <c r="P89" s="881"/>
      <c r="Q89" s="881"/>
      <c r="R89" s="991"/>
      <c r="S89" s="984">
        <f t="shared" si="21"/>
        <v>-0.29581800149586995</v>
      </c>
      <c r="T89" s="907"/>
      <c r="U89" s="907"/>
      <c r="V89" s="881"/>
      <c r="W89" s="866"/>
      <c r="X89" s="866"/>
      <c r="Z89" s="681"/>
    </row>
    <row r="90" spans="4:26">
      <c r="D90"/>
      <c r="E90" s="208"/>
      <c r="F90" s="1059" t="s">
        <v>253</v>
      </c>
      <c r="G90" s="1057"/>
      <c r="H90" s="1058"/>
      <c r="I90" s="1013">
        <f t="shared" si="19"/>
        <v>0.47861809948345335</v>
      </c>
      <c r="J90" s="867"/>
      <c r="K90" s="867"/>
      <c r="L90" s="867"/>
      <c r="M90" s="1005"/>
      <c r="N90" s="1006">
        <f t="shared" si="20"/>
        <v>1</v>
      </c>
      <c r="O90" s="882"/>
      <c r="P90" s="882"/>
      <c r="Q90" s="882"/>
      <c r="R90" s="992"/>
      <c r="S90" s="985">
        <f t="shared" si="21"/>
        <v>-0.2959770389198827</v>
      </c>
      <c r="T90" s="908"/>
      <c r="U90" s="908"/>
      <c r="V90" s="882"/>
      <c r="W90" s="867"/>
      <c r="X90" s="867"/>
    </row>
    <row r="91" spans="4:26" ht="15.75" thickBot="1">
      <c r="D91"/>
      <c r="E91" s="207"/>
      <c r="F91" s="211" t="s">
        <v>458</v>
      </c>
      <c r="G91" s="210"/>
      <c r="H91" s="12"/>
      <c r="I91" s="1014">
        <f t="shared" si="19"/>
        <v>0.52945577816417189</v>
      </c>
      <c r="J91" s="868"/>
      <c r="K91" s="868"/>
      <c r="L91" s="868"/>
      <c r="M91" s="11"/>
      <c r="N91" s="1007">
        <f t="shared" si="20"/>
        <v>1</v>
      </c>
      <c r="O91" s="883"/>
      <c r="P91" s="883"/>
      <c r="Q91" s="883"/>
      <c r="R91" s="993"/>
      <c r="S91" s="986">
        <f t="shared" si="21"/>
        <v>-0.24434202156738072</v>
      </c>
      <c r="T91" s="868"/>
      <c r="U91" s="868"/>
      <c r="V91" s="883"/>
    </row>
    <row r="93" spans="4:26">
      <c r="F93" s="1" t="s">
        <v>668</v>
      </c>
      <c r="I93" s="491">
        <f>(I91*S82)+S82</f>
        <v>203678447.939538</v>
      </c>
      <c r="J93" s="491"/>
      <c r="K93" s="491"/>
      <c r="L93" s="491"/>
      <c r="M93" s="491"/>
      <c r="N93" s="491">
        <f>1*S82</f>
        <v>133170537.42084405</v>
      </c>
      <c r="O93" s="491"/>
      <c r="P93" s="491"/>
      <c r="Q93" s="491"/>
      <c r="R93" s="491"/>
      <c r="S93" s="491">
        <f>0.76369128*S82</f>
        <v>101701178.18121229</v>
      </c>
      <c r="T93" s="491"/>
      <c r="U93" s="491"/>
      <c r="V93" s="491"/>
    </row>
    <row r="94" spans="4:26">
      <c r="D94"/>
      <c r="H94" s="82"/>
      <c r="R94" s="82"/>
    </row>
    <row r="98" spans="6:21">
      <c r="F98" s="1015" t="str">
        <f>F76</f>
        <v>Avoided Costs</v>
      </c>
      <c r="S98" s="769">
        <f>S76</f>
        <v>2421935.2649876741</v>
      </c>
      <c r="T98" s="769"/>
      <c r="U98" s="769"/>
    </row>
    <row r="99" spans="6:21">
      <c r="F99" s="1015" t="str">
        <f>F77</f>
        <v>Additional Investment</v>
      </c>
      <c r="S99" s="769">
        <f>S77</f>
        <v>38060010.690408915</v>
      </c>
      <c r="T99" s="769"/>
      <c r="U99" s="769"/>
    </row>
    <row r="100" spans="6:21">
      <c r="F100" s="1015" t="s">
        <v>841</v>
      </c>
      <c r="S100" s="769">
        <f>SUM(S78:S81)</f>
        <v>92688591.465447456</v>
      </c>
      <c r="T100" s="769"/>
      <c r="U100" s="769"/>
    </row>
  </sheetData>
  <mergeCells count="9">
    <mergeCell ref="F89:H89"/>
    <mergeCell ref="F90:H90"/>
    <mergeCell ref="H74:M74"/>
    <mergeCell ref="N74:S74"/>
    <mergeCell ref="V74:X74"/>
    <mergeCell ref="F85:H85"/>
    <mergeCell ref="F86:H86"/>
    <mergeCell ref="F87:H87"/>
    <mergeCell ref="F88:H88"/>
  </mergeCells>
  <phoneticPr fontId="19" type="noConversion"/>
  <pageMargins left="0.7" right="0.7" top="0.75" bottom="0.75" header="0.3" footer="0.3"/>
  <pageSetup paperSize="9" scale="32" orientation="landscape" r:id="rId1"/>
  <legacyDrawing r:id="rId2"/>
</worksheet>
</file>

<file path=xl/worksheets/sheet30.xml><?xml version="1.0" encoding="utf-8"?>
<worksheet xmlns="http://schemas.openxmlformats.org/spreadsheetml/2006/main" xmlns:r="http://schemas.openxmlformats.org/officeDocument/2006/relationships">
  <sheetPr>
    <pageSetUpPr fitToPage="1"/>
  </sheetPr>
  <dimension ref="B1:AB105"/>
  <sheetViews>
    <sheetView topLeftCell="A19" zoomScale="75" zoomScaleNormal="75" workbookViewId="0">
      <selection activeCell="D75" sqref="D75"/>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 min="8" max="8" width="10.140625" customWidth="1"/>
    <col min="10" max="10" width="11.5703125" bestFit="1" customWidth="1"/>
    <col min="20" max="20" width="10.42578125" customWidth="1"/>
  </cols>
  <sheetData>
    <row r="1" spans="2:28" ht="18.75">
      <c r="B1" s="280" t="s">
        <v>60</v>
      </c>
    </row>
    <row r="2" spans="2:28" ht="18.75">
      <c r="B2" s="280" t="s">
        <v>347</v>
      </c>
    </row>
    <row r="3" spans="2:28" ht="18.75">
      <c r="B3" s="280" t="s">
        <v>838</v>
      </c>
    </row>
    <row r="4" spans="2:28" ht="19.5" thickBot="1">
      <c r="B4" s="280"/>
      <c r="C4" s="50"/>
    </row>
    <row r="5" spans="2:28" ht="18.75">
      <c r="B5" s="356"/>
      <c r="C5" s="386" t="s">
        <v>105</v>
      </c>
      <c r="D5" s="379"/>
      <c r="E5" s="359"/>
      <c r="F5" s="360"/>
    </row>
    <row r="6" spans="2:28" ht="18" customHeight="1">
      <c r="B6" s="361"/>
      <c r="C6" s="738" t="s">
        <v>813</v>
      </c>
      <c r="D6" s="380"/>
      <c r="E6" s="364"/>
      <c r="F6" s="365"/>
    </row>
    <row r="7" spans="2:28" ht="18.75">
      <c r="B7" s="361"/>
      <c r="C7" s="737" t="s">
        <v>104</v>
      </c>
      <c r="D7" s="380"/>
      <c r="E7" s="364"/>
      <c r="F7" s="365"/>
    </row>
    <row r="8" spans="2:28" s="32" customFormat="1">
      <c r="B8" s="366"/>
      <c r="C8" s="388"/>
      <c r="D8" s="381"/>
      <c r="E8" s="369"/>
      <c r="F8" s="370"/>
    </row>
    <row r="9" spans="2:28" s="32" customFormat="1">
      <c r="B9" s="366"/>
      <c r="C9" s="388" t="s">
        <v>103</v>
      </c>
      <c r="D9" s="382" t="s">
        <v>106</v>
      </c>
      <c r="E9" s="369"/>
      <c r="F9" s="370"/>
    </row>
    <row r="10" spans="2:28" s="32" customFormat="1">
      <c r="B10" s="366"/>
      <c r="C10" s="388" t="s">
        <v>102</v>
      </c>
      <c r="D10" s="453" t="s">
        <v>785</v>
      </c>
      <c r="E10" s="369"/>
      <c r="F10" s="370"/>
      <c r="G10" s="493"/>
    </row>
    <row r="11" spans="2:28" s="32" customFormat="1">
      <c r="B11" s="366"/>
      <c r="C11" s="388" t="s">
        <v>109</v>
      </c>
      <c r="D11" s="389">
        <v>40633</v>
      </c>
      <c r="E11" s="369"/>
      <c r="F11" s="370"/>
      <c r="G11" s="493"/>
    </row>
    <row r="12" spans="2:28" s="32" customFormat="1">
      <c r="B12" s="366"/>
      <c r="C12" s="388" t="s">
        <v>101</v>
      </c>
      <c r="D12" s="389">
        <v>40816</v>
      </c>
      <c r="E12" s="369"/>
      <c r="F12" s="370"/>
      <c r="G12" s="65"/>
      <c r="H12"/>
      <c r="I12"/>
      <c r="J12"/>
      <c r="K12"/>
      <c r="L12"/>
      <c r="M12"/>
      <c r="N12"/>
      <c r="O12"/>
      <c r="P12"/>
      <c r="Q12"/>
      <c r="R12"/>
      <c r="S12"/>
      <c r="T12"/>
      <c r="U12"/>
      <c r="V12"/>
      <c r="W12"/>
      <c r="X12"/>
      <c r="Y12"/>
      <c r="Z12"/>
      <c r="AA12"/>
      <c r="AB12"/>
    </row>
    <row r="13" spans="2:28" s="32" customFormat="1">
      <c r="B13" s="366"/>
      <c r="C13" s="388"/>
      <c r="D13" s="381"/>
      <c r="E13" s="369"/>
      <c r="F13" s="370"/>
      <c r="G13" s="65"/>
      <c r="H13"/>
      <c r="I13"/>
      <c r="J13"/>
      <c r="K13"/>
      <c r="L13"/>
      <c r="M13"/>
      <c r="N13"/>
      <c r="O13"/>
      <c r="P13"/>
      <c r="Q13"/>
      <c r="R13"/>
      <c r="S13"/>
      <c r="T13"/>
      <c r="U13"/>
      <c r="V13"/>
      <c r="W13"/>
      <c r="X13"/>
      <c r="Y13"/>
      <c r="Z13"/>
      <c r="AA13"/>
      <c r="AB13"/>
    </row>
    <row r="14" spans="2:28">
      <c r="B14" s="361"/>
      <c r="C14" s="388" t="s">
        <v>100</v>
      </c>
      <c r="D14" s="383" t="s">
        <v>99</v>
      </c>
      <c r="E14" s="754"/>
      <c r="F14" s="365"/>
      <c r="G14" s="65"/>
      <c r="I14" s="504"/>
      <c r="J14" s="504"/>
      <c r="K14" s="504"/>
      <c r="L14" s="39"/>
    </row>
    <row r="15" spans="2:28">
      <c r="B15" s="361"/>
      <c r="C15" s="364"/>
      <c r="D15" s="383" t="s">
        <v>98</v>
      </c>
      <c r="E15" s="754"/>
      <c r="F15" s="365"/>
      <c r="G15" s="65"/>
      <c r="I15" s="39"/>
      <c r="J15" s="39"/>
      <c r="K15" s="39"/>
      <c r="L15" s="39"/>
    </row>
    <row r="16" spans="2:28">
      <c r="B16" s="361"/>
      <c r="C16" s="364"/>
      <c r="D16" s="383" t="s">
        <v>97</v>
      </c>
      <c r="E16" s="754" t="s">
        <v>106</v>
      </c>
      <c r="F16" s="365"/>
      <c r="G16" s="65"/>
    </row>
    <row r="17" spans="2:7">
      <c r="B17" s="361"/>
      <c r="C17" s="364"/>
      <c r="D17" s="383" t="s">
        <v>45</v>
      </c>
      <c r="E17" s="754"/>
      <c r="F17" s="365"/>
      <c r="G17" s="65"/>
    </row>
    <row r="18" spans="2:7">
      <c r="B18" s="361"/>
      <c r="C18" s="364"/>
      <c r="D18" s="383" t="s">
        <v>95</v>
      </c>
      <c r="E18" s="754" t="s">
        <v>96</v>
      </c>
      <c r="F18" s="365"/>
      <c r="G18" s="65"/>
    </row>
    <row r="19" spans="2:7">
      <c r="B19" s="361"/>
      <c r="C19" s="364"/>
      <c r="D19" s="383" t="s">
        <v>66</v>
      </c>
      <c r="E19" s="75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66</v>
      </c>
      <c r="E23" s="364"/>
      <c r="F23" s="365"/>
      <c r="G23" s="65"/>
    </row>
    <row r="24" spans="2:7" hidden="1">
      <c r="B24" s="361"/>
      <c r="C24" s="388"/>
      <c r="D24" s="382"/>
      <c r="E24" s="364"/>
      <c r="F24" s="365"/>
      <c r="G24" s="65"/>
    </row>
    <row r="25" spans="2:7" hidden="1">
      <c r="B25" s="361"/>
      <c r="C25" s="388"/>
      <c r="D25" s="371" t="s">
        <v>93</v>
      </c>
      <c r="E25" s="364"/>
      <c r="F25" s="365"/>
      <c r="G25" s="65"/>
    </row>
    <row r="26" spans="2:7" hidden="1">
      <c r="B26" s="361"/>
      <c r="C26" s="388"/>
      <c r="D26" s="371" t="s">
        <v>58</v>
      </c>
      <c r="E26" s="364"/>
      <c r="F26" s="365"/>
      <c r="G26" s="65"/>
    </row>
    <row r="27" spans="2:7" hidden="1">
      <c r="B27" s="361"/>
      <c r="C27" s="388"/>
      <c r="D27" s="371" t="s">
        <v>92</v>
      </c>
      <c r="E27" s="364"/>
      <c r="F27" s="365"/>
      <c r="G27" s="65"/>
    </row>
    <row r="28" spans="2:7" hidden="1">
      <c r="B28" s="361"/>
      <c r="C28" s="388"/>
      <c r="D28" s="371" t="s">
        <v>91</v>
      </c>
      <c r="E28" s="364"/>
      <c r="F28" s="365"/>
      <c r="G28" s="65"/>
    </row>
    <row r="29" spans="2:7" hidden="1">
      <c r="B29" s="361"/>
      <c r="C29" s="388"/>
      <c r="D29" s="371" t="s">
        <v>90</v>
      </c>
      <c r="E29" s="364"/>
      <c r="F29" s="365"/>
      <c r="G29" s="65"/>
    </row>
    <row r="30" spans="2:7" hidden="1">
      <c r="B30" s="361"/>
      <c r="C30" s="388"/>
      <c r="D30" s="371" t="s">
        <v>89</v>
      </c>
      <c r="E30" s="364"/>
      <c r="F30" s="365"/>
      <c r="G30" s="65"/>
    </row>
    <row r="31" spans="2:7" hidden="1">
      <c r="B31" s="361"/>
      <c r="C31" s="388"/>
      <c r="D31" s="371" t="s">
        <v>88</v>
      </c>
      <c r="E31" s="364"/>
      <c r="F31" s="365"/>
      <c r="G31" s="65"/>
    </row>
    <row r="32" spans="2:7" hidden="1">
      <c r="B32" s="361"/>
      <c r="C32" s="388"/>
      <c r="D32" s="371" t="s">
        <v>87</v>
      </c>
      <c r="E32" s="364"/>
      <c r="F32" s="365"/>
      <c r="G32" s="65"/>
    </row>
    <row r="33" spans="2:7" hidden="1">
      <c r="B33" s="361"/>
      <c r="C33" s="388"/>
      <c r="D33" s="371" t="s">
        <v>86</v>
      </c>
      <c r="E33" s="364"/>
      <c r="F33" s="365"/>
      <c r="G33" s="65"/>
    </row>
    <row r="34" spans="2:7" hidden="1">
      <c r="B34" s="361"/>
      <c r="C34" s="388"/>
      <c r="D34" s="371" t="s">
        <v>85</v>
      </c>
      <c r="E34" s="364"/>
      <c r="F34" s="365"/>
      <c r="G34" s="65"/>
    </row>
    <row r="35" spans="2:7" hidden="1">
      <c r="B35" s="361"/>
      <c r="C35" s="388"/>
      <c r="D35" s="371" t="s">
        <v>84</v>
      </c>
      <c r="E35" s="364"/>
      <c r="F35" s="365"/>
      <c r="G35" s="65"/>
    </row>
    <row r="36" spans="2:7" hidden="1">
      <c r="B36" s="361"/>
      <c r="C36" s="388"/>
      <c r="D36" s="371" t="s">
        <v>83</v>
      </c>
      <c r="E36" s="364"/>
      <c r="F36" s="365"/>
      <c r="G36" s="65"/>
    </row>
    <row r="37" spans="2:7" hidden="1">
      <c r="B37" s="361"/>
      <c r="C37" s="388"/>
      <c r="D37" s="371" t="s">
        <v>82</v>
      </c>
      <c r="E37" s="364"/>
      <c r="F37" s="365"/>
      <c r="G37" s="65"/>
    </row>
    <row r="38" spans="2:7" hidden="1">
      <c r="B38" s="361"/>
      <c r="C38" s="388"/>
      <c r="D38" s="371" t="s">
        <v>81</v>
      </c>
      <c r="E38" s="364"/>
      <c r="F38" s="365"/>
      <c r="G38" s="65"/>
    </row>
    <row r="39" spans="2:7" hidden="1">
      <c r="B39" s="361"/>
      <c r="C39" s="388"/>
      <c r="D39" s="378" t="s">
        <v>66</v>
      </c>
      <c r="E39" s="364"/>
      <c r="F39" s="365"/>
      <c r="G39" s="65"/>
    </row>
    <row r="40" spans="2:7">
      <c r="B40" s="361"/>
      <c r="C40" s="388"/>
      <c r="D40" s="380"/>
      <c r="E40" s="364"/>
      <c r="F40" s="365"/>
      <c r="G40" s="65"/>
    </row>
    <row r="41" spans="2:7">
      <c r="B41" s="361"/>
      <c r="C41" s="376" t="s">
        <v>65</v>
      </c>
      <c r="D41" s="382" t="s">
        <v>784</v>
      </c>
      <c r="E41" s="364"/>
      <c r="F41" s="365"/>
      <c r="G41" s="65"/>
    </row>
    <row r="42" spans="2:7">
      <c r="B42" s="361"/>
      <c r="C42" s="377"/>
      <c r="D42" s="380"/>
      <c r="E42" s="364"/>
      <c r="F42" s="365"/>
      <c r="G42" s="65"/>
    </row>
    <row r="43" spans="2:7" ht="18.75">
      <c r="B43" s="392"/>
      <c r="C43" s="405" t="s">
        <v>80</v>
      </c>
      <c r="D43" s="404"/>
      <c r="E43" s="395"/>
      <c r="F43" s="396"/>
      <c r="G43" s="65"/>
    </row>
    <row r="44" spans="2:7">
      <c r="B44" s="392"/>
      <c r="C44" s="406" t="s">
        <v>79</v>
      </c>
      <c r="D44" s="399" t="s">
        <v>812</v>
      </c>
      <c r="E44" s="395"/>
      <c r="F44" s="396"/>
      <c r="G44" s="65"/>
    </row>
    <row r="45" spans="2:7">
      <c r="B45" s="392"/>
      <c r="C45" s="406" t="s">
        <v>78</v>
      </c>
      <c r="D45" s="399" t="s">
        <v>812</v>
      </c>
      <c r="E45" s="395"/>
      <c r="F45" s="396"/>
      <c r="G45" s="65"/>
    </row>
    <row r="46" spans="2:7" ht="30">
      <c r="B46" s="392"/>
      <c r="C46" s="407" t="s">
        <v>77</v>
      </c>
      <c r="D46" s="399" t="s">
        <v>812</v>
      </c>
      <c r="E46" s="395"/>
      <c r="F46" s="396"/>
      <c r="G46" s="65"/>
    </row>
    <row r="47" spans="2:7" ht="30">
      <c r="B47" s="392"/>
      <c r="C47" s="400" t="s">
        <v>76</v>
      </c>
      <c r="D47" s="399" t="s">
        <v>209</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71</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67</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10">
      <c r="B65" s="346"/>
      <c r="C65" s="354" t="s">
        <v>65</v>
      </c>
      <c r="D65" s="413"/>
      <c r="E65" s="349"/>
      <c r="F65" s="350"/>
    </row>
    <row r="66" spans="2:10">
      <c r="B66" s="346"/>
      <c r="C66" s="417"/>
      <c r="D66" s="412"/>
      <c r="E66" s="349"/>
      <c r="F66" s="350"/>
    </row>
    <row r="67" spans="2:10" ht="18.75">
      <c r="B67" s="419"/>
      <c r="C67" s="443" t="s">
        <v>64</v>
      </c>
      <c r="D67" s="434"/>
      <c r="E67" s="422"/>
      <c r="F67" s="423"/>
    </row>
    <row r="68" spans="2:10">
      <c r="B68" s="419"/>
      <c r="C68" s="444" t="s">
        <v>118</v>
      </c>
      <c r="D68" s="424" t="s">
        <v>106</v>
      </c>
      <c r="E68" s="422"/>
      <c r="F68" s="423"/>
    </row>
    <row r="69" spans="2:10">
      <c r="B69" s="419"/>
      <c r="C69" s="444" t="s">
        <v>107</v>
      </c>
      <c r="D69" s="427"/>
      <c r="E69" s="422"/>
      <c r="F69" s="423"/>
    </row>
    <row r="70" spans="2:10">
      <c r="B70" s="419"/>
      <c r="C70" s="444" t="s">
        <v>119</v>
      </c>
      <c r="D70" s="424">
        <v>134000</v>
      </c>
      <c r="E70" s="422"/>
      <c r="F70" s="423"/>
      <c r="J70" s="612"/>
    </row>
    <row r="71" spans="2:10">
      <c r="B71" s="419"/>
      <c r="C71" s="444"/>
      <c r="D71" s="433"/>
      <c r="E71" s="422"/>
      <c r="F71" s="423"/>
    </row>
    <row r="72" spans="2:10">
      <c r="B72" s="419"/>
      <c r="C72" s="444" t="s">
        <v>223</v>
      </c>
      <c r="D72" s="426" t="s">
        <v>375</v>
      </c>
      <c r="E72" s="422"/>
      <c r="F72" s="423"/>
      <c r="H72" s="39"/>
    </row>
    <row r="73" spans="2:10">
      <c r="B73" s="419"/>
      <c r="C73" s="444" t="s">
        <v>62</v>
      </c>
      <c r="D73" s="426" t="s">
        <v>375</v>
      </c>
      <c r="E73" s="422"/>
      <c r="F73" s="423"/>
      <c r="H73" s="65"/>
    </row>
    <row r="74" spans="2:10">
      <c r="B74" s="419"/>
      <c r="C74" s="444"/>
      <c r="D74" s="433"/>
      <c r="E74" s="422"/>
      <c r="F74" s="423"/>
      <c r="H74" t="s">
        <v>106</v>
      </c>
    </row>
    <row r="75" spans="2:10">
      <c r="B75" s="419"/>
      <c r="C75" s="444" t="s">
        <v>61</v>
      </c>
      <c r="D75" s="427">
        <v>1</v>
      </c>
      <c r="E75" s="422"/>
      <c r="F75" s="423"/>
    </row>
    <row r="76" spans="2:10">
      <c r="B76" s="419"/>
      <c r="C76" s="444"/>
      <c r="D76" s="433"/>
      <c r="E76" s="422"/>
      <c r="F76" s="423"/>
    </row>
    <row r="77" spans="2:10">
      <c r="B77" s="419"/>
      <c r="C77" s="446"/>
      <c r="D77" s="434"/>
      <c r="E77" s="422"/>
      <c r="F77" s="423"/>
    </row>
    <row r="78" spans="2:10" ht="15.75" thickBot="1">
      <c r="B78" s="429"/>
      <c r="C78" s="430"/>
      <c r="D78" s="435"/>
      <c r="E78" s="430"/>
      <c r="F78" s="432"/>
    </row>
    <row r="80" spans="2:10">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47">
      <formula1>$D$48:$D$51</formula1>
    </dataValidation>
    <dataValidation type="list" allowBlank="1" showInputMessage="1" showErrorMessage="1" sqref="D60">
      <formula1>$D$61:$D$64</formula1>
    </dataValidation>
    <dataValidation type="list" allowBlank="1" showInputMessage="1" showErrorMessage="1" sqref="D23">
      <formula1>$D$25:$D$39</formula1>
    </dataValidation>
    <dataValidation type="list" allowBlank="1" showInputMessage="1" showErrorMessage="1" sqref="D54">
      <formula1>$D$56:$D$58</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69" orientation="portrait" copies="2" r:id="rId1"/>
</worksheet>
</file>

<file path=xl/worksheets/sheet31.xml><?xml version="1.0" encoding="utf-8"?>
<worksheet xmlns="http://schemas.openxmlformats.org/spreadsheetml/2006/main" xmlns:r="http://schemas.openxmlformats.org/officeDocument/2006/relationships">
  <sheetPr>
    <pageSetUpPr fitToPage="1"/>
  </sheetPr>
  <dimension ref="B1:AB105"/>
  <sheetViews>
    <sheetView topLeftCell="A22" zoomScale="75" zoomScaleNormal="75" workbookViewId="0">
      <selection activeCell="D79" sqref="D79"/>
    </sheetView>
  </sheetViews>
  <sheetFormatPr defaultRowHeight="15"/>
  <cols>
    <col min="1" max="2" width="3.7109375" customWidth="1"/>
    <col min="3" max="3" width="88.5703125" customWidth="1"/>
    <col min="4" max="4" width="34.28515625" style="34" bestFit="1" customWidth="1"/>
    <col min="5" max="5" width="4.7109375" customWidth="1"/>
    <col min="6" max="7" width="3.7109375" customWidth="1"/>
    <col min="8" max="8" width="10.140625" customWidth="1"/>
    <col min="10" max="10" width="11.5703125" bestFit="1" customWidth="1"/>
    <col min="20" max="20" width="10.42578125" customWidth="1"/>
  </cols>
  <sheetData>
    <row r="1" spans="2:28" ht="18.75">
      <c r="B1" s="280" t="s">
        <v>60</v>
      </c>
    </row>
    <row r="2" spans="2:28" ht="18.75">
      <c r="B2" s="280" t="s">
        <v>347</v>
      </c>
    </row>
    <row r="3" spans="2:28" ht="18.75">
      <c r="B3" s="280" t="s">
        <v>789</v>
      </c>
    </row>
    <row r="4" spans="2:28" ht="19.5" thickBot="1">
      <c r="B4" s="280"/>
      <c r="C4" s="50"/>
    </row>
    <row r="5" spans="2:28" ht="18.75">
      <c r="B5" s="356"/>
      <c r="C5" s="386" t="s">
        <v>105</v>
      </c>
      <c r="D5" s="379"/>
      <c r="E5" s="359"/>
      <c r="F5" s="360"/>
    </row>
    <row r="6" spans="2:28" ht="18" customHeight="1">
      <c r="B6" s="361"/>
      <c r="C6" s="737" t="s">
        <v>790</v>
      </c>
      <c r="D6" s="380"/>
      <c r="E6" s="364"/>
      <c r="F6" s="365"/>
    </row>
    <row r="7" spans="2:28" ht="18.75">
      <c r="B7" s="361"/>
      <c r="C7" s="737" t="s">
        <v>104</v>
      </c>
      <c r="D7" s="380"/>
      <c r="E7" s="364"/>
      <c r="F7" s="365"/>
    </row>
    <row r="8" spans="2:28" s="32" customFormat="1">
      <c r="B8" s="366"/>
      <c r="C8" s="388"/>
      <c r="D8" s="381"/>
      <c r="E8" s="369"/>
      <c r="F8" s="370"/>
    </row>
    <row r="9" spans="2:28" s="32" customFormat="1">
      <c r="B9" s="366"/>
      <c r="C9" s="388" t="s">
        <v>103</v>
      </c>
      <c r="D9" s="382" t="s">
        <v>106</v>
      </c>
      <c r="E9" s="369"/>
      <c r="F9" s="370"/>
    </row>
    <row r="10" spans="2:28" s="32" customFormat="1">
      <c r="B10" s="366"/>
      <c r="C10" s="388" t="s">
        <v>102</v>
      </c>
      <c r="D10" s="453" t="s">
        <v>786</v>
      </c>
      <c r="E10" s="369"/>
      <c r="F10" s="370"/>
      <c r="G10" s="493"/>
    </row>
    <row r="11" spans="2:28" s="32" customFormat="1">
      <c r="B11" s="366"/>
      <c r="C11" s="388" t="s">
        <v>109</v>
      </c>
      <c r="D11" s="389">
        <v>40633</v>
      </c>
      <c r="E11" s="369"/>
      <c r="F11" s="370"/>
      <c r="G11" s="493"/>
    </row>
    <row r="12" spans="2:28" s="32" customFormat="1">
      <c r="B12" s="366"/>
      <c r="C12" s="388" t="s">
        <v>101</v>
      </c>
      <c r="D12" s="389">
        <v>40816</v>
      </c>
      <c r="E12" s="369"/>
      <c r="F12" s="370"/>
      <c r="G12" s="65"/>
      <c r="H12"/>
      <c r="I12"/>
      <c r="J12"/>
      <c r="K12"/>
      <c r="L12"/>
      <c r="M12"/>
      <c r="N12"/>
      <c r="O12"/>
      <c r="P12"/>
      <c r="Q12"/>
      <c r="R12"/>
      <c r="S12"/>
      <c r="T12"/>
      <c r="U12"/>
      <c r="V12"/>
      <c r="W12"/>
      <c r="X12"/>
      <c r="Y12"/>
      <c r="Z12"/>
      <c r="AA12"/>
      <c r="AB12"/>
    </row>
    <row r="13" spans="2:28" s="32" customFormat="1">
      <c r="B13" s="366"/>
      <c r="C13" s="388"/>
      <c r="D13" s="381"/>
      <c r="E13" s="369"/>
      <c r="F13" s="370"/>
      <c r="G13" s="65"/>
      <c r="H13"/>
      <c r="I13"/>
      <c r="J13"/>
      <c r="K13"/>
      <c r="L13"/>
      <c r="M13"/>
      <c r="N13"/>
      <c r="O13"/>
      <c r="P13"/>
      <c r="Q13"/>
      <c r="R13"/>
      <c r="S13"/>
      <c r="T13"/>
      <c r="U13"/>
      <c r="V13"/>
      <c r="W13"/>
      <c r="X13"/>
      <c r="Y13"/>
      <c r="Z13"/>
      <c r="AA13"/>
      <c r="AB13"/>
    </row>
    <row r="14" spans="2:28">
      <c r="B14" s="361"/>
      <c r="C14" s="388" t="s">
        <v>100</v>
      </c>
      <c r="D14" s="383" t="s">
        <v>99</v>
      </c>
      <c r="E14" s="374" t="s">
        <v>106</v>
      </c>
      <c r="F14" s="365"/>
      <c r="G14" s="65"/>
      <c r="I14" s="504"/>
      <c r="J14" s="504"/>
      <c r="K14" s="504"/>
      <c r="L14" s="39"/>
    </row>
    <row r="15" spans="2:28">
      <c r="B15" s="361"/>
      <c r="C15" s="364"/>
      <c r="D15" s="383" t="s">
        <v>98</v>
      </c>
      <c r="E15" s="374"/>
      <c r="F15" s="365"/>
      <c r="G15" s="65"/>
      <c r="I15" s="39"/>
      <c r="J15" s="39"/>
      <c r="K15" s="39"/>
      <c r="L15" s="39"/>
    </row>
    <row r="16" spans="2:28">
      <c r="B16" s="361"/>
      <c r="C16" s="364"/>
      <c r="D16" s="383" t="s">
        <v>97</v>
      </c>
      <c r="E16" s="375" t="s">
        <v>106</v>
      </c>
      <c r="F16" s="365"/>
      <c r="G16" s="65"/>
    </row>
    <row r="17" spans="2:7">
      <c r="B17" s="361"/>
      <c r="C17" s="364"/>
      <c r="D17" s="383" t="s">
        <v>45</v>
      </c>
      <c r="E17" s="374"/>
      <c r="F17" s="365"/>
      <c r="G17" s="65"/>
    </row>
    <row r="18" spans="2:7">
      <c r="B18" s="361"/>
      <c r="C18" s="364"/>
      <c r="D18" s="383" t="s">
        <v>95</v>
      </c>
      <c r="E18" s="374" t="s">
        <v>96</v>
      </c>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66</v>
      </c>
      <c r="E23" s="364"/>
      <c r="F23" s="365"/>
      <c r="G23" s="65"/>
    </row>
    <row r="24" spans="2:7" hidden="1">
      <c r="B24" s="361"/>
      <c r="C24" s="388"/>
      <c r="D24" s="382"/>
      <c r="E24" s="364"/>
      <c r="F24" s="365"/>
      <c r="G24" s="65"/>
    </row>
    <row r="25" spans="2:7" hidden="1">
      <c r="B25" s="361"/>
      <c r="C25" s="388"/>
      <c r="D25" s="371" t="s">
        <v>93</v>
      </c>
      <c r="E25" s="364"/>
      <c r="F25" s="365"/>
      <c r="G25" s="65"/>
    </row>
    <row r="26" spans="2:7" hidden="1">
      <c r="B26" s="361"/>
      <c r="C26" s="388"/>
      <c r="D26" s="371" t="s">
        <v>58</v>
      </c>
      <c r="E26" s="364"/>
      <c r="F26" s="365"/>
      <c r="G26" s="65"/>
    </row>
    <row r="27" spans="2:7" hidden="1">
      <c r="B27" s="361"/>
      <c r="C27" s="388"/>
      <c r="D27" s="371" t="s">
        <v>92</v>
      </c>
      <c r="E27" s="364"/>
      <c r="F27" s="365"/>
      <c r="G27" s="65"/>
    </row>
    <row r="28" spans="2:7" hidden="1">
      <c r="B28" s="361"/>
      <c r="C28" s="388"/>
      <c r="D28" s="371" t="s">
        <v>91</v>
      </c>
      <c r="E28" s="364"/>
      <c r="F28" s="365"/>
      <c r="G28" s="65"/>
    </row>
    <row r="29" spans="2:7" hidden="1">
      <c r="B29" s="361"/>
      <c r="C29" s="388"/>
      <c r="D29" s="371" t="s">
        <v>90</v>
      </c>
      <c r="E29" s="364"/>
      <c r="F29" s="365"/>
      <c r="G29" s="65"/>
    </row>
    <row r="30" spans="2:7" hidden="1">
      <c r="B30" s="361"/>
      <c r="C30" s="388"/>
      <c r="D30" s="371" t="s">
        <v>89</v>
      </c>
      <c r="E30" s="364"/>
      <c r="F30" s="365"/>
      <c r="G30" s="65"/>
    </row>
    <row r="31" spans="2:7" hidden="1">
      <c r="B31" s="361"/>
      <c r="C31" s="388"/>
      <c r="D31" s="371" t="s">
        <v>88</v>
      </c>
      <c r="E31" s="364"/>
      <c r="F31" s="365"/>
      <c r="G31" s="65"/>
    </row>
    <row r="32" spans="2:7" hidden="1">
      <c r="B32" s="361"/>
      <c r="C32" s="388"/>
      <c r="D32" s="371" t="s">
        <v>87</v>
      </c>
      <c r="E32" s="364"/>
      <c r="F32" s="365"/>
      <c r="G32" s="65"/>
    </row>
    <row r="33" spans="2:7" hidden="1">
      <c r="B33" s="361"/>
      <c r="C33" s="388"/>
      <c r="D33" s="371" t="s">
        <v>86</v>
      </c>
      <c r="E33" s="364"/>
      <c r="F33" s="365"/>
      <c r="G33" s="65"/>
    </row>
    <row r="34" spans="2:7" hidden="1">
      <c r="B34" s="361"/>
      <c r="C34" s="388"/>
      <c r="D34" s="371" t="s">
        <v>85</v>
      </c>
      <c r="E34" s="364"/>
      <c r="F34" s="365"/>
      <c r="G34" s="65"/>
    </row>
    <row r="35" spans="2:7" hidden="1">
      <c r="B35" s="361"/>
      <c r="C35" s="388"/>
      <c r="D35" s="371" t="s">
        <v>84</v>
      </c>
      <c r="E35" s="364"/>
      <c r="F35" s="365"/>
      <c r="G35" s="65"/>
    </row>
    <row r="36" spans="2:7" hidden="1">
      <c r="B36" s="361"/>
      <c r="C36" s="388"/>
      <c r="D36" s="371" t="s">
        <v>83</v>
      </c>
      <c r="E36" s="364"/>
      <c r="F36" s="365"/>
      <c r="G36" s="65"/>
    </row>
    <row r="37" spans="2:7" hidden="1">
      <c r="B37" s="361"/>
      <c r="C37" s="388"/>
      <c r="D37" s="371" t="s">
        <v>82</v>
      </c>
      <c r="E37" s="364"/>
      <c r="F37" s="365"/>
      <c r="G37" s="65"/>
    </row>
    <row r="38" spans="2:7" hidden="1">
      <c r="B38" s="361"/>
      <c r="C38" s="388"/>
      <c r="D38" s="371" t="s">
        <v>81</v>
      </c>
      <c r="E38" s="364"/>
      <c r="F38" s="365"/>
      <c r="G38" s="65"/>
    </row>
    <row r="39" spans="2:7" hidden="1">
      <c r="B39" s="361"/>
      <c r="C39" s="388"/>
      <c r="D39" s="378" t="s">
        <v>66</v>
      </c>
      <c r="E39" s="364"/>
      <c r="F39" s="365"/>
      <c r="G39" s="65"/>
    </row>
    <row r="40" spans="2:7">
      <c r="B40" s="361"/>
      <c r="C40" s="388"/>
      <c r="D40" s="380"/>
      <c r="E40" s="364"/>
      <c r="F40" s="365"/>
      <c r="G40" s="65"/>
    </row>
    <row r="41" spans="2:7" ht="30">
      <c r="B41" s="361"/>
      <c r="C41" s="376" t="s">
        <v>65</v>
      </c>
      <c r="D41" s="382" t="s">
        <v>787</v>
      </c>
      <c r="E41" s="364"/>
      <c r="F41" s="365"/>
      <c r="G41" s="65"/>
    </row>
    <row r="42" spans="2:7">
      <c r="B42" s="361"/>
      <c r="C42" s="377"/>
      <c r="D42" s="380"/>
      <c r="E42" s="364"/>
      <c r="F42" s="365"/>
      <c r="G42" s="65"/>
    </row>
    <row r="43" spans="2:7" ht="18.75">
      <c r="B43" s="392"/>
      <c r="C43" s="405" t="s">
        <v>80</v>
      </c>
      <c r="D43" s="404"/>
      <c r="E43" s="395"/>
      <c r="F43" s="396"/>
      <c r="G43" s="65"/>
    </row>
    <row r="44" spans="2:7">
      <c r="B44" s="392"/>
      <c r="C44" s="406" t="s">
        <v>79</v>
      </c>
      <c r="D44" s="567" t="s">
        <v>693</v>
      </c>
      <c r="E44" s="395"/>
      <c r="F44" s="396"/>
      <c r="G44" s="65"/>
    </row>
    <row r="45" spans="2:7">
      <c r="B45" s="392"/>
      <c r="C45" s="406" t="s">
        <v>78</v>
      </c>
      <c r="D45" s="567" t="s">
        <v>693</v>
      </c>
      <c r="E45" s="395"/>
      <c r="F45" s="396"/>
      <c r="G45" s="65"/>
    </row>
    <row r="46" spans="2:7" ht="30">
      <c r="B46" s="392"/>
      <c r="C46" s="407" t="s">
        <v>77</v>
      </c>
      <c r="D46" s="567" t="s">
        <v>693</v>
      </c>
      <c r="E46" s="395"/>
      <c r="F46" s="396"/>
      <c r="G46" s="65"/>
    </row>
    <row r="47" spans="2:7" ht="30">
      <c r="B47" s="392"/>
      <c r="C47" s="400" t="s">
        <v>76</v>
      </c>
      <c r="D47" s="399" t="s">
        <v>209</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71</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69</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10">
      <c r="B65" s="346"/>
      <c r="C65" s="354" t="s">
        <v>65</v>
      </c>
      <c r="D65" s="413"/>
      <c r="E65" s="349"/>
      <c r="F65" s="350"/>
    </row>
    <row r="66" spans="2:10">
      <c r="B66" s="346"/>
      <c r="C66" s="417"/>
      <c r="D66" s="412"/>
      <c r="E66" s="349"/>
      <c r="F66" s="350"/>
    </row>
    <row r="67" spans="2:10" ht="18.75">
      <c r="B67" s="419"/>
      <c r="C67" s="443" t="s">
        <v>64</v>
      </c>
      <c r="D67" s="434"/>
      <c r="E67" s="422"/>
      <c r="F67" s="423"/>
    </row>
    <row r="68" spans="2:10">
      <c r="B68" s="419"/>
      <c r="C68" s="444" t="s">
        <v>118</v>
      </c>
      <c r="D68" s="424" t="s">
        <v>106</v>
      </c>
      <c r="E68" s="422"/>
      <c r="F68" s="423"/>
    </row>
    <row r="69" spans="2:10">
      <c r="B69" s="419"/>
      <c r="C69" s="444" t="s">
        <v>107</v>
      </c>
      <c r="D69" s="427"/>
      <c r="E69" s="422"/>
      <c r="F69" s="423"/>
    </row>
    <row r="70" spans="2:10">
      <c r="B70" s="419"/>
      <c r="C70" s="444" t="s">
        <v>119</v>
      </c>
      <c r="D70" s="606">
        <v>100000</v>
      </c>
      <c r="E70" s="422"/>
      <c r="F70" s="423"/>
      <c r="J70" s="612"/>
    </row>
    <row r="71" spans="2:10">
      <c r="B71" s="419"/>
      <c r="C71" s="444"/>
      <c r="D71" s="433"/>
      <c r="E71" s="422"/>
      <c r="F71" s="423"/>
    </row>
    <row r="72" spans="2:10">
      <c r="B72" s="419"/>
      <c r="C72" s="444" t="s">
        <v>223</v>
      </c>
      <c r="D72" s="426" t="s">
        <v>788</v>
      </c>
      <c r="E72" s="422"/>
      <c r="F72" s="423"/>
      <c r="H72" s="39"/>
    </row>
    <row r="73" spans="2:10">
      <c r="B73" s="419"/>
      <c r="C73" s="444" t="s">
        <v>62</v>
      </c>
      <c r="D73" s="426" t="s">
        <v>791</v>
      </c>
      <c r="E73" s="422"/>
      <c r="F73" s="423"/>
      <c r="H73" s="65"/>
    </row>
    <row r="74" spans="2:10">
      <c r="B74" s="419"/>
      <c r="C74" s="444"/>
      <c r="D74" s="433"/>
      <c r="E74" s="422"/>
      <c r="F74" s="423"/>
      <c r="H74" t="s">
        <v>106</v>
      </c>
    </row>
    <row r="75" spans="2:10">
      <c r="B75" s="419"/>
      <c r="C75" s="444" t="s">
        <v>61</v>
      </c>
      <c r="D75" s="427">
        <v>1</v>
      </c>
      <c r="E75" s="422"/>
      <c r="F75" s="423"/>
    </row>
    <row r="76" spans="2:10">
      <c r="B76" s="419"/>
      <c r="C76" s="444"/>
      <c r="D76" s="433"/>
      <c r="E76" s="422"/>
      <c r="F76" s="423"/>
    </row>
    <row r="77" spans="2:10">
      <c r="B77" s="419"/>
      <c r="C77" s="446"/>
      <c r="D77" s="434"/>
      <c r="E77" s="422"/>
      <c r="F77" s="423"/>
    </row>
    <row r="78" spans="2:10" ht="15.75" thickBot="1">
      <c r="B78" s="429"/>
      <c r="C78" s="430"/>
      <c r="D78" s="435"/>
      <c r="E78" s="430"/>
      <c r="F78" s="432"/>
    </row>
    <row r="80" spans="2:10">
      <c r="C80" s="150"/>
    </row>
    <row r="82" spans="3:3">
      <c r="C82" s="458"/>
    </row>
    <row r="83" spans="3:3">
      <c r="C83" s="88"/>
    </row>
    <row r="84" spans="3:3">
      <c r="C84" s="88"/>
    </row>
    <row r="85" spans="3:3">
      <c r="C85" s="88"/>
    </row>
    <row r="86" spans="3:3">
      <c r="C86" s="88"/>
    </row>
    <row r="87" spans="3:3">
      <c r="C87" s="151"/>
    </row>
    <row r="88" spans="3:3">
      <c r="C88" s="90"/>
    </row>
    <row r="89" spans="3:3">
      <c r="C89" s="88"/>
    </row>
    <row r="90" spans="3:3">
      <c r="C90" s="88"/>
    </row>
    <row r="91" spans="3:3">
      <c r="C91" s="88"/>
    </row>
    <row r="92" spans="3:3">
      <c r="C92" s="88"/>
    </row>
    <row r="93" spans="3:3">
      <c r="C93" s="90"/>
    </row>
    <row r="94" spans="3:3">
      <c r="C94" s="88"/>
    </row>
    <row r="95" spans="3:3">
      <c r="C95" s="88"/>
    </row>
    <row r="96" spans="3:3">
      <c r="C96" s="88"/>
    </row>
    <row r="98" spans="3:14">
      <c r="C98" s="459"/>
      <c r="D98" s="460"/>
      <c r="E98" s="460"/>
      <c r="F98" s="460"/>
      <c r="G98" s="460"/>
      <c r="H98" s="460"/>
      <c r="I98" s="460"/>
      <c r="J98" s="460"/>
      <c r="K98" s="460"/>
      <c r="L98" s="460"/>
      <c r="M98" s="460"/>
    </row>
    <row r="99" spans="3:14">
      <c r="D99" s="461"/>
      <c r="E99" s="461"/>
      <c r="F99" s="461"/>
      <c r="G99" s="461"/>
      <c r="H99" s="461"/>
      <c r="I99" s="461"/>
      <c r="J99" s="461"/>
      <c r="K99" s="461"/>
      <c r="L99" s="461"/>
      <c r="M99" s="461"/>
    </row>
    <row r="100" spans="3:14">
      <c r="D100" s="461"/>
      <c r="E100" s="461"/>
      <c r="F100" s="461"/>
      <c r="G100" s="461"/>
      <c r="H100" s="461"/>
      <c r="I100" s="461"/>
      <c r="J100" s="461"/>
      <c r="K100" s="461"/>
      <c r="L100" s="461"/>
      <c r="M100" s="460"/>
    </row>
    <row r="101" spans="3:14">
      <c r="D101" s="461"/>
      <c r="E101" s="461"/>
      <c r="F101" s="461"/>
      <c r="G101" s="461"/>
      <c r="H101" s="461"/>
      <c r="I101" s="461"/>
      <c r="J101" s="461"/>
      <c r="K101" s="461"/>
      <c r="L101" s="461"/>
      <c r="M101" s="460"/>
    </row>
    <row r="102" spans="3:14">
      <c r="D102" s="461"/>
      <c r="E102" s="461"/>
      <c r="F102" s="461"/>
      <c r="G102" s="461"/>
      <c r="H102" s="461"/>
      <c r="I102" s="461"/>
      <c r="J102" s="461"/>
      <c r="K102" s="461"/>
      <c r="L102" s="461"/>
      <c r="M102" s="460"/>
    </row>
    <row r="103" spans="3:14">
      <c r="D103" s="492"/>
      <c r="E103" s="492"/>
      <c r="F103" s="492"/>
      <c r="G103" s="492"/>
      <c r="H103" s="492"/>
      <c r="I103" s="492"/>
      <c r="J103" s="492"/>
      <c r="K103" s="492"/>
      <c r="L103" s="492"/>
      <c r="M103" s="492"/>
      <c r="N103" s="8"/>
    </row>
    <row r="104" spans="3:14">
      <c r="D104" s="461"/>
      <c r="E104" s="461"/>
      <c r="F104" s="461"/>
      <c r="G104" s="461"/>
      <c r="H104" s="461"/>
      <c r="I104" s="461"/>
      <c r="J104" s="461"/>
      <c r="K104" s="461"/>
      <c r="L104" s="461"/>
      <c r="M104" s="460"/>
    </row>
    <row r="105" spans="3:14">
      <c r="D105"/>
      <c r="L105" s="459"/>
      <c r="M105" s="460"/>
    </row>
  </sheetData>
  <dataValidations count="7">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54">
      <formula1>$D$56:$D$58</formula1>
    </dataValidation>
    <dataValidation type="list" allowBlank="1" showInputMessage="1" showErrorMessage="1" sqref="D23">
      <formula1>$D$25:$D$39</formula1>
    </dataValidation>
    <dataValidation type="list" allowBlank="1" showInputMessage="1" showErrorMessage="1" sqref="D60">
      <formula1>$D$61:$D$64</formula1>
    </dataValidation>
    <dataValidation type="list" allowBlank="1" showInputMessage="1" showErrorMessage="1" sqref="D47">
      <formula1>$D$48:$D$51</formula1>
    </dataValidation>
  </dataValidations>
  <pageMargins left="0.7" right="0.7" top="0.75" bottom="0.75" header="0.3" footer="0.3"/>
  <pageSetup paperSize="9" scale="59" orientation="portrait" copies="2" r:id="rId1"/>
</worksheet>
</file>

<file path=xl/worksheets/sheet32.xml><?xml version="1.0" encoding="utf-8"?>
<worksheet xmlns="http://schemas.openxmlformats.org/spreadsheetml/2006/main" xmlns:r="http://schemas.openxmlformats.org/officeDocument/2006/relationships">
  <sheetPr>
    <pageSetUpPr fitToPage="1"/>
  </sheetPr>
  <dimension ref="B1:M105"/>
  <sheetViews>
    <sheetView topLeftCell="A47" zoomScale="75" zoomScaleNormal="75" workbookViewId="0">
      <selection activeCell="K104" sqref="K104"/>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s>
  <sheetData>
    <row r="1" spans="2:6" ht="18.75">
      <c r="B1" s="25" t="s">
        <v>60</v>
      </c>
    </row>
    <row r="2" spans="2:6" ht="18.75">
      <c r="B2" s="25" t="s">
        <v>347</v>
      </c>
    </row>
    <row r="3" spans="2:6" ht="18.75">
      <c r="B3" s="280" t="s">
        <v>303</v>
      </c>
    </row>
    <row r="4" spans="2:6" ht="19.5" thickBot="1">
      <c r="B4" s="25"/>
      <c r="C4" s="33"/>
    </row>
    <row r="5" spans="2:6" ht="18.75">
      <c r="B5" s="356"/>
      <c r="C5" s="386" t="s">
        <v>105</v>
      </c>
      <c r="D5" s="379"/>
      <c r="E5" s="359"/>
      <c r="F5" s="360"/>
    </row>
    <row r="6" spans="2:6" ht="18.75">
      <c r="B6" s="361"/>
      <c r="C6" s="452" t="s">
        <v>303</v>
      </c>
      <c r="D6" s="380"/>
      <c r="E6" s="364"/>
      <c r="F6" s="365"/>
    </row>
    <row r="7" spans="2:6" ht="18.75">
      <c r="B7" s="361"/>
      <c r="C7" s="452" t="s">
        <v>104</v>
      </c>
      <c r="D7" s="380"/>
      <c r="E7" s="364"/>
      <c r="F7" s="365"/>
    </row>
    <row r="8" spans="2:6" s="32" customFormat="1">
      <c r="B8" s="366"/>
      <c r="C8" s="388"/>
      <c r="D8" s="381"/>
      <c r="E8" s="369"/>
      <c r="F8" s="370"/>
    </row>
    <row r="9" spans="2:6" s="32" customFormat="1">
      <c r="B9" s="366"/>
      <c r="C9" s="388" t="s">
        <v>103</v>
      </c>
      <c r="D9" s="382"/>
      <c r="E9" s="369"/>
      <c r="F9" s="370"/>
    </row>
    <row r="10" spans="2:6" s="32" customFormat="1">
      <c r="B10" s="366"/>
      <c r="C10" s="388" t="s">
        <v>102</v>
      </c>
      <c r="D10" s="453" t="s">
        <v>210</v>
      </c>
      <c r="E10" s="369"/>
      <c r="F10" s="370"/>
    </row>
    <row r="11" spans="2:6" s="32" customFormat="1">
      <c r="B11" s="366"/>
      <c r="C11" s="388" t="s">
        <v>109</v>
      </c>
      <c r="D11" s="373">
        <v>40625</v>
      </c>
      <c r="E11" s="369"/>
      <c r="F11" s="370"/>
    </row>
    <row r="12" spans="2:6" s="32" customFormat="1">
      <c r="B12" s="366"/>
      <c r="C12" s="388" t="s">
        <v>101</v>
      </c>
      <c r="D12" s="373">
        <v>40816</v>
      </c>
      <c r="E12" s="369"/>
      <c r="F12" s="370"/>
    </row>
    <row r="13" spans="2:6" s="32" customFormat="1">
      <c r="B13" s="366"/>
      <c r="C13" s="388"/>
      <c r="D13" s="381"/>
      <c r="E13" s="369"/>
      <c r="F13" s="370"/>
    </row>
    <row r="14" spans="2:6">
      <c r="B14" s="361"/>
      <c r="C14" s="388" t="s">
        <v>100</v>
      </c>
      <c r="D14" s="383" t="s">
        <v>99</v>
      </c>
      <c r="E14" s="374"/>
      <c r="F14" s="365"/>
    </row>
    <row r="15" spans="2:6">
      <c r="B15" s="361"/>
      <c r="C15" s="364"/>
      <c r="D15" s="383" t="s">
        <v>98</v>
      </c>
      <c r="E15" s="374"/>
      <c r="F15" s="365"/>
    </row>
    <row r="16" spans="2:6">
      <c r="B16" s="361"/>
      <c r="C16" s="364"/>
      <c r="D16" s="383" t="s">
        <v>97</v>
      </c>
      <c r="E16" s="375" t="s">
        <v>96</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88" t="s">
        <v>94</v>
      </c>
      <c r="D23" s="382" t="s">
        <v>90</v>
      </c>
      <c r="E23" s="364"/>
      <c r="F23" s="365"/>
    </row>
    <row r="24" spans="2:6" hidden="1">
      <c r="B24" s="361"/>
      <c r="C24" s="388"/>
      <c r="D24" s="382"/>
      <c r="E24" s="364"/>
      <c r="F24" s="365"/>
    </row>
    <row r="25" spans="2:6" hidden="1">
      <c r="B25" s="361"/>
      <c r="C25" s="388"/>
      <c r="D25" s="382" t="s">
        <v>93</v>
      </c>
      <c r="E25" s="364"/>
      <c r="F25" s="365"/>
    </row>
    <row r="26" spans="2:6" hidden="1">
      <c r="B26" s="361"/>
      <c r="C26" s="388"/>
      <c r="D26" s="382" t="s">
        <v>58</v>
      </c>
      <c r="E26" s="364"/>
      <c r="F26" s="365"/>
    </row>
    <row r="27" spans="2:6" hidden="1">
      <c r="B27" s="361"/>
      <c r="C27" s="388"/>
      <c r="D27" s="382" t="s">
        <v>92</v>
      </c>
      <c r="E27" s="364"/>
      <c r="F27" s="365"/>
    </row>
    <row r="28" spans="2:6" hidden="1">
      <c r="B28" s="361"/>
      <c r="C28" s="388"/>
      <c r="D28" s="382" t="s">
        <v>91</v>
      </c>
      <c r="E28" s="364"/>
      <c r="F28" s="365"/>
    </row>
    <row r="29" spans="2:6" hidden="1">
      <c r="B29" s="361"/>
      <c r="C29" s="388"/>
      <c r="D29" s="382" t="s">
        <v>90</v>
      </c>
      <c r="E29" s="364"/>
      <c r="F29" s="365"/>
    </row>
    <row r="30" spans="2:6" hidden="1">
      <c r="B30" s="361"/>
      <c r="C30" s="388"/>
      <c r="D30" s="382" t="s">
        <v>89</v>
      </c>
      <c r="E30" s="364"/>
      <c r="F30" s="365"/>
    </row>
    <row r="31" spans="2:6" hidden="1">
      <c r="B31" s="361"/>
      <c r="C31" s="388"/>
      <c r="D31" s="382" t="s">
        <v>88</v>
      </c>
      <c r="E31" s="364"/>
      <c r="F31" s="365"/>
    </row>
    <row r="32" spans="2:6" hidden="1">
      <c r="B32" s="361"/>
      <c r="C32" s="388"/>
      <c r="D32" s="382" t="s">
        <v>87</v>
      </c>
      <c r="E32" s="364"/>
      <c r="F32" s="365"/>
    </row>
    <row r="33" spans="2:6" hidden="1">
      <c r="B33" s="361"/>
      <c r="C33" s="388"/>
      <c r="D33" s="382" t="s">
        <v>86</v>
      </c>
      <c r="E33" s="364"/>
      <c r="F33" s="365"/>
    </row>
    <row r="34" spans="2:6" hidden="1">
      <c r="B34" s="361"/>
      <c r="C34" s="388"/>
      <c r="D34" s="382" t="s">
        <v>85</v>
      </c>
      <c r="E34" s="364"/>
      <c r="F34" s="365"/>
    </row>
    <row r="35" spans="2:6" hidden="1">
      <c r="B35" s="361"/>
      <c r="C35" s="388"/>
      <c r="D35" s="382" t="s">
        <v>84</v>
      </c>
      <c r="E35" s="364"/>
      <c r="F35" s="365"/>
    </row>
    <row r="36" spans="2:6" hidden="1">
      <c r="B36" s="361"/>
      <c r="C36" s="388"/>
      <c r="D36" s="382" t="s">
        <v>83</v>
      </c>
      <c r="E36" s="364"/>
      <c r="F36" s="365"/>
    </row>
    <row r="37" spans="2:6" hidden="1">
      <c r="B37" s="361"/>
      <c r="C37" s="388"/>
      <c r="D37" s="382" t="s">
        <v>82</v>
      </c>
      <c r="E37" s="364"/>
      <c r="F37" s="365"/>
    </row>
    <row r="38" spans="2:6" hidden="1">
      <c r="B38" s="361"/>
      <c r="C38" s="388"/>
      <c r="D38" s="382" t="s">
        <v>81</v>
      </c>
      <c r="E38" s="364"/>
      <c r="F38" s="365"/>
    </row>
    <row r="39" spans="2:6" hidden="1">
      <c r="B39" s="361"/>
      <c r="C39" s="388"/>
      <c r="D39" s="384" t="s">
        <v>66</v>
      </c>
      <c r="E39" s="364"/>
      <c r="F39" s="365"/>
    </row>
    <row r="40" spans="2:6">
      <c r="B40" s="361"/>
      <c r="C40" s="388"/>
      <c r="D40" s="380"/>
      <c r="E40" s="364"/>
      <c r="F40" s="365"/>
    </row>
    <row r="41" spans="2:6">
      <c r="B41" s="361"/>
      <c r="C41" s="376" t="s">
        <v>65</v>
      </c>
      <c r="D41" s="382"/>
      <c r="E41" s="364"/>
      <c r="F41" s="365"/>
    </row>
    <row r="42" spans="2:6">
      <c r="B42" s="361"/>
      <c r="C42" s="377"/>
      <c r="D42" s="380"/>
      <c r="E42" s="364"/>
      <c r="F42" s="365"/>
    </row>
    <row r="43" spans="2:6" ht="18.75">
      <c r="B43" s="392"/>
      <c r="C43" s="405" t="s">
        <v>80</v>
      </c>
      <c r="D43" s="404"/>
      <c r="E43" s="395"/>
      <c r="F43" s="396"/>
    </row>
    <row r="44" spans="2:6">
      <c r="B44" s="392"/>
      <c r="C44" s="406" t="s">
        <v>79</v>
      </c>
      <c r="D44" s="399" t="s">
        <v>693</v>
      </c>
      <c r="E44" s="395"/>
      <c r="F44" s="396"/>
    </row>
    <row r="45" spans="2:6">
      <c r="B45" s="392"/>
      <c r="C45" s="406" t="s">
        <v>78</v>
      </c>
      <c r="D45" s="399" t="s">
        <v>693</v>
      </c>
      <c r="E45" s="395"/>
      <c r="F45" s="396"/>
    </row>
    <row r="46" spans="2:6" ht="30">
      <c r="B46" s="392"/>
      <c r="C46" s="407" t="s">
        <v>77</v>
      </c>
      <c r="D46" s="399" t="s">
        <v>693</v>
      </c>
      <c r="E46" s="395"/>
      <c r="F46" s="396"/>
    </row>
    <row r="47" spans="2:6" ht="30">
      <c r="B47" s="392"/>
      <c r="C47" s="400" t="s">
        <v>76</v>
      </c>
      <c r="D47" s="399" t="s">
        <v>276</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404"/>
      <c r="E52" s="395"/>
      <c r="F52" s="396"/>
    </row>
    <row r="53" spans="2:6" ht="18.75">
      <c r="B53" s="346"/>
      <c r="C53" s="416" t="s">
        <v>75</v>
      </c>
      <c r="D53" s="412"/>
      <c r="E53" s="349"/>
      <c r="F53" s="350"/>
    </row>
    <row r="54" spans="2:6">
      <c r="B54" s="346"/>
      <c r="C54" s="417" t="s">
        <v>74</v>
      </c>
      <c r="D54" s="413" t="s">
        <v>73</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417"/>
      <c r="D59" s="412"/>
      <c r="E59" s="349"/>
      <c r="F59" s="350"/>
    </row>
    <row r="60" spans="2:6">
      <c r="B60" s="346"/>
      <c r="C60" s="417" t="s">
        <v>70</v>
      </c>
      <c r="D60" s="413" t="s">
        <v>66</v>
      </c>
      <c r="E60" s="349"/>
      <c r="F60" s="350"/>
    </row>
    <row r="61" spans="2:6" hidden="1">
      <c r="B61" s="346"/>
      <c r="C61" s="417"/>
      <c r="D61" s="415" t="s">
        <v>69</v>
      </c>
      <c r="E61" s="411"/>
      <c r="F61" s="350"/>
    </row>
    <row r="62" spans="2:6" hidden="1">
      <c r="B62" s="346"/>
      <c r="C62" s="417"/>
      <c r="D62" s="415" t="s">
        <v>68</v>
      </c>
      <c r="E62" s="411"/>
      <c r="F62" s="350"/>
    </row>
    <row r="63" spans="2:6" hidden="1">
      <c r="B63" s="346"/>
      <c r="C63" s="417"/>
      <c r="D63" s="415" t="s">
        <v>67</v>
      </c>
      <c r="E63" s="411"/>
      <c r="F63" s="350"/>
    </row>
    <row r="64" spans="2:6" hidden="1">
      <c r="B64" s="346"/>
      <c r="C64" s="417"/>
      <c r="D64" s="415" t="s">
        <v>66</v>
      </c>
      <c r="E64" s="411"/>
      <c r="F64" s="350"/>
    </row>
    <row r="65" spans="2:6">
      <c r="B65" s="346"/>
      <c r="C65" s="354" t="s">
        <v>65</v>
      </c>
      <c r="D65" s="413" t="s">
        <v>117</v>
      </c>
      <c r="E65" s="349"/>
      <c r="F65" s="350"/>
    </row>
    <row r="66" spans="2:6">
      <c r="B66" s="346"/>
      <c r="C66" s="417"/>
      <c r="D66" s="412"/>
      <c r="E66" s="349"/>
      <c r="F66" s="350"/>
    </row>
    <row r="67" spans="2:6" ht="18.75">
      <c r="B67" s="419"/>
      <c r="C67" s="443" t="s">
        <v>64</v>
      </c>
      <c r="D67" s="434"/>
      <c r="E67" s="422"/>
      <c r="F67" s="423"/>
    </row>
    <row r="68" spans="2:6">
      <c r="B68" s="419"/>
      <c r="C68" s="444" t="s">
        <v>118</v>
      </c>
      <c r="D68" s="437">
        <v>245600000</v>
      </c>
      <c r="E68" s="422"/>
      <c r="F68" s="423"/>
    </row>
    <row r="69" spans="2:6">
      <c r="B69" s="419"/>
      <c r="C69" s="444" t="s">
        <v>107</v>
      </c>
      <c r="D69" s="425">
        <v>1</v>
      </c>
      <c r="E69" s="422"/>
      <c r="F69" s="423"/>
    </row>
    <row r="70" spans="2:6">
      <c r="B70" s="419"/>
      <c r="C70" s="444" t="s">
        <v>119</v>
      </c>
      <c r="D70" s="437">
        <f>D68*D69</f>
        <v>245600000</v>
      </c>
      <c r="E70" s="422"/>
      <c r="F70" s="423"/>
    </row>
    <row r="71" spans="2:6">
      <c r="B71" s="419"/>
      <c r="C71" s="444"/>
      <c r="D71" s="433"/>
      <c r="E71" s="422"/>
      <c r="F71" s="423"/>
    </row>
    <row r="72" spans="2:6" ht="30">
      <c r="B72" s="419"/>
      <c r="C72" s="444" t="s">
        <v>223</v>
      </c>
      <c r="D72" s="426" t="s">
        <v>379</v>
      </c>
      <c r="E72" s="422"/>
      <c r="F72" s="423"/>
    </row>
    <row r="73" spans="2:6">
      <c r="B73" s="419"/>
      <c r="C73" s="444" t="s">
        <v>62</v>
      </c>
      <c r="D73" s="438" t="s">
        <v>380</v>
      </c>
      <c r="E73" s="422"/>
      <c r="F73" s="423"/>
    </row>
    <row r="74" spans="2:6">
      <c r="B74" s="419"/>
      <c r="C74" s="444"/>
      <c r="D74" s="434"/>
      <c r="E74" s="422"/>
      <c r="F74" s="423"/>
    </row>
    <row r="75" spans="2:6">
      <c r="B75" s="419"/>
      <c r="C75" s="444" t="s">
        <v>61</v>
      </c>
      <c r="D75" s="425">
        <f>1/3</f>
        <v>0.33333333333333331</v>
      </c>
      <c r="E75" s="422"/>
      <c r="F75" s="423"/>
    </row>
    <row r="76" spans="2:6">
      <c r="B76" s="419"/>
      <c r="C76" s="444"/>
      <c r="D76" s="433" t="s">
        <v>157</v>
      </c>
      <c r="E76" s="422"/>
      <c r="F76" s="423"/>
    </row>
    <row r="77" spans="2:6">
      <c r="B77" s="419"/>
      <c r="C77" s="446"/>
      <c r="D77" s="434"/>
      <c r="E77" s="422"/>
      <c r="F77" s="423"/>
    </row>
    <row r="78" spans="2:6" ht="15.75" thickBot="1">
      <c r="B78" s="429"/>
      <c r="C78" s="430"/>
      <c r="D78" s="435"/>
      <c r="E78" s="430"/>
      <c r="F78" s="432"/>
    </row>
    <row r="80" spans="2:6">
      <c r="C80" s="150" t="s">
        <v>233</v>
      </c>
    </row>
    <row r="82" spans="3:3">
      <c r="C82" s="458" t="s">
        <v>229</v>
      </c>
    </row>
    <row r="83" spans="3:3">
      <c r="C83" s="88" t="s">
        <v>224</v>
      </c>
    </row>
    <row r="84" spans="3:3">
      <c r="C84" s="88" t="s">
        <v>231</v>
      </c>
    </row>
    <row r="85" spans="3:3">
      <c r="C85" s="88" t="s">
        <v>225</v>
      </c>
    </row>
    <row r="86" spans="3:3">
      <c r="C86" s="88" t="s">
        <v>234</v>
      </c>
    </row>
    <row r="87" spans="3:3">
      <c r="C87" s="151"/>
    </row>
    <row r="88" spans="3:3">
      <c r="C88" s="90" t="s">
        <v>230</v>
      </c>
    </row>
    <row r="89" spans="3:3">
      <c r="C89" s="88" t="s">
        <v>226</v>
      </c>
    </row>
    <row r="90" spans="3:3">
      <c r="C90" s="88" t="s">
        <v>227</v>
      </c>
    </row>
    <row r="91" spans="3:3">
      <c r="C91" s="88" t="s">
        <v>234</v>
      </c>
    </row>
    <row r="92" spans="3:3">
      <c r="C92" s="88"/>
    </row>
    <row r="93" spans="3:3">
      <c r="C93" s="90" t="s">
        <v>232</v>
      </c>
    </row>
    <row r="94" spans="3:3">
      <c r="C94" s="88" t="s">
        <v>381</v>
      </c>
    </row>
    <row r="95" spans="3:3">
      <c r="C95" s="88" t="s">
        <v>382</v>
      </c>
    </row>
    <row r="96" spans="3:3">
      <c r="C96" s="88" t="s">
        <v>228</v>
      </c>
    </row>
    <row r="98" spans="3:13">
      <c r="C98" s="459" t="s">
        <v>383</v>
      </c>
      <c r="D98" s="460">
        <v>12</v>
      </c>
      <c r="E98" s="460">
        <v>13</v>
      </c>
      <c r="F98" s="460">
        <v>14</v>
      </c>
      <c r="G98" s="460">
        <v>15</v>
      </c>
      <c r="H98" s="460">
        <v>16</v>
      </c>
      <c r="I98" s="460">
        <v>17</v>
      </c>
      <c r="J98" s="460">
        <v>18</v>
      </c>
      <c r="K98" s="460">
        <v>19</v>
      </c>
      <c r="L98" s="460">
        <v>20</v>
      </c>
      <c r="M98" s="460" t="s">
        <v>384</v>
      </c>
    </row>
    <row r="99" spans="3:13">
      <c r="C99" t="s">
        <v>385</v>
      </c>
      <c r="D99" s="461"/>
      <c r="E99" s="461"/>
      <c r="F99" s="461"/>
      <c r="G99" s="461"/>
      <c r="H99" s="461"/>
      <c r="I99" s="461"/>
      <c r="J99" s="461"/>
      <c r="K99" s="461"/>
      <c r="L99" s="461"/>
      <c r="M99" s="461"/>
    </row>
    <row r="100" spans="3:13">
      <c r="C100" t="s">
        <v>386</v>
      </c>
      <c r="D100" s="461">
        <v>8.64</v>
      </c>
      <c r="E100" s="461">
        <v>9.7100000000000009</v>
      </c>
      <c r="F100" s="461">
        <v>6.16</v>
      </c>
      <c r="G100" s="461">
        <v>11.06</v>
      </c>
      <c r="H100" s="461">
        <v>1.24</v>
      </c>
      <c r="I100" s="461">
        <v>4.51</v>
      </c>
      <c r="J100" s="461">
        <v>22.44</v>
      </c>
      <c r="K100" s="461">
        <v>19.09</v>
      </c>
      <c r="L100" s="461">
        <v>1.25</v>
      </c>
      <c r="M100" s="460">
        <f>SUM(D100:L100)</f>
        <v>84.100000000000009</v>
      </c>
    </row>
    <row r="101" spans="3:13">
      <c r="C101" t="s">
        <v>387</v>
      </c>
      <c r="D101" s="461">
        <v>0.75</v>
      </c>
      <c r="E101" s="461">
        <v>0.75</v>
      </c>
      <c r="F101" s="461">
        <v>22.5</v>
      </c>
      <c r="G101" s="461">
        <v>37.9</v>
      </c>
      <c r="H101" s="461">
        <v>21.6</v>
      </c>
      <c r="I101" s="461">
        <v>0</v>
      </c>
      <c r="J101" s="461">
        <v>0</v>
      </c>
      <c r="K101" s="461">
        <v>0</v>
      </c>
      <c r="L101" s="461"/>
      <c r="M101" s="460">
        <f>SUM(D101:L101)</f>
        <v>83.5</v>
      </c>
    </row>
    <row r="102" spans="3:13">
      <c r="C102" t="s">
        <v>388</v>
      </c>
      <c r="D102" s="461">
        <v>5.0999999999999996</v>
      </c>
      <c r="E102" s="461">
        <v>8.6</v>
      </c>
      <c r="F102" s="461">
        <v>20.3</v>
      </c>
      <c r="G102" s="461">
        <v>24.3</v>
      </c>
      <c r="H102" s="461">
        <v>1.4</v>
      </c>
      <c r="I102" s="461">
        <v>8.8000000000000007</v>
      </c>
      <c r="J102" s="461">
        <v>9.5</v>
      </c>
      <c r="K102" s="461">
        <v>0</v>
      </c>
      <c r="L102" s="461">
        <v>0</v>
      </c>
      <c r="M102" s="460">
        <f>SUM(D102:L102)</f>
        <v>78</v>
      </c>
    </row>
    <row r="103" spans="3:13" ht="15.75" thickBot="1">
      <c r="D103" s="462">
        <f>SUM(D100:D102)</f>
        <v>14.49</v>
      </c>
      <c r="E103" s="462">
        <f t="shared" ref="E103:L103" si="0">SUM(E100:E102)</f>
        <v>19.060000000000002</v>
      </c>
      <c r="F103" s="462">
        <f t="shared" si="0"/>
        <v>48.96</v>
      </c>
      <c r="G103" s="462">
        <f t="shared" si="0"/>
        <v>73.260000000000005</v>
      </c>
      <c r="H103" s="462">
        <f t="shared" si="0"/>
        <v>24.24</v>
      </c>
      <c r="I103" s="462">
        <f t="shared" si="0"/>
        <v>13.31</v>
      </c>
      <c r="J103" s="462">
        <f t="shared" si="0"/>
        <v>31.94</v>
      </c>
      <c r="K103" s="462">
        <f t="shared" si="0"/>
        <v>19.09</v>
      </c>
      <c r="L103" s="462">
        <f t="shared" si="0"/>
        <v>1.25</v>
      </c>
      <c r="M103" s="462">
        <f>SUM(M100:M102)</f>
        <v>245.60000000000002</v>
      </c>
    </row>
    <row r="104" spans="3:13" ht="15.75" thickTop="1">
      <c r="D104" s="461"/>
      <c r="E104" s="461"/>
      <c r="F104" s="461"/>
      <c r="G104" s="461"/>
      <c r="H104" s="461"/>
      <c r="I104" s="461"/>
      <c r="J104" s="461"/>
      <c r="K104" s="461"/>
      <c r="L104" s="461"/>
      <c r="M104" s="460">
        <f>SUM(D103:L103)</f>
        <v>245.60000000000002</v>
      </c>
    </row>
    <row r="105" spans="3:13">
      <c r="D105"/>
      <c r="L105" s="459" t="s">
        <v>389</v>
      </c>
      <c r="M105" s="460" t="str">
        <f>IF(M103=M104,"OK","ERROR")</f>
        <v>OK</v>
      </c>
    </row>
  </sheetData>
  <dataValidations count="7">
    <dataValidation type="list" allowBlank="1" showInputMessage="1" showErrorMessage="1" sqref="D47">
      <formula1>$D$48:$D$51</formula1>
    </dataValidation>
    <dataValidation type="list" allowBlank="1" showInputMessage="1" showErrorMessage="1" sqref="D60:E60">
      <formula1>$D$61:$D$64</formula1>
    </dataValidation>
    <dataValidation type="list" allowBlank="1" showInputMessage="1" showErrorMessage="1" sqref="E55">
      <formula1>$D$56:$D$57</formula1>
    </dataValidation>
    <dataValidation type="list" allowBlank="1" showInputMessage="1" showErrorMessage="1" sqref="E58">
      <formula1>#REF!</formula1>
    </dataValidation>
    <dataValidation type="list" allowBlank="1" showInputMessage="1" showErrorMessage="1" sqref="E22 D24">
      <formula1>$D$25:$D$39</formula1>
    </dataValidation>
    <dataValidation type="list" allowBlank="1" showInputMessage="1" showErrorMessage="1" sqref="D23">
      <formula1>$D$24:$D$39</formula1>
    </dataValidation>
    <dataValidation type="list" allowBlank="1" showInputMessage="1" showErrorMessage="1" sqref="D54">
      <formula1>$D$55:$D$58</formula1>
    </dataValidation>
  </dataValidations>
  <pageMargins left="0.7" right="0.7" top="0.75" bottom="0.75" header="0.3" footer="0.3"/>
  <pageSetup paperSize="9" scale="51" orientation="portrait" copies="2" r:id="rId1"/>
</worksheet>
</file>

<file path=xl/worksheets/sheet33.xml><?xml version="1.0" encoding="utf-8"?>
<worksheet xmlns="http://schemas.openxmlformats.org/spreadsheetml/2006/main" xmlns:r="http://schemas.openxmlformats.org/officeDocument/2006/relationships">
  <sheetPr>
    <pageSetUpPr fitToPage="1"/>
  </sheetPr>
  <dimension ref="B1:P78"/>
  <sheetViews>
    <sheetView topLeftCell="A10" zoomScale="75" zoomScaleNormal="75" workbookViewId="0">
      <selection activeCell="I73" sqref="I73"/>
    </sheetView>
  </sheetViews>
  <sheetFormatPr defaultRowHeight="15"/>
  <cols>
    <col min="1" max="2" width="3.7109375" customWidth="1"/>
    <col min="3" max="3" width="61.42578125" bestFit="1" customWidth="1"/>
    <col min="4" max="4" width="34.28515625" style="34" bestFit="1" customWidth="1"/>
    <col min="5" max="5" width="4.7109375" customWidth="1"/>
    <col min="6" max="7" width="3.7109375" customWidth="1"/>
    <col min="8" max="11" width="10.42578125" bestFit="1" customWidth="1"/>
    <col min="16" max="16" width="9.28515625" bestFit="1" customWidth="1"/>
  </cols>
  <sheetData>
    <row r="1" spans="2:6" ht="18.75">
      <c r="B1" s="25" t="s">
        <v>60</v>
      </c>
    </row>
    <row r="2" spans="2:6" ht="18.75">
      <c r="B2" s="25" t="s">
        <v>347</v>
      </c>
    </row>
    <row r="3" spans="2:6" ht="18.75">
      <c r="B3" s="25" t="s">
        <v>302</v>
      </c>
    </row>
    <row r="4" spans="2:6" ht="19.5" thickBot="1">
      <c r="B4" s="25"/>
      <c r="C4" s="33"/>
    </row>
    <row r="5" spans="2:6" ht="18.75">
      <c r="B5" s="356"/>
      <c r="C5" s="386" t="s">
        <v>105</v>
      </c>
      <c r="D5" s="379"/>
      <c r="E5" s="359"/>
      <c r="F5" s="360"/>
    </row>
    <row r="6" spans="2:6" ht="18.75">
      <c r="B6" s="361"/>
      <c r="C6" s="450" t="s">
        <v>302</v>
      </c>
      <c r="D6" s="380"/>
      <c r="E6" s="364"/>
      <c r="F6" s="365"/>
    </row>
    <row r="7" spans="2:6" ht="18.75">
      <c r="B7" s="361"/>
      <c r="C7" s="450" t="s">
        <v>104</v>
      </c>
      <c r="D7" s="380"/>
      <c r="E7" s="364"/>
      <c r="F7" s="365"/>
    </row>
    <row r="8" spans="2:6" s="32" customFormat="1">
      <c r="B8" s="366"/>
      <c r="C8" s="388"/>
      <c r="D8" s="381"/>
      <c r="E8" s="369"/>
      <c r="F8" s="370"/>
    </row>
    <row r="9" spans="2:6" s="32" customFormat="1">
      <c r="B9" s="366"/>
      <c r="C9" s="388" t="s">
        <v>103</v>
      </c>
      <c r="D9" s="382"/>
      <c r="E9" s="369"/>
      <c r="F9" s="370"/>
    </row>
    <row r="10" spans="2:6" s="32" customFormat="1">
      <c r="B10" s="366"/>
      <c r="C10" s="388" t="s">
        <v>102</v>
      </c>
      <c r="D10" s="453" t="s">
        <v>211</v>
      </c>
      <c r="E10" s="369"/>
      <c r="F10" s="370"/>
    </row>
    <row r="11" spans="2:6" s="32" customFormat="1">
      <c r="B11" s="366"/>
      <c r="C11" s="388" t="s">
        <v>109</v>
      </c>
      <c r="D11" s="385">
        <v>40633</v>
      </c>
      <c r="E11" s="369"/>
      <c r="F11" s="370"/>
    </row>
    <row r="12" spans="2:6" s="32" customFormat="1">
      <c r="B12" s="366"/>
      <c r="C12" s="388" t="s">
        <v>101</v>
      </c>
      <c r="D12" s="373">
        <v>40816</v>
      </c>
      <c r="E12" s="369"/>
      <c r="F12" s="370"/>
    </row>
    <row r="13" spans="2:6" s="32" customFormat="1">
      <c r="B13" s="366"/>
      <c r="C13" s="388"/>
      <c r="D13" s="381"/>
      <c r="E13" s="369"/>
      <c r="F13" s="370"/>
    </row>
    <row r="14" spans="2:6">
      <c r="B14" s="361"/>
      <c r="C14" s="388" t="s">
        <v>100</v>
      </c>
      <c r="D14" s="383" t="s">
        <v>99</v>
      </c>
      <c r="E14" s="375"/>
      <c r="F14" s="365"/>
    </row>
    <row r="15" spans="2:6">
      <c r="B15" s="361"/>
      <c r="C15" s="364"/>
      <c r="D15" s="383" t="s">
        <v>98</v>
      </c>
      <c r="E15" s="375"/>
      <c r="F15" s="365"/>
    </row>
    <row r="16" spans="2:6">
      <c r="B16" s="361"/>
      <c r="C16" s="364"/>
      <c r="D16" s="383" t="s">
        <v>97</v>
      </c>
      <c r="E16" s="375" t="s">
        <v>96</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88" t="s">
        <v>94</v>
      </c>
      <c r="D23" s="382" t="s">
        <v>81</v>
      </c>
      <c r="E23" s="364"/>
      <c r="F23" s="365"/>
    </row>
    <row r="24" spans="2:6" hidden="1">
      <c r="B24" s="361"/>
      <c r="C24" s="388"/>
      <c r="D24" s="382"/>
      <c r="E24" s="364"/>
      <c r="F24" s="365"/>
    </row>
    <row r="25" spans="2:6" hidden="1">
      <c r="B25" s="361"/>
      <c r="C25" s="388"/>
      <c r="D25" s="382" t="s">
        <v>93</v>
      </c>
      <c r="E25" s="364"/>
      <c r="F25" s="365"/>
    </row>
    <row r="26" spans="2:6" hidden="1">
      <c r="B26" s="361"/>
      <c r="C26" s="388"/>
      <c r="D26" s="382" t="s">
        <v>58</v>
      </c>
      <c r="E26" s="364"/>
      <c r="F26" s="365"/>
    </row>
    <row r="27" spans="2:6" hidden="1">
      <c r="B27" s="361"/>
      <c r="C27" s="388"/>
      <c r="D27" s="382" t="s">
        <v>92</v>
      </c>
      <c r="E27" s="364"/>
      <c r="F27" s="365"/>
    </row>
    <row r="28" spans="2:6" hidden="1">
      <c r="B28" s="361"/>
      <c r="C28" s="388"/>
      <c r="D28" s="382" t="s">
        <v>91</v>
      </c>
      <c r="E28" s="364"/>
      <c r="F28" s="365"/>
    </row>
    <row r="29" spans="2:6" hidden="1">
      <c r="B29" s="361"/>
      <c r="C29" s="388"/>
      <c r="D29" s="382" t="s">
        <v>90</v>
      </c>
      <c r="E29" s="364"/>
      <c r="F29" s="365"/>
    </row>
    <row r="30" spans="2:6" hidden="1">
      <c r="B30" s="361"/>
      <c r="C30" s="388"/>
      <c r="D30" s="382" t="s">
        <v>89</v>
      </c>
      <c r="E30" s="364"/>
      <c r="F30" s="365"/>
    </row>
    <row r="31" spans="2:6" hidden="1">
      <c r="B31" s="361"/>
      <c r="C31" s="388"/>
      <c r="D31" s="382" t="s">
        <v>88</v>
      </c>
      <c r="E31" s="364"/>
      <c r="F31" s="365"/>
    </row>
    <row r="32" spans="2:6" hidden="1">
      <c r="B32" s="361"/>
      <c r="C32" s="388"/>
      <c r="D32" s="382" t="s">
        <v>87</v>
      </c>
      <c r="E32" s="364"/>
      <c r="F32" s="365"/>
    </row>
    <row r="33" spans="2:6" hidden="1">
      <c r="B33" s="361"/>
      <c r="C33" s="388"/>
      <c r="D33" s="382" t="s">
        <v>86</v>
      </c>
      <c r="E33" s="364"/>
      <c r="F33" s="365"/>
    </row>
    <row r="34" spans="2:6" hidden="1">
      <c r="B34" s="361"/>
      <c r="C34" s="388"/>
      <c r="D34" s="382" t="s">
        <v>85</v>
      </c>
      <c r="E34" s="364"/>
      <c r="F34" s="365"/>
    </row>
    <row r="35" spans="2:6" hidden="1">
      <c r="B35" s="361"/>
      <c r="C35" s="388"/>
      <c r="D35" s="382" t="s">
        <v>84</v>
      </c>
      <c r="E35" s="364"/>
      <c r="F35" s="365"/>
    </row>
    <row r="36" spans="2:6" hidden="1">
      <c r="B36" s="361"/>
      <c r="C36" s="388"/>
      <c r="D36" s="382" t="s">
        <v>83</v>
      </c>
      <c r="E36" s="364"/>
      <c r="F36" s="365"/>
    </row>
    <row r="37" spans="2:6" hidden="1">
      <c r="B37" s="361"/>
      <c r="C37" s="388"/>
      <c r="D37" s="382" t="s">
        <v>82</v>
      </c>
      <c r="E37" s="364"/>
      <c r="F37" s="365"/>
    </row>
    <row r="38" spans="2:6" hidden="1">
      <c r="B38" s="361"/>
      <c r="C38" s="388"/>
      <c r="D38" s="382" t="s">
        <v>81</v>
      </c>
      <c r="E38" s="364"/>
      <c r="F38" s="365"/>
    </row>
    <row r="39" spans="2:6" hidden="1">
      <c r="B39" s="361"/>
      <c r="C39" s="388"/>
      <c r="D39" s="384" t="s">
        <v>66</v>
      </c>
      <c r="E39" s="364"/>
      <c r="F39" s="365"/>
    </row>
    <row r="40" spans="2:6">
      <c r="B40" s="361"/>
      <c r="C40" s="388"/>
      <c r="D40" s="380"/>
      <c r="E40" s="364"/>
      <c r="F40" s="365"/>
    </row>
    <row r="41" spans="2:6">
      <c r="B41" s="361"/>
      <c r="C41" s="376" t="s">
        <v>65</v>
      </c>
      <c r="D41" s="382"/>
      <c r="E41" s="364"/>
      <c r="F41" s="365"/>
    </row>
    <row r="42" spans="2:6">
      <c r="B42" s="361"/>
      <c r="C42" s="377"/>
      <c r="D42" s="380"/>
      <c r="E42" s="364"/>
      <c r="F42" s="365"/>
    </row>
    <row r="43" spans="2:6" ht="18.75">
      <c r="B43" s="392"/>
      <c r="C43" s="405" t="s">
        <v>80</v>
      </c>
      <c r="D43" s="404"/>
      <c r="E43" s="395"/>
      <c r="F43" s="396"/>
    </row>
    <row r="44" spans="2:6">
      <c r="B44" s="392"/>
      <c r="C44" s="406" t="s">
        <v>79</v>
      </c>
      <c r="D44" s="399" t="s">
        <v>736</v>
      </c>
      <c r="E44" s="395"/>
      <c r="F44" s="396"/>
    </row>
    <row r="45" spans="2:6">
      <c r="B45" s="392"/>
      <c r="C45" s="406" t="s">
        <v>78</v>
      </c>
      <c r="D45" s="399" t="s">
        <v>736</v>
      </c>
      <c r="E45" s="395"/>
      <c r="F45" s="396"/>
    </row>
    <row r="46" spans="2:6" ht="30">
      <c r="B46" s="392"/>
      <c r="C46" s="407" t="s">
        <v>77</v>
      </c>
      <c r="D46" s="399" t="s">
        <v>736</v>
      </c>
      <c r="E46" s="395"/>
      <c r="F46" s="396"/>
    </row>
    <row r="47" spans="2:6" ht="30">
      <c r="B47" s="392"/>
      <c r="C47" s="400" t="s">
        <v>76</v>
      </c>
      <c r="D47" s="399" t="s">
        <v>277</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404"/>
      <c r="E52" s="395"/>
      <c r="F52" s="396"/>
    </row>
    <row r="53" spans="2:6" ht="18.75">
      <c r="B53" s="346"/>
      <c r="C53" s="416" t="s">
        <v>75</v>
      </c>
      <c r="D53" s="412"/>
      <c r="E53" s="349"/>
      <c r="F53" s="350"/>
    </row>
    <row r="54" spans="2:6">
      <c r="B54" s="346"/>
      <c r="C54" s="417" t="s">
        <v>74</v>
      </c>
      <c r="D54" s="413" t="s">
        <v>73</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417"/>
      <c r="D59" s="412"/>
      <c r="E59" s="349"/>
      <c r="F59" s="350"/>
    </row>
    <row r="60" spans="2:6">
      <c r="B60" s="346"/>
      <c r="C60" s="417" t="s">
        <v>70</v>
      </c>
      <c r="D60" s="413" t="s">
        <v>66</v>
      </c>
      <c r="E60" s="349"/>
      <c r="F60" s="350"/>
    </row>
    <row r="61" spans="2:6" hidden="1">
      <c r="B61" s="346"/>
      <c r="C61" s="417"/>
      <c r="D61" s="415" t="s">
        <v>69</v>
      </c>
      <c r="E61" s="411"/>
      <c r="F61" s="350"/>
    </row>
    <row r="62" spans="2:6" hidden="1">
      <c r="B62" s="346"/>
      <c r="C62" s="417"/>
      <c r="D62" s="415" t="s">
        <v>68</v>
      </c>
      <c r="E62" s="411"/>
      <c r="F62" s="350"/>
    </row>
    <row r="63" spans="2:6" hidden="1">
      <c r="B63" s="346"/>
      <c r="C63" s="417"/>
      <c r="D63" s="415" t="s">
        <v>67</v>
      </c>
      <c r="E63" s="411"/>
      <c r="F63" s="350"/>
    </row>
    <row r="64" spans="2:6" hidden="1">
      <c r="B64" s="346"/>
      <c r="C64" s="417"/>
      <c r="D64" s="415" t="s">
        <v>66</v>
      </c>
      <c r="E64" s="411"/>
      <c r="F64" s="350"/>
    </row>
    <row r="65" spans="2:16">
      <c r="B65" s="346"/>
      <c r="C65" s="354" t="s">
        <v>65</v>
      </c>
      <c r="D65" s="413" t="s">
        <v>108</v>
      </c>
      <c r="E65" s="349"/>
      <c r="F65" s="350"/>
    </row>
    <row r="66" spans="2:16">
      <c r="B66" s="346"/>
      <c r="C66" s="417"/>
      <c r="D66" s="412"/>
      <c r="E66" s="349"/>
      <c r="F66" s="350"/>
    </row>
    <row r="67" spans="2:16" ht="18.75">
      <c r="B67" s="419"/>
      <c r="C67" s="443" t="s">
        <v>64</v>
      </c>
      <c r="D67" s="434"/>
      <c r="E67" s="422"/>
      <c r="F67" s="423"/>
    </row>
    <row r="68" spans="2:16">
      <c r="B68" s="419"/>
      <c r="C68" s="444" t="s">
        <v>118</v>
      </c>
      <c r="D68" s="437">
        <v>102000000</v>
      </c>
      <c r="E68" s="422"/>
      <c r="F68" s="423"/>
      <c r="H68" s="65"/>
      <c r="I68" s="65"/>
      <c r="J68" s="65"/>
      <c r="K68" s="65"/>
      <c r="L68" s="65"/>
      <c r="M68" s="65"/>
      <c r="N68" s="65"/>
      <c r="O68" s="65"/>
      <c r="P68" s="65"/>
    </row>
    <row r="69" spans="2:16">
      <c r="B69" s="419"/>
      <c r="C69" s="444" t="s">
        <v>107</v>
      </c>
      <c r="D69" s="439">
        <v>1</v>
      </c>
      <c r="E69" s="422"/>
      <c r="F69" s="423"/>
      <c r="H69" s="65"/>
      <c r="I69" s="65"/>
      <c r="J69" s="65"/>
      <c r="K69" s="65"/>
      <c r="L69" s="65"/>
      <c r="M69" s="65"/>
      <c r="N69" s="65"/>
      <c r="O69" s="65"/>
      <c r="P69" s="65"/>
    </row>
    <row r="70" spans="2:16">
      <c r="B70" s="419"/>
      <c r="C70" s="444" t="s">
        <v>119</v>
      </c>
      <c r="D70" s="437">
        <v>102000000</v>
      </c>
      <c r="E70" s="422"/>
      <c r="F70" s="423"/>
      <c r="H70" s="65"/>
      <c r="I70" s="65"/>
      <c r="J70" s="65"/>
      <c r="K70" s="65"/>
      <c r="L70" s="65"/>
      <c r="M70" s="65"/>
      <c r="N70" s="65"/>
      <c r="O70" s="65"/>
      <c r="P70" s="65"/>
    </row>
    <row r="71" spans="2:16">
      <c r="B71" s="419"/>
      <c r="C71" s="444"/>
      <c r="D71" s="433"/>
      <c r="E71" s="422"/>
      <c r="F71" s="423"/>
      <c r="H71" s="65"/>
      <c r="I71" s="65"/>
      <c r="J71" s="65"/>
      <c r="K71" s="65"/>
      <c r="L71" s="65"/>
      <c r="M71" s="65"/>
      <c r="N71" s="65"/>
      <c r="O71" s="65"/>
      <c r="P71" s="65"/>
    </row>
    <row r="72" spans="2:16" ht="30">
      <c r="B72" s="419"/>
      <c r="C72" s="444" t="s">
        <v>223</v>
      </c>
      <c r="D72" s="426" t="s">
        <v>737</v>
      </c>
      <c r="E72" s="422"/>
      <c r="F72" s="423"/>
      <c r="H72" s="65"/>
      <c r="I72" s="65"/>
      <c r="J72" s="65"/>
      <c r="K72" s="65"/>
      <c r="L72" s="65"/>
      <c r="M72" s="65"/>
      <c r="N72" s="65"/>
      <c r="O72" s="65"/>
      <c r="P72" s="65"/>
    </row>
    <row r="73" spans="2:16">
      <c r="B73" s="419"/>
      <c r="C73" s="444" t="s">
        <v>62</v>
      </c>
      <c r="D73" s="426" t="s">
        <v>780</v>
      </c>
      <c r="E73" s="422"/>
      <c r="F73" s="423"/>
    </row>
    <row r="74" spans="2:16">
      <c r="B74" s="419"/>
      <c r="C74" s="444"/>
      <c r="D74" s="433"/>
      <c r="E74" s="422"/>
      <c r="F74" s="423"/>
    </row>
    <row r="75" spans="2:16">
      <c r="B75" s="419"/>
      <c r="C75" s="444" t="s">
        <v>61</v>
      </c>
      <c r="D75" s="425">
        <v>0.33</v>
      </c>
      <c r="E75" s="422"/>
      <c r="F75" s="423"/>
    </row>
    <row r="76" spans="2:16">
      <c r="B76" s="419"/>
      <c r="C76" s="444"/>
      <c r="D76" s="433" t="s">
        <v>157</v>
      </c>
      <c r="E76" s="422"/>
      <c r="F76" s="423"/>
    </row>
    <row r="77" spans="2:16">
      <c r="B77" s="419"/>
      <c r="C77" s="446"/>
      <c r="D77" s="434"/>
      <c r="E77" s="422"/>
      <c r="F77" s="423"/>
    </row>
    <row r="78" spans="2:16" ht="15.75" thickBot="1">
      <c r="B78" s="429"/>
      <c r="C78" s="430"/>
      <c r="D78" s="435"/>
      <c r="E78" s="430"/>
      <c r="F78" s="432"/>
    </row>
  </sheetData>
  <phoneticPr fontId="19" type="noConversion"/>
  <dataValidations disablePrompts="1" count="1">
    <dataValidation type="list" allowBlank="1" showInputMessage="1" showErrorMessage="1" sqref="D47">
      <formula1>$D$48:$D$51</formula1>
    </dataValidation>
  </dataValidations>
  <pageMargins left="0.7" right="0.7" top="0.75" bottom="0.75" header="0.3" footer="0.3"/>
  <pageSetup paperSize="9" scale="78" orientation="portrait" copies="2" r:id="rId1"/>
</worksheet>
</file>

<file path=xl/worksheets/sheet34.xml><?xml version="1.0" encoding="utf-8"?>
<worksheet xmlns="http://schemas.openxmlformats.org/spreadsheetml/2006/main" xmlns:r="http://schemas.openxmlformats.org/officeDocument/2006/relationships">
  <sheetPr>
    <pageSetUpPr fitToPage="1"/>
  </sheetPr>
  <dimension ref="B1:M78"/>
  <sheetViews>
    <sheetView topLeftCell="A46" zoomScale="75" zoomScaleNormal="75" workbookViewId="0">
      <selection activeCell="G78" sqref="B1:G78"/>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 min="9" max="9" width="11.7109375" bestFit="1" customWidth="1"/>
    <col min="10" max="11" width="13.85546875" style="81" bestFit="1" customWidth="1"/>
    <col min="12" max="12" width="11.5703125" style="81" bestFit="1" customWidth="1"/>
  </cols>
  <sheetData>
    <row r="1" spans="2:12" ht="18.75">
      <c r="B1" s="25" t="s">
        <v>60</v>
      </c>
    </row>
    <row r="2" spans="2:12" ht="18.75">
      <c r="B2" s="25" t="s">
        <v>347</v>
      </c>
    </row>
    <row r="3" spans="2:12" ht="18.75">
      <c r="B3" s="25" t="s">
        <v>292</v>
      </c>
    </row>
    <row r="4" spans="2:12" ht="19.5" thickBot="1">
      <c r="B4" s="25"/>
      <c r="C4" s="33"/>
    </row>
    <row r="5" spans="2:12" ht="18.75">
      <c r="B5" s="356"/>
      <c r="C5" s="357" t="s">
        <v>105</v>
      </c>
      <c r="D5" s="358"/>
      <c r="E5" s="359"/>
      <c r="F5" s="360"/>
    </row>
    <row r="6" spans="2:12" ht="15.75">
      <c r="B6" s="361"/>
      <c r="C6" s="1069" t="s">
        <v>292</v>
      </c>
      <c r="D6" s="1070"/>
      <c r="E6" s="364"/>
      <c r="F6" s="365"/>
    </row>
    <row r="7" spans="2:12" ht="18.75">
      <c r="B7" s="361"/>
      <c r="C7" s="362" t="s">
        <v>104</v>
      </c>
      <c r="D7" s="363"/>
      <c r="E7" s="364"/>
      <c r="F7" s="365"/>
    </row>
    <row r="8" spans="2:12" s="32" customFormat="1">
      <c r="B8" s="366"/>
      <c r="C8" s="367"/>
      <c r="D8" s="368"/>
      <c r="E8" s="369"/>
      <c r="F8" s="370"/>
      <c r="J8" s="81"/>
      <c r="K8" s="81"/>
      <c r="L8" s="81"/>
    </row>
    <row r="9" spans="2:12" s="32" customFormat="1">
      <c r="B9" s="366"/>
      <c r="C9" s="367" t="s">
        <v>103</v>
      </c>
      <c r="D9" s="371"/>
      <c r="E9" s="369"/>
      <c r="F9" s="370"/>
      <c r="J9" s="81"/>
      <c r="K9" s="81"/>
      <c r="L9" s="81"/>
    </row>
    <row r="10" spans="2:12" s="32" customFormat="1">
      <c r="B10" s="366"/>
      <c r="C10" s="367" t="s">
        <v>102</v>
      </c>
      <c r="D10" s="453" t="s">
        <v>212</v>
      </c>
      <c r="E10" s="369"/>
      <c r="F10" s="370"/>
      <c r="J10" s="81"/>
      <c r="K10" s="81"/>
      <c r="L10" s="81"/>
    </row>
    <row r="11" spans="2:12" s="32" customFormat="1">
      <c r="B11" s="366"/>
      <c r="C11" s="367" t="s">
        <v>109</v>
      </c>
      <c r="D11" s="373">
        <v>40235</v>
      </c>
      <c r="E11" s="369"/>
      <c r="F11" s="370"/>
      <c r="J11" s="81"/>
      <c r="K11" s="81"/>
      <c r="L11" s="81"/>
    </row>
    <row r="12" spans="2:12" s="32" customFormat="1">
      <c r="B12" s="366"/>
      <c r="C12" s="367" t="s">
        <v>101</v>
      </c>
      <c r="D12" s="373">
        <v>40816</v>
      </c>
      <c r="E12" s="369"/>
      <c r="F12" s="370"/>
      <c r="J12" s="81"/>
      <c r="K12" s="81"/>
      <c r="L12" s="81"/>
    </row>
    <row r="13" spans="2:12" s="32" customFormat="1">
      <c r="B13" s="366"/>
      <c r="C13" s="367"/>
      <c r="D13" s="368"/>
      <c r="E13" s="369"/>
      <c r="F13" s="370"/>
      <c r="J13" s="81"/>
      <c r="K13" s="81"/>
      <c r="L13" s="81"/>
    </row>
    <row r="14" spans="2:12">
      <c r="B14" s="361"/>
      <c r="C14" s="367" t="s">
        <v>100</v>
      </c>
      <c r="D14" s="374" t="s">
        <v>99</v>
      </c>
      <c r="E14" s="374"/>
      <c r="F14" s="365"/>
    </row>
    <row r="15" spans="2:12">
      <c r="B15" s="361"/>
      <c r="C15" s="364"/>
      <c r="D15" s="374" t="s">
        <v>98</v>
      </c>
      <c r="E15" s="374"/>
      <c r="F15" s="365"/>
    </row>
    <row r="16" spans="2:12">
      <c r="B16" s="361"/>
      <c r="C16" s="364"/>
      <c r="D16" s="374" t="s">
        <v>97</v>
      </c>
      <c r="E16" s="375" t="s">
        <v>96</v>
      </c>
      <c r="F16" s="365"/>
    </row>
    <row r="17" spans="2:11">
      <c r="B17" s="361"/>
      <c r="C17" s="364"/>
      <c r="D17" s="374" t="s">
        <v>45</v>
      </c>
      <c r="E17" s="375"/>
      <c r="F17" s="365"/>
      <c r="K17" s="114"/>
    </row>
    <row r="18" spans="2:11">
      <c r="B18" s="361"/>
      <c r="C18" s="364"/>
      <c r="D18" s="374" t="s">
        <v>95</v>
      </c>
      <c r="E18" s="374"/>
      <c r="F18" s="365"/>
      <c r="K18" s="114"/>
    </row>
    <row r="19" spans="2:11">
      <c r="B19" s="361"/>
      <c r="C19" s="364"/>
      <c r="D19" s="374" t="s">
        <v>66</v>
      </c>
      <c r="E19" s="374"/>
      <c r="F19" s="365"/>
      <c r="K19" s="114"/>
    </row>
    <row r="20" spans="2:11">
      <c r="B20" s="361"/>
      <c r="C20" s="364"/>
      <c r="D20" s="363"/>
      <c r="E20" s="364"/>
      <c r="F20" s="365"/>
      <c r="K20" s="114"/>
    </row>
    <row r="21" spans="2:11">
      <c r="B21" s="361"/>
      <c r="C21" s="376" t="s">
        <v>65</v>
      </c>
      <c r="D21" s="371"/>
      <c r="E21" s="364"/>
      <c r="F21" s="365"/>
      <c r="K21" s="167"/>
    </row>
    <row r="22" spans="2:11">
      <c r="B22" s="361"/>
      <c r="C22" s="377"/>
      <c r="D22" s="363"/>
      <c r="E22" s="364"/>
      <c r="F22" s="365"/>
      <c r="K22" s="168"/>
    </row>
    <row r="23" spans="2:11">
      <c r="B23" s="361"/>
      <c r="C23" s="367" t="s">
        <v>94</v>
      </c>
      <c r="D23" s="371" t="s">
        <v>362</v>
      </c>
      <c r="E23" s="364"/>
      <c r="F23" s="365"/>
      <c r="K23" s="169"/>
    </row>
    <row r="24" spans="2:11" hidden="1">
      <c r="B24" s="361"/>
      <c r="C24" s="367"/>
      <c r="D24" s="371"/>
      <c r="E24" s="364"/>
      <c r="F24" s="365"/>
      <c r="K24" s="170"/>
    </row>
    <row r="25" spans="2:11" hidden="1">
      <c r="B25" s="361"/>
      <c r="C25" s="367"/>
      <c r="D25" s="371" t="s">
        <v>93</v>
      </c>
      <c r="E25" s="364"/>
      <c r="F25" s="365"/>
      <c r="K25" s="168"/>
    </row>
    <row r="26" spans="2:11" hidden="1">
      <c r="B26" s="361"/>
      <c r="C26" s="367"/>
      <c r="D26" s="371" t="s">
        <v>58</v>
      </c>
      <c r="E26" s="364"/>
      <c r="F26" s="365"/>
      <c r="K26" s="171"/>
    </row>
    <row r="27" spans="2:11" hidden="1">
      <c r="B27" s="361"/>
      <c r="C27" s="367"/>
      <c r="D27" s="371" t="s">
        <v>92</v>
      </c>
      <c r="E27" s="364"/>
      <c r="F27" s="365"/>
      <c r="K27" s="114"/>
    </row>
    <row r="28" spans="2:11" hidden="1">
      <c r="B28" s="361"/>
      <c r="C28" s="367"/>
      <c r="D28" s="371" t="s">
        <v>91</v>
      </c>
      <c r="E28" s="364"/>
      <c r="F28" s="365"/>
      <c r="K28" s="114"/>
    </row>
    <row r="29" spans="2:11" hidden="1">
      <c r="B29" s="361"/>
      <c r="C29" s="367"/>
      <c r="D29" s="371" t="s">
        <v>90</v>
      </c>
      <c r="E29" s="364"/>
      <c r="F29" s="365"/>
      <c r="K29" s="114"/>
    </row>
    <row r="30" spans="2:11" hidden="1">
      <c r="B30" s="361"/>
      <c r="C30" s="367"/>
      <c r="D30" s="371" t="s">
        <v>89</v>
      </c>
      <c r="E30" s="364"/>
      <c r="F30" s="365"/>
      <c r="K30" s="114"/>
    </row>
    <row r="31" spans="2:11" hidden="1">
      <c r="B31" s="361"/>
      <c r="C31" s="367"/>
      <c r="D31" s="371" t="s">
        <v>88</v>
      </c>
      <c r="E31" s="364"/>
      <c r="F31" s="365"/>
      <c r="K31" s="114"/>
    </row>
    <row r="32" spans="2:11" hidden="1">
      <c r="B32" s="361"/>
      <c r="C32" s="367"/>
      <c r="D32" s="371" t="s">
        <v>87</v>
      </c>
      <c r="E32" s="364"/>
      <c r="F32" s="365"/>
      <c r="K32" s="114"/>
    </row>
    <row r="33" spans="2:11" hidden="1">
      <c r="B33" s="361"/>
      <c r="C33" s="367"/>
      <c r="D33" s="371" t="s">
        <v>86</v>
      </c>
      <c r="E33" s="364"/>
      <c r="F33" s="365"/>
      <c r="K33" s="114"/>
    </row>
    <row r="34" spans="2:11" hidden="1">
      <c r="B34" s="361"/>
      <c r="C34" s="367"/>
      <c r="D34" s="371" t="s">
        <v>85</v>
      </c>
      <c r="E34" s="364"/>
      <c r="F34" s="365"/>
      <c r="K34" s="114"/>
    </row>
    <row r="35" spans="2:11" hidden="1">
      <c r="B35" s="361"/>
      <c r="C35" s="367"/>
      <c r="D35" s="371" t="s">
        <v>84</v>
      </c>
      <c r="E35" s="364"/>
      <c r="F35" s="365"/>
      <c r="K35" s="114"/>
    </row>
    <row r="36" spans="2:11" hidden="1">
      <c r="B36" s="361"/>
      <c r="C36" s="367"/>
      <c r="D36" s="371" t="s">
        <v>83</v>
      </c>
      <c r="E36" s="364"/>
      <c r="F36" s="365"/>
      <c r="K36" s="114"/>
    </row>
    <row r="37" spans="2:11" hidden="1">
      <c r="B37" s="361"/>
      <c r="C37" s="367"/>
      <c r="D37" s="371" t="s">
        <v>82</v>
      </c>
      <c r="E37" s="364"/>
      <c r="F37" s="365"/>
      <c r="K37" s="114"/>
    </row>
    <row r="38" spans="2:11" hidden="1">
      <c r="B38" s="361"/>
      <c r="C38" s="367"/>
      <c r="D38" s="371" t="s">
        <v>81</v>
      </c>
      <c r="E38" s="364"/>
      <c r="F38" s="365"/>
      <c r="K38" s="114"/>
    </row>
    <row r="39" spans="2:11" hidden="1">
      <c r="B39" s="361"/>
      <c r="C39" s="367"/>
      <c r="D39" s="378" t="s">
        <v>66</v>
      </c>
      <c r="E39" s="364"/>
      <c r="F39" s="365"/>
      <c r="K39" s="114"/>
    </row>
    <row r="40" spans="2:11">
      <c r="B40" s="361"/>
      <c r="C40" s="367"/>
      <c r="D40" s="363"/>
      <c r="E40" s="364"/>
      <c r="F40" s="365"/>
      <c r="K40" s="114"/>
    </row>
    <row r="41" spans="2:11">
      <c r="B41" s="361"/>
      <c r="C41" s="376" t="s">
        <v>65</v>
      </c>
      <c r="D41" s="371"/>
      <c r="E41" s="364"/>
      <c r="F41" s="365"/>
      <c r="K41" s="114"/>
    </row>
    <row r="42" spans="2:11">
      <c r="B42" s="361"/>
      <c r="C42" s="377"/>
      <c r="D42" s="363"/>
      <c r="E42" s="364"/>
      <c r="F42" s="365"/>
      <c r="K42" s="114"/>
    </row>
    <row r="43" spans="2:11" ht="18.75">
      <c r="B43" s="392"/>
      <c r="C43" s="393" t="s">
        <v>80</v>
      </c>
      <c r="D43" s="394"/>
      <c r="E43" s="395"/>
      <c r="F43" s="396"/>
      <c r="K43" s="114"/>
    </row>
    <row r="44" spans="2:11" ht="225">
      <c r="B44" s="392"/>
      <c r="C44" s="391" t="s">
        <v>79</v>
      </c>
      <c r="D44" s="397" t="s">
        <v>363</v>
      </c>
      <c r="E44" s="395"/>
      <c r="F44" s="396"/>
      <c r="K44" s="114"/>
    </row>
    <row r="45" spans="2:11" ht="90">
      <c r="B45" s="392"/>
      <c r="C45" s="391" t="s">
        <v>78</v>
      </c>
      <c r="D45" s="397" t="s">
        <v>258</v>
      </c>
      <c r="E45" s="395"/>
      <c r="F45" s="396"/>
    </row>
    <row r="46" spans="2:11" ht="45">
      <c r="B46" s="392"/>
      <c r="C46" s="398" t="s">
        <v>77</v>
      </c>
      <c r="D46" s="399" t="s">
        <v>255</v>
      </c>
      <c r="E46" s="395"/>
      <c r="F46" s="396"/>
    </row>
    <row r="47" spans="2:11" ht="30">
      <c r="B47" s="392"/>
      <c r="C47" s="400" t="s">
        <v>76</v>
      </c>
      <c r="D47" s="397" t="s">
        <v>209</v>
      </c>
      <c r="E47" s="401"/>
      <c r="F47" s="396"/>
    </row>
    <row r="48" spans="2:11"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394"/>
      <c r="E52" s="395"/>
      <c r="F52" s="396"/>
    </row>
    <row r="53" spans="2:6" ht="18.75">
      <c r="B53" s="346"/>
      <c r="C53" s="347" t="s">
        <v>75</v>
      </c>
      <c r="D53" s="348"/>
      <c r="E53" s="349"/>
      <c r="F53" s="350"/>
    </row>
    <row r="54" spans="2:6">
      <c r="B54" s="346"/>
      <c r="C54" s="351" t="s">
        <v>74</v>
      </c>
      <c r="D54" s="352" t="s">
        <v>72</v>
      </c>
      <c r="E54" s="349"/>
      <c r="F54" s="350"/>
    </row>
    <row r="55" spans="2:6" hidden="1">
      <c r="B55" s="346"/>
      <c r="C55" s="355"/>
      <c r="D55" s="409"/>
      <c r="E55" s="349"/>
      <c r="F55" s="350"/>
    </row>
    <row r="56" spans="2:6" hidden="1">
      <c r="B56" s="346"/>
      <c r="C56" s="355"/>
      <c r="D56" s="410" t="s">
        <v>73</v>
      </c>
      <c r="E56" s="349"/>
      <c r="F56" s="350"/>
    </row>
    <row r="57" spans="2:6" hidden="1">
      <c r="B57" s="346"/>
      <c r="C57" s="355"/>
      <c r="D57" s="410" t="s">
        <v>72</v>
      </c>
      <c r="E57" s="349"/>
      <c r="F57" s="350"/>
    </row>
    <row r="58" spans="2:6" hidden="1">
      <c r="B58" s="346"/>
      <c r="C58" s="355"/>
      <c r="D58" s="410" t="s">
        <v>71</v>
      </c>
      <c r="E58" s="349"/>
      <c r="F58" s="350"/>
    </row>
    <row r="59" spans="2:6">
      <c r="B59" s="346"/>
      <c r="C59" s="351"/>
      <c r="D59" s="348"/>
      <c r="E59" s="349"/>
      <c r="F59" s="350"/>
    </row>
    <row r="60" spans="2:6">
      <c r="B60" s="346"/>
      <c r="C60" s="351" t="s">
        <v>70</v>
      </c>
      <c r="D60" s="352" t="s">
        <v>69</v>
      </c>
      <c r="E60" s="349"/>
      <c r="F60" s="350"/>
    </row>
    <row r="61" spans="2:6" hidden="1">
      <c r="B61" s="346"/>
      <c r="C61" s="351"/>
      <c r="D61" s="353" t="s">
        <v>69</v>
      </c>
      <c r="E61" s="411"/>
      <c r="F61" s="350"/>
    </row>
    <row r="62" spans="2:6" hidden="1">
      <c r="B62" s="346"/>
      <c r="C62" s="351"/>
      <c r="D62" s="353" t="s">
        <v>68</v>
      </c>
      <c r="E62" s="411"/>
      <c r="F62" s="350"/>
    </row>
    <row r="63" spans="2:6" hidden="1">
      <c r="B63" s="346"/>
      <c r="C63" s="351"/>
      <c r="D63" s="353" t="s">
        <v>67</v>
      </c>
      <c r="E63" s="411"/>
      <c r="F63" s="350"/>
    </row>
    <row r="64" spans="2:6" hidden="1">
      <c r="B64" s="346"/>
      <c r="C64" s="351"/>
      <c r="D64" s="353" t="s">
        <v>66</v>
      </c>
      <c r="E64" s="411"/>
      <c r="F64" s="350"/>
    </row>
    <row r="65" spans="2:13">
      <c r="B65" s="346"/>
      <c r="C65" s="354" t="s">
        <v>65</v>
      </c>
      <c r="D65" s="352"/>
      <c r="E65" s="349"/>
      <c r="F65" s="350"/>
    </row>
    <row r="66" spans="2:13">
      <c r="B66" s="346"/>
      <c r="C66" s="351"/>
      <c r="D66" s="348"/>
      <c r="E66" s="349"/>
      <c r="F66" s="350"/>
      <c r="I66" s="8"/>
      <c r="J66" s="143"/>
      <c r="K66" s="143"/>
      <c r="L66" s="143"/>
      <c r="M66" s="8"/>
    </row>
    <row r="67" spans="2:13" ht="18.75">
      <c r="B67" s="419"/>
      <c r="C67" s="420" t="s">
        <v>64</v>
      </c>
      <c r="D67" s="421"/>
      <c r="E67" s="422"/>
      <c r="F67" s="423"/>
      <c r="I67" s="8"/>
      <c r="J67" s="143"/>
      <c r="K67" s="143"/>
      <c r="L67" s="143"/>
      <c r="M67" s="8"/>
    </row>
    <row r="68" spans="2:13">
      <c r="B68" s="419"/>
      <c r="C68" s="418" t="s">
        <v>118</v>
      </c>
      <c r="D68" s="424" t="s">
        <v>256</v>
      </c>
      <c r="E68" s="422"/>
      <c r="F68" s="423"/>
      <c r="I68" s="123"/>
      <c r="J68" s="143"/>
      <c r="K68" s="143"/>
      <c r="L68" s="143"/>
      <c r="M68" s="8"/>
    </row>
    <row r="69" spans="2:13">
      <c r="B69" s="419"/>
      <c r="C69" s="418" t="s">
        <v>107</v>
      </c>
      <c r="D69" s="440"/>
      <c r="E69" s="422"/>
      <c r="F69" s="423"/>
      <c r="I69" s="123"/>
      <c r="J69" s="166"/>
      <c r="K69" s="166"/>
      <c r="L69" s="144"/>
      <c r="M69" s="8"/>
    </row>
    <row r="70" spans="2:13">
      <c r="B70" s="419"/>
      <c r="C70" s="418" t="s">
        <v>119</v>
      </c>
      <c r="D70" s="441">
        <f>(4300000*30)</f>
        <v>129000000</v>
      </c>
      <c r="E70" s="422"/>
      <c r="F70" s="423"/>
      <c r="I70" s="123"/>
      <c r="J70" s="143"/>
      <c r="K70" s="143"/>
      <c r="L70" s="143"/>
      <c r="M70" s="8"/>
    </row>
    <row r="71" spans="2:13">
      <c r="B71" s="419"/>
      <c r="C71" s="418"/>
      <c r="D71" s="421"/>
      <c r="E71" s="422"/>
      <c r="F71" s="423"/>
      <c r="I71" s="8"/>
      <c r="J71" s="143"/>
      <c r="K71" s="143"/>
      <c r="L71" s="143"/>
      <c r="M71" s="8"/>
    </row>
    <row r="72" spans="2:13">
      <c r="B72" s="419"/>
      <c r="C72" s="418" t="s">
        <v>223</v>
      </c>
      <c r="D72" s="426" t="s">
        <v>257</v>
      </c>
      <c r="E72" s="422"/>
      <c r="F72" s="423"/>
      <c r="I72" s="8"/>
      <c r="J72" s="143"/>
      <c r="K72" s="143"/>
      <c r="L72" s="143"/>
      <c r="M72" s="8"/>
    </row>
    <row r="73" spans="2:13" ht="30">
      <c r="B73" s="419"/>
      <c r="C73" s="418" t="s">
        <v>62</v>
      </c>
      <c r="D73" s="442" t="s">
        <v>473</v>
      </c>
      <c r="E73" s="422"/>
      <c r="F73" s="423"/>
    </row>
    <row r="74" spans="2:13">
      <c r="B74" s="419"/>
      <c r="C74" s="418"/>
      <c r="D74" s="421"/>
      <c r="E74" s="422"/>
      <c r="F74" s="423"/>
    </row>
    <row r="75" spans="2:13">
      <c r="B75" s="419"/>
      <c r="C75" s="418" t="s">
        <v>61</v>
      </c>
      <c r="D75" s="427">
        <v>0.5</v>
      </c>
      <c r="E75" s="422"/>
      <c r="F75" s="423"/>
    </row>
    <row r="76" spans="2:13">
      <c r="B76" s="419"/>
      <c r="C76" s="418"/>
      <c r="D76" s="433" t="s">
        <v>351</v>
      </c>
      <c r="E76" s="422"/>
      <c r="F76" s="423"/>
    </row>
    <row r="77" spans="2:13">
      <c r="B77" s="419"/>
      <c r="C77" s="428"/>
      <c r="D77" s="421"/>
      <c r="E77" s="422"/>
      <c r="F77" s="423"/>
    </row>
    <row r="78" spans="2:13" ht="15.75" thickBot="1">
      <c r="B78" s="429"/>
      <c r="C78" s="430"/>
      <c r="D78" s="431"/>
      <c r="E78" s="430"/>
      <c r="F78" s="432"/>
    </row>
  </sheetData>
  <mergeCells count="1">
    <mergeCell ref="C6:D6"/>
  </mergeCells>
  <phoneticPr fontId="19" type="noConversion"/>
  <pageMargins left="0.7" right="0.7" top="0.75" bottom="0.75" header="0.3" footer="0.3"/>
  <pageSetup paperSize="9" scale="66" orientation="portrait" copies="2" r:id="rId1"/>
</worksheet>
</file>

<file path=xl/worksheets/sheet35.xml><?xml version="1.0" encoding="utf-8"?>
<worksheet xmlns="http://schemas.openxmlformats.org/spreadsheetml/2006/main" xmlns:r="http://schemas.openxmlformats.org/officeDocument/2006/relationships">
  <sheetPr>
    <pageSetUpPr fitToPage="1"/>
  </sheetPr>
  <dimension ref="B1:Q92"/>
  <sheetViews>
    <sheetView topLeftCell="A71" zoomScale="75" zoomScaleNormal="75" workbookViewId="0">
      <selection activeCell="B1" sqref="B1:F78"/>
    </sheetView>
  </sheetViews>
  <sheetFormatPr defaultRowHeight="15"/>
  <cols>
    <col min="1" max="2" width="3.7109375" customWidth="1"/>
    <col min="3" max="3" width="61.42578125" bestFit="1" customWidth="1"/>
    <col min="4" max="4" width="34.28515625" style="26" customWidth="1"/>
    <col min="5" max="5" width="4.7109375" customWidth="1"/>
    <col min="6" max="7" width="3.7109375" customWidth="1"/>
    <col min="9" max="9" width="17.42578125" customWidth="1"/>
    <col min="10" max="11" width="15.7109375" bestFit="1" customWidth="1"/>
    <col min="12" max="12" width="14.42578125" bestFit="1" customWidth="1"/>
    <col min="13" max="13" width="2.7109375" customWidth="1"/>
    <col min="14" max="14" width="20.85546875" customWidth="1"/>
    <col min="16" max="16" width="12.7109375" customWidth="1"/>
  </cols>
  <sheetData>
    <row r="1" spans="2:6" ht="18.75">
      <c r="B1" s="25" t="s">
        <v>60</v>
      </c>
    </row>
    <row r="2" spans="2:6" ht="18.75">
      <c r="B2" s="25" t="s">
        <v>347</v>
      </c>
    </row>
    <row r="3" spans="2:6" ht="18.75">
      <c r="B3" s="280" t="s">
        <v>639</v>
      </c>
    </row>
    <row r="4" spans="2:6" ht="19.5" thickBot="1">
      <c r="B4" s="25"/>
      <c r="C4" s="33"/>
    </row>
    <row r="5" spans="2:6" ht="18.75">
      <c r="B5" s="356"/>
      <c r="C5" s="357" t="s">
        <v>105</v>
      </c>
      <c r="D5" s="358"/>
      <c r="E5" s="359"/>
      <c r="F5" s="360"/>
    </row>
    <row r="6" spans="2:6" ht="18.75">
      <c r="B6" s="361"/>
      <c r="C6" s="362" t="s">
        <v>307</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53" t="s">
        <v>213</v>
      </c>
      <c r="E10" s="369"/>
      <c r="F10" s="370"/>
    </row>
    <row r="11" spans="2:6" s="32" customFormat="1">
      <c r="B11" s="366"/>
      <c r="C11" s="367" t="s">
        <v>109</v>
      </c>
      <c r="D11" s="373">
        <v>40235</v>
      </c>
      <c r="E11" s="369"/>
      <c r="F11" s="370"/>
    </row>
    <row r="12" spans="2:6" s="32" customFormat="1">
      <c r="B12" s="366"/>
      <c r="C12" s="367" t="s">
        <v>101</v>
      </c>
      <c r="D12" s="389" t="s">
        <v>106</v>
      </c>
      <c r="E12" s="369"/>
      <c r="F12" s="370"/>
    </row>
    <row r="13" spans="2:6" s="32" customFormat="1">
      <c r="B13" s="366"/>
      <c r="C13" s="367"/>
      <c r="D13" s="368"/>
      <c r="E13" s="369"/>
      <c r="F13" s="370"/>
    </row>
    <row r="14" spans="2:6">
      <c r="B14" s="361"/>
      <c r="C14" s="367" t="s">
        <v>100</v>
      </c>
      <c r="D14" s="374" t="s">
        <v>99</v>
      </c>
      <c r="E14" s="374"/>
      <c r="F14" s="365"/>
    </row>
    <row r="15" spans="2:6">
      <c r="B15" s="361"/>
      <c r="C15" s="364"/>
      <c r="D15" s="374" t="s">
        <v>98</v>
      </c>
      <c r="E15" s="374"/>
      <c r="F15" s="365"/>
    </row>
    <row r="16" spans="2:6">
      <c r="B16" s="361"/>
      <c r="C16" s="364"/>
      <c r="D16" s="374" t="s">
        <v>97</v>
      </c>
      <c r="E16" s="375" t="s">
        <v>96</v>
      </c>
      <c r="F16" s="365"/>
    </row>
    <row r="17" spans="2:6">
      <c r="B17" s="361"/>
      <c r="C17" s="364"/>
      <c r="D17" s="374" t="s">
        <v>45</v>
      </c>
      <c r="E17" s="375"/>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67" t="s">
        <v>94</v>
      </c>
      <c r="D23" s="371" t="s">
        <v>88</v>
      </c>
      <c r="E23" s="364"/>
      <c r="F23" s="365"/>
    </row>
    <row r="24" spans="2:6" hidden="1">
      <c r="B24" s="361"/>
      <c r="C24" s="367"/>
      <c r="D24" s="371"/>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63"/>
      <c r="E40" s="364"/>
      <c r="F40" s="365"/>
    </row>
    <row r="41" spans="2:6">
      <c r="B41" s="361"/>
      <c r="C41" s="376" t="s">
        <v>65</v>
      </c>
      <c r="D41" s="371"/>
      <c r="E41" s="364"/>
      <c r="F41" s="365"/>
    </row>
    <row r="42" spans="2:6">
      <c r="B42" s="361"/>
      <c r="C42" s="377"/>
      <c r="D42" s="363"/>
      <c r="E42" s="364"/>
      <c r="F42" s="365"/>
    </row>
    <row r="43" spans="2:6" ht="18.75">
      <c r="B43" s="392"/>
      <c r="C43" s="393" t="s">
        <v>80</v>
      </c>
      <c r="D43" s="394"/>
      <c r="E43" s="395"/>
      <c r="F43" s="396"/>
    </row>
    <row r="44" spans="2:6" ht="60">
      <c r="B44" s="392"/>
      <c r="C44" s="391" t="s">
        <v>79</v>
      </c>
      <c r="D44" s="397" t="s">
        <v>640</v>
      </c>
      <c r="E44" s="395"/>
      <c r="F44" s="396"/>
    </row>
    <row r="45" spans="2:6">
      <c r="B45" s="392"/>
      <c r="C45" s="391" t="s">
        <v>78</v>
      </c>
      <c r="D45" s="397"/>
      <c r="E45" s="395"/>
      <c r="F45" s="396"/>
    </row>
    <row r="46" spans="2:6" ht="30">
      <c r="B46" s="392"/>
      <c r="C46" s="398" t="s">
        <v>77</v>
      </c>
      <c r="D46" s="397"/>
      <c r="E46" s="395"/>
      <c r="F46" s="396"/>
    </row>
    <row r="47" spans="2:6" ht="30">
      <c r="B47" s="392"/>
      <c r="C47" s="400" t="s">
        <v>76</v>
      </c>
      <c r="D47" s="397" t="s">
        <v>278</v>
      </c>
      <c r="E47" s="401"/>
      <c r="F47" s="396"/>
    </row>
    <row r="48" spans="2:6" hidden="1">
      <c r="B48" s="392"/>
      <c r="C48" s="400"/>
      <c r="D48" s="402" t="s">
        <v>209</v>
      </c>
      <c r="E48" s="395"/>
      <c r="F48" s="396"/>
    </row>
    <row r="49" spans="2:17" hidden="1">
      <c r="B49" s="392"/>
      <c r="C49" s="400"/>
      <c r="D49" s="402" t="s">
        <v>277</v>
      </c>
      <c r="E49" s="395"/>
      <c r="F49" s="396"/>
    </row>
    <row r="50" spans="2:17" hidden="1">
      <c r="B50" s="392"/>
      <c r="C50" s="400"/>
      <c r="D50" s="402" t="s">
        <v>276</v>
      </c>
      <c r="E50" s="395"/>
      <c r="F50" s="396"/>
    </row>
    <row r="51" spans="2:17" hidden="1">
      <c r="B51" s="392"/>
      <c r="C51" s="400"/>
      <c r="D51" s="402" t="s">
        <v>278</v>
      </c>
      <c r="E51" s="395"/>
      <c r="F51" s="396"/>
    </row>
    <row r="52" spans="2:17">
      <c r="B52" s="392"/>
      <c r="C52" s="403"/>
      <c r="D52" s="394"/>
      <c r="E52" s="395"/>
      <c r="F52" s="396"/>
    </row>
    <row r="53" spans="2:17" ht="18.75">
      <c r="B53" s="346"/>
      <c r="C53" s="347" t="s">
        <v>75</v>
      </c>
      <c r="D53" s="348"/>
      <c r="E53" s="349"/>
      <c r="F53" s="350"/>
    </row>
    <row r="54" spans="2:17">
      <c r="B54" s="346"/>
      <c r="C54" s="351" t="s">
        <v>74</v>
      </c>
      <c r="D54" s="352" t="s">
        <v>106</v>
      </c>
      <c r="E54" s="349"/>
      <c r="F54" s="350"/>
    </row>
    <row r="55" spans="2:17" hidden="1">
      <c r="B55" s="346"/>
      <c r="C55" s="355"/>
      <c r="D55" s="409"/>
      <c r="E55" s="349"/>
      <c r="F55" s="350"/>
    </row>
    <row r="56" spans="2:17" hidden="1">
      <c r="B56" s="346"/>
      <c r="C56" s="355"/>
      <c r="D56" s="410" t="s">
        <v>73</v>
      </c>
      <c r="E56" s="349"/>
      <c r="F56" s="350"/>
    </row>
    <row r="57" spans="2:17" hidden="1">
      <c r="B57" s="346"/>
      <c r="C57" s="355"/>
      <c r="D57" s="410" t="s">
        <v>72</v>
      </c>
      <c r="E57" s="349"/>
      <c r="F57" s="350"/>
    </row>
    <row r="58" spans="2:17" hidden="1">
      <c r="B58" s="346"/>
      <c r="C58" s="355"/>
      <c r="D58" s="410" t="s">
        <v>71</v>
      </c>
      <c r="E58" s="349"/>
      <c r="F58" s="350"/>
    </row>
    <row r="59" spans="2:17">
      <c r="B59" s="346"/>
      <c r="C59" s="351"/>
      <c r="D59" s="348"/>
      <c r="E59" s="349"/>
      <c r="F59" s="350"/>
      <c r="I59" s="8"/>
      <c r="J59" s="8"/>
      <c r="K59" s="8"/>
      <c r="L59" s="8"/>
      <c r="M59" s="8"/>
      <c r="N59" s="8"/>
      <c r="O59" s="8"/>
      <c r="P59" s="8"/>
      <c r="Q59" s="8"/>
    </row>
    <row r="60" spans="2:17">
      <c r="B60" s="346"/>
      <c r="C60" s="351" t="s">
        <v>70</v>
      </c>
      <c r="D60" s="352" t="s">
        <v>69</v>
      </c>
      <c r="E60" s="349"/>
      <c r="F60" s="350"/>
      <c r="I60" s="8"/>
      <c r="J60" s="8"/>
      <c r="K60" s="8"/>
      <c r="L60" s="8"/>
      <c r="M60" s="8"/>
      <c r="N60" s="8"/>
      <c r="O60" s="8"/>
      <c r="P60" s="8"/>
      <c r="Q60" s="8"/>
    </row>
    <row r="61" spans="2:17" hidden="1">
      <c r="B61" s="346"/>
      <c r="C61" s="351"/>
      <c r="D61" s="353" t="s">
        <v>69</v>
      </c>
      <c r="E61" s="411"/>
      <c r="F61" s="350"/>
      <c r="I61" s="8"/>
      <c r="J61" s="8"/>
      <c r="K61" s="8"/>
      <c r="L61" s="8"/>
      <c r="M61" s="8"/>
      <c r="N61" s="8"/>
      <c r="O61" s="8"/>
      <c r="P61" s="8"/>
      <c r="Q61" s="8"/>
    </row>
    <row r="62" spans="2:17" hidden="1">
      <c r="B62" s="346"/>
      <c r="C62" s="351"/>
      <c r="D62" s="353" t="s">
        <v>68</v>
      </c>
      <c r="E62" s="411"/>
      <c r="F62" s="350"/>
      <c r="I62" s="8"/>
      <c r="J62" s="8"/>
      <c r="K62" s="8"/>
      <c r="L62" s="8"/>
      <c r="M62" s="8"/>
      <c r="N62" s="8"/>
      <c r="O62" s="8"/>
      <c r="P62" s="8"/>
      <c r="Q62" s="8"/>
    </row>
    <row r="63" spans="2:17" hidden="1">
      <c r="B63" s="346"/>
      <c r="C63" s="351"/>
      <c r="D63" s="353" t="s">
        <v>67</v>
      </c>
      <c r="E63" s="411"/>
      <c r="F63" s="350"/>
      <c r="I63" s="8"/>
      <c r="J63" s="8"/>
      <c r="K63" s="8"/>
      <c r="L63" s="8"/>
      <c r="M63" s="8"/>
      <c r="N63" s="8"/>
      <c r="O63" s="8"/>
      <c r="P63" s="8"/>
      <c r="Q63" s="8"/>
    </row>
    <row r="64" spans="2:17" hidden="1">
      <c r="B64" s="346"/>
      <c r="C64" s="351"/>
      <c r="D64" s="353" t="s">
        <v>66</v>
      </c>
      <c r="E64" s="411"/>
      <c r="F64" s="350"/>
      <c r="I64" s="8"/>
      <c r="J64" s="8"/>
      <c r="K64" s="8"/>
      <c r="L64" s="8"/>
      <c r="M64" s="8"/>
      <c r="N64" s="8"/>
      <c r="O64" s="8"/>
      <c r="P64" s="8"/>
      <c r="Q64" s="8"/>
    </row>
    <row r="65" spans="2:17">
      <c r="B65" s="346"/>
      <c r="C65" s="354" t="s">
        <v>65</v>
      </c>
      <c r="D65" s="352"/>
      <c r="E65" s="349"/>
      <c r="F65" s="350"/>
      <c r="I65" s="123"/>
      <c r="J65" s="8"/>
      <c r="K65" s="8"/>
      <c r="L65" s="8"/>
      <c r="M65" s="8"/>
      <c r="N65" s="545"/>
      <c r="O65" s="8"/>
      <c r="P65" s="8"/>
      <c r="Q65" s="8"/>
    </row>
    <row r="66" spans="2:17">
      <c r="B66" s="346"/>
      <c r="C66" s="351"/>
      <c r="D66" s="348"/>
      <c r="E66" s="349"/>
      <c r="F66" s="350"/>
      <c r="I66" s="123"/>
      <c r="J66" s="8"/>
      <c r="K66" s="8"/>
      <c r="L66" s="8"/>
      <c r="M66" s="8"/>
      <c r="N66" s="545"/>
      <c r="O66" s="8"/>
      <c r="P66" s="8"/>
      <c r="Q66" s="8"/>
    </row>
    <row r="67" spans="2:17" ht="18.75">
      <c r="B67" s="419"/>
      <c r="C67" s="420" t="s">
        <v>64</v>
      </c>
      <c r="D67" s="421"/>
      <c r="E67" s="422"/>
      <c r="F67" s="423"/>
      <c r="I67" s="66"/>
      <c r="J67" s="66"/>
      <c r="K67" s="66"/>
      <c r="L67" s="66"/>
      <c r="M67" s="8"/>
      <c r="N67" s="545"/>
      <c r="O67" s="8"/>
      <c r="P67" s="8"/>
      <c r="Q67" s="8"/>
    </row>
    <row r="68" spans="2:17">
      <c r="B68" s="419"/>
      <c r="C68" s="418" t="s">
        <v>118</v>
      </c>
      <c r="D68" s="441"/>
      <c r="E68" s="422"/>
      <c r="F68" s="423"/>
      <c r="I68" s="139"/>
      <c r="J68" s="263"/>
      <c r="K68" s="122"/>
      <c r="L68" s="122"/>
      <c r="M68" s="8"/>
      <c r="N68" s="545"/>
      <c r="O68" s="264"/>
      <c r="P68" s="8"/>
      <c r="Q68" s="8"/>
    </row>
    <row r="69" spans="2:17">
      <c r="B69" s="419"/>
      <c r="C69" s="418" t="s">
        <v>107</v>
      </c>
      <c r="D69" s="440"/>
      <c r="E69" s="422"/>
      <c r="F69" s="423"/>
      <c r="I69" s="139"/>
      <c r="J69" s="263"/>
      <c r="K69" s="265"/>
      <c r="L69" s="122"/>
      <c r="M69" s="8"/>
      <c r="N69" s="545"/>
      <c r="O69" s="8"/>
      <c r="P69" s="8"/>
      <c r="Q69" s="8"/>
    </row>
    <row r="70" spans="2:17">
      <c r="B70" s="419"/>
      <c r="C70" s="418" t="s">
        <v>119</v>
      </c>
      <c r="D70" s="500">
        <v>0</v>
      </c>
      <c r="E70" s="422"/>
      <c r="F70" s="423"/>
      <c r="I70" s="139"/>
      <c r="J70" s="263"/>
      <c r="K70" s="265"/>
      <c r="L70" s="122"/>
      <c r="M70" s="8"/>
      <c r="N70" s="545"/>
      <c r="O70" s="8"/>
      <c r="P70" s="8"/>
      <c r="Q70" s="8"/>
    </row>
    <row r="71" spans="2:17">
      <c r="B71" s="419"/>
      <c r="C71" s="418"/>
      <c r="D71" s="421"/>
      <c r="E71" s="422"/>
      <c r="F71" s="423"/>
      <c r="I71" s="139"/>
      <c r="J71" s="263"/>
      <c r="K71" s="265"/>
      <c r="L71" s="122"/>
      <c r="M71" s="8"/>
      <c r="N71" s="122"/>
      <c r="O71" s="8"/>
      <c r="P71" s="8"/>
      <c r="Q71" s="8"/>
    </row>
    <row r="72" spans="2:17">
      <c r="B72" s="419"/>
      <c r="C72" s="418" t="s">
        <v>223</v>
      </c>
      <c r="D72" s="426"/>
      <c r="E72" s="422"/>
      <c r="F72" s="423"/>
      <c r="I72" s="139"/>
      <c r="J72" s="266"/>
      <c r="K72" s="267"/>
      <c r="L72" s="122"/>
      <c r="M72" s="8"/>
      <c r="N72" s="122"/>
      <c r="O72" s="8"/>
      <c r="P72" s="8"/>
      <c r="Q72" s="8"/>
    </row>
    <row r="73" spans="2:17">
      <c r="B73" s="419"/>
      <c r="C73" s="418" t="s">
        <v>62</v>
      </c>
      <c r="D73" s="426"/>
      <c r="E73" s="422"/>
      <c r="F73" s="423"/>
      <c r="I73" s="139"/>
      <c r="J73" s="266"/>
      <c r="K73" s="267"/>
      <c r="L73" s="122"/>
      <c r="M73" s="8"/>
      <c r="N73" s="122"/>
      <c r="O73" s="8"/>
      <c r="P73" s="8"/>
      <c r="Q73" s="8"/>
    </row>
    <row r="74" spans="2:17">
      <c r="B74" s="419"/>
      <c r="C74" s="418"/>
      <c r="D74" s="421"/>
      <c r="E74" s="422"/>
      <c r="F74" s="423"/>
      <c r="I74" s="139"/>
      <c r="J74" s="268"/>
      <c r="K74" s="265"/>
      <c r="L74" s="122"/>
      <c r="M74" s="8"/>
      <c r="N74" s="122"/>
      <c r="O74" s="8"/>
      <c r="P74" s="8"/>
      <c r="Q74" s="8"/>
    </row>
    <row r="75" spans="2:17">
      <c r="B75" s="419"/>
      <c r="C75" s="418" t="s">
        <v>61</v>
      </c>
      <c r="D75" s="427"/>
      <c r="E75" s="422"/>
      <c r="F75" s="423"/>
      <c r="I75" s="139"/>
      <c r="J75" s="270"/>
      <c r="K75" s="139"/>
      <c r="L75" s="139"/>
      <c r="M75" s="8"/>
      <c r="N75" s="122"/>
      <c r="O75" s="8"/>
      <c r="P75" s="8"/>
      <c r="Q75" s="8"/>
    </row>
    <row r="76" spans="2:17">
      <c r="B76" s="419"/>
      <c r="C76" s="418"/>
      <c r="D76" s="433" t="s">
        <v>106</v>
      </c>
      <c r="E76" s="422"/>
      <c r="F76" s="423"/>
      <c r="I76" s="546"/>
      <c r="J76" s="8"/>
      <c r="K76" s="8"/>
      <c r="L76" s="8"/>
      <c r="M76" s="8"/>
      <c r="N76" s="122"/>
      <c r="O76" s="8"/>
      <c r="P76" s="8"/>
      <c r="Q76" s="8"/>
    </row>
    <row r="77" spans="2:17">
      <c r="B77" s="419"/>
      <c r="C77" s="428"/>
      <c r="D77" s="421"/>
      <c r="E77" s="422"/>
      <c r="F77" s="423"/>
      <c r="I77" s="8"/>
      <c r="J77" s="8"/>
      <c r="K77" s="8"/>
      <c r="L77" s="8"/>
      <c r="M77" s="8"/>
      <c r="N77" s="122"/>
      <c r="O77" s="8"/>
      <c r="P77" s="8"/>
      <c r="Q77" s="8"/>
    </row>
    <row r="78" spans="2:17" ht="15.75" thickBot="1">
      <c r="B78" s="429"/>
      <c r="C78" s="430"/>
      <c r="D78" s="431"/>
      <c r="E78" s="430"/>
      <c r="F78" s="432"/>
      <c r="I78" s="123"/>
      <c r="J78" s="8"/>
      <c r="K78" s="8"/>
      <c r="L78" s="8"/>
      <c r="M78" s="8"/>
      <c r="N78" s="545"/>
      <c r="O78" s="8"/>
      <c r="P78" s="8"/>
      <c r="Q78" s="8"/>
    </row>
    <row r="79" spans="2:17">
      <c r="I79" s="123"/>
      <c r="J79" s="8"/>
      <c r="K79" s="8"/>
      <c r="L79" s="8"/>
      <c r="M79" s="8"/>
      <c r="N79" s="545"/>
      <c r="O79" s="8"/>
      <c r="P79" s="8"/>
      <c r="Q79" s="8"/>
    </row>
    <row r="80" spans="2:17">
      <c r="I80" s="66"/>
      <c r="J80" s="66"/>
      <c r="K80" s="66"/>
      <c r="L80" s="66"/>
      <c r="M80" s="8"/>
      <c r="N80" s="545"/>
      <c r="O80" s="8"/>
      <c r="P80" s="8"/>
      <c r="Q80" s="8"/>
    </row>
    <row r="81" spans="9:17">
      <c r="I81" s="139"/>
      <c r="J81" s="263"/>
      <c r="K81" s="122"/>
      <c r="L81" s="122"/>
      <c r="M81" s="8"/>
      <c r="N81" s="545"/>
      <c r="O81" s="264"/>
      <c r="P81" s="8"/>
      <c r="Q81" s="8"/>
    </row>
    <row r="82" spans="9:17">
      <c r="I82" s="139"/>
      <c r="J82" s="263"/>
      <c r="K82" s="265"/>
      <c r="L82" s="122"/>
      <c r="M82" s="8"/>
      <c r="N82" s="545"/>
      <c r="O82" s="8"/>
      <c r="P82" s="8"/>
      <c r="Q82" s="8"/>
    </row>
    <row r="83" spans="9:17">
      <c r="I83" s="139"/>
      <c r="J83" s="263"/>
      <c r="K83" s="265"/>
      <c r="L83" s="122"/>
      <c r="M83" s="8"/>
      <c r="N83" s="545"/>
      <c r="O83" s="8"/>
      <c r="P83" s="8"/>
      <c r="Q83" s="8"/>
    </row>
    <row r="84" spans="9:17">
      <c r="I84" s="139"/>
      <c r="J84" s="270"/>
      <c r="K84" s="139"/>
      <c r="L84" s="139"/>
      <c r="M84" s="8"/>
      <c r="N84" s="545"/>
      <c r="O84" s="8"/>
      <c r="P84" s="8"/>
      <c r="Q84" s="8"/>
    </row>
    <row r="85" spans="9:17">
      <c r="I85" s="139"/>
      <c r="J85" s="266"/>
      <c r="K85" s="267"/>
      <c r="L85" s="122"/>
      <c r="M85" s="8"/>
      <c r="N85" s="545"/>
      <c r="O85" s="8"/>
      <c r="P85" s="8"/>
      <c r="Q85" s="8"/>
    </row>
    <row r="86" spans="9:17">
      <c r="I86" s="139"/>
      <c r="J86" s="266"/>
      <c r="K86" s="267"/>
      <c r="L86" s="122"/>
      <c r="M86" s="8"/>
      <c r="N86" s="122"/>
      <c r="O86" s="8"/>
      <c r="P86" s="8"/>
      <c r="Q86" s="8"/>
    </row>
    <row r="87" spans="9:17">
      <c r="I87" s="139"/>
      <c r="J87" s="268"/>
      <c r="K87" s="265"/>
      <c r="L87" s="122"/>
      <c r="M87" s="8"/>
      <c r="N87" s="122"/>
      <c r="O87" s="8"/>
      <c r="P87" s="8"/>
      <c r="Q87" s="8"/>
    </row>
    <row r="88" spans="9:17">
      <c r="I88" s="139"/>
      <c r="J88" s="270"/>
      <c r="K88" s="139"/>
      <c r="L88" s="139"/>
      <c r="M88" s="8"/>
      <c r="N88" s="122"/>
      <c r="O88" s="8"/>
      <c r="P88" s="8"/>
      <c r="Q88" s="8"/>
    </row>
    <row r="89" spans="9:17">
      <c r="I89" s="8"/>
      <c r="J89" s="8"/>
      <c r="K89" s="8"/>
      <c r="L89" s="8"/>
      <c r="M89" s="8"/>
      <c r="N89" s="122"/>
      <c r="O89" s="8"/>
      <c r="P89" s="8"/>
      <c r="Q89" s="8"/>
    </row>
    <row r="90" spans="9:17">
      <c r="I90" s="8"/>
      <c r="J90" s="8"/>
      <c r="K90" s="8"/>
      <c r="L90" s="8"/>
      <c r="M90" s="8"/>
      <c r="N90" s="122"/>
      <c r="O90" s="8"/>
      <c r="P90" s="8"/>
      <c r="Q90" s="8"/>
    </row>
    <row r="91" spans="9:17">
      <c r="I91" s="8"/>
      <c r="J91" s="8"/>
      <c r="K91" s="8"/>
      <c r="L91" s="547"/>
      <c r="M91" s="8"/>
      <c r="N91" s="122"/>
      <c r="O91" s="8"/>
      <c r="P91" s="8"/>
      <c r="Q91" s="8"/>
    </row>
    <row r="92" spans="9:17">
      <c r="L92" s="271"/>
      <c r="M92" s="267"/>
      <c r="N92" s="269"/>
    </row>
  </sheetData>
  <phoneticPr fontId="19" type="noConversion"/>
  <pageMargins left="0.7" right="0.7" top="0.75" bottom="0.75" header="0.3" footer="0.3"/>
  <pageSetup paperSize="9" scale="46" orientation="portrait" copies="2" r:id="rId1"/>
</worksheet>
</file>

<file path=xl/worksheets/sheet36.xml><?xml version="1.0" encoding="utf-8"?>
<worksheet xmlns="http://schemas.openxmlformats.org/spreadsheetml/2006/main" xmlns:r="http://schemas.openxmlformats.org/officeDocument/2006/relationships">
  <sheetPr>
    <pageSetUpPr fitToPage="1"/>
  </sheetPr>
  <dimension ref="B1:M78"/>
  <sheetViews>
    <sheetView topLeftCell="A10" zoomScale="75" zoomScaleNormal="75" workbookViewId="0">
      <selection activeCell="J81" sqref="J81"/>
    </sheetView>
  </sheetViews>
  <sheetFormatPr defaultRowHeight="15"/>
  <cols>
    <col min="1" max="2" width="3.7109375" customWidth="1"/>
    <col min="3" max="3" width="61.42578125" bestFit="1" customWidth="1"/>
    <col min="4" max="4" width="42.85546875" style="26" customWidth="1"/>
    <col min="5" max="5" width="4.7109375" customWidth="1"/>
    <col min="6" max="7" width="3.7109375" customWidth="1"/>
    <col min="8" max="8" width="9.28515625" bestFit="1" customWidth="1"/>
    <col min="9" max="9" width="11.7109375" bestFit="1" customWidth="1"/>
    <col min="10" max="10" width="67" customWidth="1"/>
    <col min="11" max="11" width="15" customWidth="1"/>
    <col min="12" max="12" width="13.28515625" bestFit="1" customWidth="1"/>
    <col min="13" max="13" width="15.28515625" bestFit="1" customWidth="1"/>
  </cols>
  <sheetData>
    <row r="1" spans="2:6" ht="18.75">
      <c r="B1" s="25" t="s">
        <v>60</v>
      </c>
    </row>
    <row r="2" spans="2:6" ht="18.75">
      <c r="B2" s="25" t="s">
        <v>347</v>
      </c>
    </row>
    <row r="3" spans="2:6" ht="18.75">
      <c r="B3" s="25" t="s">
        <v>123</v>
      </c>
    </row>
    <row r="4" spans="2:6" ht="19.5" thickBot="1">
      <c r="B4" s="25"/>
      <c r="C4" s="33"/>
    </row>
    <row r="5" spans="2:6" ht="18.75">
      <c r="B5" s="356"/>
      <c r="C5" s="357" t="s">
        <v>105</v>
      </c>
      <c r="D5" s="358"/>
      <c r="E5" s="359"/>
      <c r="F5" s="360"/>
    </row>
    <row r="6" spans="2:6" ht="18.75">
      <c r="B6" s="361"/>
      <c r="C6" s="362" t="s">
        <v>123</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70" t="s">
        <v>214</v>
      </c>
      <c r="E10" s="369"/>
      <c r="F10" s="370"/>
    </row>
    <row r="11" spans="2:6" s="32" customFormat="1">
      <c r="B11" s="366"/>
      <c r="C11" s="367" t="s">
        <v>109</v>
      </c>
      <c r="D11" s="373">
        <v>40235</v>
      </c>
      <c r="E11" s="369"/>
      <c r="F11" s="370"/>
    </row>
    <row r="12" spans="2:6" s="32" customFormat="1">
      <c r="B12" s="366"/>
      <c r="C12" s="367" t="s">
        <v>101</v>
      </c>
      <c r="D12" s="373">
        <v>40816</v>
      </c>
      <c r="E12" s="369"/>
      <c r="F12" s="370"/>
    </row>
    <row r="13" spans="2:6" s="32" customFormat="1">
      <c r="B13" s="366"/>
      <c r="C13" s="367"/>
      <c r="D13" s="368"/>
      <c r="E13" s="369"/>
      <c r="F13" s="370"/>
    </row>
    <row r="14" spans="2:6">
      <c r="B14" s="361"/>
      <c r="C14" s="367" t="s">
        <v>100</v>
      </c>
      <c r="D14" s="374" t="s">
        <v>99</v>
      </c>
      <c r="E14" s="374"/>
      <c r="F14" s="365"/>
    </row>
    <row r="15" spans="2:6">
      <c r="B15" s="361"/>
      <c r="C15" s="364"/>
      <c r="D15" s="374" t="s">
        <v>98</v>
      </c>
      <c r="E15" s="374"/>
      <c r="F15" s="365"/>
    </row>
    <row r="16" spans="2:6">
      <c r="B16" s="361"/>
      <c r="C16" s="364"/>
      <c r="D16" s="374" t="s">
        <v>97</v>
      </c>
      <c r="E16" s="375" t="s">
        <v>96</v>
      </c>
      <c r="F16" s="365"/>
    </row>
    <row r="17" spans="2:6">
      <c r="B17" s="361"/>
      <c r="C17" s="364"/>
      <c r="D17" s="374" t="s">
        <v>45</v>
      </c>
      <c r="E17" s="375"/>
      <c r="F17" s="365"/>
    </row>
    <row r="18" spans="2:6">
      <c r="B18" s="361"/>
      <c r="C18" s="364"/>
      <c r="D18" s="374" t="s">
        <v>95</v>
      </c>
      <c r="E18" s="375"/>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67" t="s">
        <v>94</v>
      </c>
      <c r="D23" s="371" t="s">
        <v>88</v>
      </c>
      <c r="E23" s="364"/>
      <c r="F23" s="365"/>
    </row>
    <row r="24" spans="2:6" hidden="1">
      <c r="B24" s="361"/>
      <c r="C24" s="367"/>
      <c r="D24" s="371"/>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10" hidden="1">
      <c r="B33" s="361"/>
      <c r="C33" s="367"/>
      <c r="D33" s="371" t="s">
        <v>86</v>
      </c>
      <c r="E33" s="364"/>
      <c r="F33" s="365"/>
    </row>
    <row r="34" spans="2:10" hidden="1">
      <c r="B34" s="361"/>
      <c r="C34" s="367"/>
      <c r="D34" s="371" t="s">
        <v>85</v>
      </c>
      <c r="E34" s="364"/>
      <c r="F34" s="365"/>
    </row>
    <row r="35" spans="2:10" hidden="1">
      <c r="B35" s="361"/>
      <c r="C35" s="367"/>
      <c r="D35" s="371" t="s">
        <v>84</v>
      </c>
      <c r="E35" s="364"/>
      <c r="F35" s="365"/>
    </row>
    <row r="36" spans="2:10" hidden="1">
      <c r="B36" s="361"/>
      <c r="C36" s="367"/>
      <c r="D36" s="371" t="s">
        <v>83</v>
      </c>
      <c r="E36" s="364"/>
      <c r="F36" s="365"/>
    </row>
    <row r="37" spans="2:10" hidden="1">
      <c r="B37" s="361"/>
      <c r="C37" s="367"/>
      <c r="D37" s="371" t="s">
        <v>82</v>
      </c>
      <c r="E37" s="364"/>
      <c r="F37" s="365"/>
    </row>
    <row r="38" spans="2:10" hidden="1">
      <c r="B38" s="361"/>
      <c r="C38" s="367"/>
      <c r="D38" s="371" t="s">
        <v>81</v>
      </c>
      <c r="E38" s="364"/>
      <c r="F38" s="365"/>
    </row>
    <row r="39" spans="2:10" hidden="1">
      <c r="B39" s="361"/>
      <c r="C39" s="367"/>
      <c r="D39" s="378" t="s">
        <v>66</v>
      </c>
      <c r="E39" s="364"/>
      <c r="F39" s="365"/>
    </row>
    <row r="40" spans="2:10">
      <c r="B40" s="361"/>
      <c r="C40" s="367"/>
      <c r="D40" s="363"/>
      <c r="E40" s="364"/>
      <c r="F40" s="365"/>
    </row>
    <row r="41" spans="2:10">
      <c r="B41" s="361"/>
      <c r="C41" s="376" t="s">
        <v>65</v>
      </c>
      <c r="D41" s="371"/>
      <c r="E41" s="364"/>
      <c r="F41" s="365"/>
    </row>
    <row r="42" spans="2:10">
      <c r="B42" s="361"/>
      <c r="C42" s="377"/>
      <c r="D42" s="363"/>
      <c r="E42" s="364"/>
      <c r="F42" s="365"/>
    </row>
    <row r="43" spans="2:10" ht="18.75">
      <c r="B43" s="392"/>
      <c r="C43" s="393" t="s">
        <v>80</v>
      </c>
      <c r="D43" s="394"/>
      <c r="E43" s="395"/>
      <c r="F43" s="396"/>
    </row>
    <row r="44" spans="2:10" ht="120">
      <c r="B44" s="392"/>
      <c r="C44" s="391" t="s">
        <v>79</v>
      </c>
      <c r="D44" s="397" t="s">
        <v>371</v>
      </c>
      <c r="E44" s="395"/>
      <c r="F44" s="396"/>
      <c r="J44" s="272"/>
    </row>
    <row r="45" spans="2:10" ht="75">
      <c r="B45" s="392"/>
      <c r="C45" s="391" t="s">
        <v>78</v>
      </c>
      <c r="D45" s="397" t="s">
        <v>364</v>
      </c>
      <c r="E45" s="395"/>
      <c r="F45" s="396"/>
      <c r="J45" s="273"/>
    </row>
    <row r="46" spans="2:10" ht="30">
      <c r="B46" s="392"/>
      <c r="C46" s="398" t="s">
        <v>77</v>
      </c>
      <c r="D46" s="397" t="s">
        <v>116</v>
      </c>
      <c r="E46" s="395"/>
      <c r="F46" s="396"/>
    </row>
    <row r="47" spans="2:10" ht="30">
      <c r="B47" s="392"/>
      <c r="C47" s="400" t="s">
        <v>76</v>
      </c>
      <c r="D47" s="397" t="s">
        <v>276</v>
      </c>
      <c r="E47" s="401"/>
      <c r="F47" s="396"/>
    </row>
    <row r="48" spans="2:10" hidden="1">
      <c r="B48" s="392"/>
      <c r="C48" s="400"/>
      <c r="D48" s="402" t="s">
        <v>209</v>
      </c>
      <c r="E48" s="395"/>
      <c r="F48" s="396"/>
    </row>
    <row r="49" spans="2:13" hidden="1">
      <c r="B49" s="392"/>
      <c r="C49" s="400"/>
      <c r="D49" s="402" t="s">
        <v>277</v>
      </c>
      <c r="E49" s="395"/>
      <c r="F49" s="396"/>
    </row>
    <row r="50" spans="2:13" hidden="1">
      <c r="B50" s="392"/>
      <c r="C50" s="400"/>
      <c r="D50" s="402" t="s">
        <v>276</v>
      </c>
      <c r="E50" s="395"/>
      <c r="F50" s="396"/>
    </row>
    <row r="51" spans="2:13" hidden="1">
      <c r="B51" s="392"/>
      <c r="C51" s="400"/>
      <c r="D51" s="402" t="s">
        <v>278</v>
      </c>
      <c r="E51" s="395"/>
      <c r="F51" s="396"/>
    </row>
    <row r="52" spans="2:13">
      <c r="B52" s="392"/>
      <c r="C52" s="403"/>
      <c r="D52" s="394"/>
      <c r="E52" s="395"/>
      <c r="F52" s="396"/>
    </row>
    <row r="53" spans="2:13" ht="18.75">
      <c r="B53" s="346"/>
      <c r="C53" s="347" t="s">
        <v>75</v>
      </c>
      <c r="D53" s="348"/>
      <c r="E53" s="349"/>
      <c r="F53" s="350"/>
    </row>
    <row r="54" spans="2:13">
      <c r="B54" s="346"/>
      <c r="C54" s="351" t="s">
        <v>74</v>
      </c>
      <c r="D54" s="352" t="s">
        <v>71</v>
      </c>
      <c r="E54" s="349"/>
      <c r="F54" s="350"/>
    </row>
    <row r="55" spans="2:13" hidden="1">
      <c r="B55" s="346"/>
      <c r="C55" s="355"/>
      <c r="D55" s="409"/>
      <c r="E55" s="349"/>
      <c r="F55" s="350"/>
    </row>
    <row r="56" spans="2:13" hidden="1">
      <c r="B56" s="346"/>
      <c r="C56" s="355"/>
      <c r="D56" s="410" t="s">
        <v>73</v>
      </c>
      <c r="E56" s="349"/>
      <c r="F56" s="350"/>
    </row>
    <row r="57" spans="2:13" hidden="1">
      <c r="B57" s="346"/>
      <c r="C57" s="355"/>
      <c r="D57" s="410" t="s">
        <v>72</v>
      </c>
      <c r="E57" s="349"/>
      <c r="F57" s="350"/>
    </row>
    <row r="58" spans="2:13" hidden="1">
      <c r="B58" s="346"/>
      <c r="C58" s="355"/>
      <c r="D58" s="410" t="s">
        <v>71</v>
      </c>
      <c r="E58" s="349"/>
      <c r="F58" s="350"/>
    </row>
    <row r="59" spans="2:13">
      <c r="B59" s="346"/>
      <c r="C59" s="351"/>
      <c r="D59" s="348"/>
      <c r="E59" s="349"/>
      <c r="F59" s="350"/>
      <c r="I59" s="8"/>
      <c r="J59" s="8"/>
      <c r="K59" s="8"/>
      <c r="L59" s="8"/>
      <c r="M59" s="8"/>
    </row>
    <row r="60" spans="2:13">
      <c r="B60" s="346"/>
      <c r="C60" s="351" t="s">
        <v>70</v>
      </c>
      <c r="D60" s="352" t="s">
        <v>69</v>
      </c>
      <c r="E60" s="349"/>
      <c r="F60" s="350"/>
      <c r="I60" s="8"/>
      <c r="J60" s="8"/>
      <c r="K60" s="8"/>
      <c r="L60" s="8"/>
      <c r="M60" s="8"/>
    </row>
    <row r="61" spans="2:13" hidden="1">
      <c r="B61" s="346"/>
      <c r="C61" s="351"/>
      <c r="D61" s="353" t="s">
        <v>69</v>
      </c>
      <c r="E61" s="411"/>
      <c r="F61" s="350"/>
      <c r="I61" s="8"/>
      <c r="J61" s="8"/>
      <c r="K61" s="8"/>
      <c r="L61" s="8"/>
      <c r="M61" s="8"/>
    </row>
    <row r="62" spans="2:13" hidden="1">
      <c r="B62" s="346"/>
      <c r="C62" s="351"/>
      <c r="D62" s="353" t="s">
        <v>68</v>
      </c>
      <c r="E62" s="411"/>
      <c r="F62" s="350"/>
      <c r="I62" s="8"/>
      <c r="J62" s="8"/>
      <c r="K62" s="8"/>
      <c r="L62" s="8"/>
      <c r="M62" s="8"/>
    </row>
    <row r="63" spans="2:13" hidden="1">
      <c r="B63" s="346"/>
      <c r="C63" s="351"/>
      <c r="D63" s="353" t="s">
        <v>67</v>
      </c>
      <c r="E63" s="411"/>
      <c r="F63" s="350"/>
      <c r="I63" s="8"/>
      <c r="J63" s="8"/>
      <c r="K63" s="8"/>
      <c r="L63" s="8"/>
      <c r="M63" s="8"/>
    </row>
    <row r="64" spans="2:13" hidden="1">
      <c r="B64" s="346"/>
      <c r="C64" s="351"/>
      <c r="D64" s="353" t="s">
        <v>66</v>
      </c>
      <c r="E64" s="411"/>
      <c r="F64" s="350"/>
      <c r="I64" s="8"/>
      <c r="J64" s="8"/>
      <c r="K64" s="8"/>
      <c r="L64" s="8"/>
      <c r="M64" s="8"/>
    </row>
    <row r="65" spans="2:13">
      <c r="B65" s="346"/>
      <c r="C65" s="354" t="s">
        <v>65</v>
      </c>
      <c r="D65" s="352"/>
      <c r="E65" s="349"/>
      <c r="F65" s="350"/>
      <c r="I65" s="8"/>
      <c r="J65" s="8"/>
      <c r="K65" s="8"/>
      <c r="L65" s="8"/>
      <c r="M65" s="8"/>
    </row>
    <row r="66" spans="2:13">
      <c r="B66" s="346"/>
      <c r="C66" s="351"/>
      <c r="D66" s="348"/>
      <c r="E66" s="349"/>
      <c r="F66" s="350"/>
      <c r="I66" s="8"/>
      <c r="J66" s="8"/>
      <c r="K66" s="274"/>
      <c r="L66" s="8"/>
      <c r="M66" s="8"/>
    </row>
    <row r="67" spans="2:13" ht="18.75">
      <c r="B67" s="419"/>
      <c r="C67" s="420" t="s">
        <v>64</v>
      </c>
      <c r="D67" s="421"/>
      <c r="E67" s="422"/>
      <c r="F67" s="423"/>
      <c r="I67" s="8"/>
      <c r="J67" s="275"/>
      <c r="K67" s="275"/>
      <c r="L67" s="8"/>
      <c r="M67" s="8"/>
    </row>
    <row r="68" spans="2:13">
      <c r="B68" s="419"/>
      <c r="C68" s="418" t="s">
        <v>118</v>
      </c>
      <c r="D68" s="441">
        <v>250000000</v>
      </c>
      <c r="E68" s="422"/>
      <c r="F68" s="423"/>
      <c r="I68" s="123"/>
      <c r="J68" s="143"/>
      <c r="K68" s="143"/>
      <c r="L68" s="8"/>
      <c r="M68" s="105"/>
    </row>
    <row r="69" spans="2:13">
      <c r="B69" s="419"/>
      <c r="C69" s="418" t="s">
        <v>107</v>
      </c>
      <c r="D69" s="426" t="s">
        <v>124</v>
      </c>
      <c r="E69" s="422"/>
      <c r="F69" s="423"/>
      <c r="I69" s="123"/>
      <c r="J69" s="166"/>
      <c r="K69" s="166"/>
      <c r="L69" s="66"/>
      <c r="M69" s="8"/>
    </row>
    <row r="70" spans="2:13">
      <c r="B70" s="419"/>
      <c r="C70" s="418" t="s">
        <v>119</v>
      </c>
      <c r="D70" s="500">
        <f>1300000*30</f>
        <v>39000000</v>
      </c>
      <c r="E70" s="422"/>
      <c r="F70" s="423"/>
      <c r="I70" s="123"/>
      <c r="J70" s="276"/>
      <c r="K70" s="276"/>
      <c r="L70" s="276"/>
      <c r="M70" s="8"/>
    </row>
    <row r="71" spans="2:13">
      <c r="B71" s="419"/>
      <c r="C71" s="418"/>
      <c r="D71" s="421"/>
      <c r="E71" s="422"/>
      <c r="F71" s="423"/>
      <c r="I71" s="8"/>
      <c r="J71" s="8"/>
      <c r="K71" s="8"/>
      <c r="L71" s="8"/>
      <c r="M71" s="8"/>
    </row>
    <row r="72" spans="2:13">
      <c r="B72" s="419"/>
      <c r="C72" s="418" t="s">
        <v>223</v>
      </c>
      <c r="D72" s="426" t="s">
        <v>3</v>
      </c>
      <c r="E72" s="422"/>
      <c r="F72" s="423"/>
      <c r="I72" s="83"/>
      <c r="J72" s="143"/>
      <c r="K72" s="143"/>
      <c r="L72" s="143"/>
      <c r="M72" s="8"/>
    </row>
    <row r="73" spans="2:13">
      <c r="B73" s="419"/>
      <c r="C73" s="418" t="s">
        <v>62</v>
      </c>
      <c r="D73" s="426" t="s">
        <v>474</v>
      </c>
      <c r="E73" s="422"/>
      <c r="F73" s="423"/>
      <c r="I73" s="83"/>
      <c r="J73" s="143"/>
      <c r="K73" s="143"/>
      <c r="L73" s="143"/>
      <c r="M73" s="8"/>
    </row>
    <row r="74" spans="2:13">
      <c r="B74" s="419"/>
      <c r="C74" s="418"/>
      <c r="D74" s="421"/>
      <c r="E74" s="422"/>
      <c r="F74" s="423"/>
      <c r="I74" s="277"/>
      <c r="J74" s="8"/>
      <c r="K74" s="8"/>
      <c r="L74" s="8"/>
      <c r="M74" s="8"/>
    </row>
    <row r="75" spans="2:13">
      <c r="B75" s="419"/>
      <c r="C75" s="418" t="s">
        <v>61</v>
      </c>
      <c r="D75" s="427">
        <v>0.5</v>
      </c>
      <c r="E75" s="422"/>
      <c r="F75" s="423"/>
      <c r="I75" s="8"/>
      <c r="J75" s="8"/>
      <c r="K75" s="278"/>
      <c r="L75" s="95"/>
      <c r="M75" s="8"/>
    </row>
    <row r="76" spans="2:13">
      <c r="B76" s="419"/>
      <c r="C76" s="418"/>
      <c r="D76" s="433" t="s">
        <v>352</v>
      </c>
      <c r="E76" s="422"/>
      <c r="F76" s="423"/>
      <c r="I76" s="8"/>
      <c r="J76" s="8"/>
      <c r="K76" s="8"/>
      <c r="L76" s="8"/>
      <c r="M76" s="8"/>
    </row>
    <row r="77" spans="2:13">
      <c r="B77" s="419"/>
      <c r="C77" s="428"/>
      <c r="D77" s="421"/>
      <c r="E77" s="422"/>
      <c r="F77" s="423"/>
      <c r="I77" s="8"/>
      <c r="J77" s="8"/>
      <c r="K77" s="8"/>
      <c r="L77" s="8"/>
      <c r="M77" s="8"/>
    </row>
    <row r="78" spans="2:13" ht="15.75" thickBot="1">
      <c r="B78" s="429"/>
      <c r="C78" s="430"/>
      <c r="D78" s="431"/>
      <c r="E78" s="430"/>
      <c r="F78" s="432"/>
      <c r="I78" s="8"/>
      <c r="J78" s="8"/>
      <c r="K78" s="8"/>
      <c r="L78" s="8"/>
      <c r="M78" s="8"/>
    </row>
  </sheetData>
  <phoneticPr fontId="19" type="noConversion"/>
  <pageMargins left="0.7" right="0.7" top="0.75" bottom="0.75" header="0.3" footer="0.3"/>
  <pageSetup paperSize="9" scale="70" orientation="portrait" copies="2" r:id="rId1"/>
</worksheet>
</file>

<file path=xl/worksheets/sheet37.xml><?xml version="1.0" encoding="utf-8"?>
<worksheet xmlns="http://schemas.openxmlformats.org/spreadsheetml/2006/main" xmlns:r="http://schemas.openxmlformats.org/officeDocument/2006/relationships">
  <sheetPr>
    <pageSetUpPr fitToPage="1"/>
  </sheetPr>
  <dimension ref="B1:M78"/>
  <sheetViews>
    <sheetView topLeftCell="A22" zoomScale="75" zoomScaleNormal="75" workbookViewId="0">
      <selection activeCell="D70" sqref="D70"/>
    </sheetView>
  </sheetViews>
  <sheetFormatPr defaultRowHeight="15"/>
  <cols>
    <col min="1" max="2" width="3.7109375" customWidth="1"/>
    <col min="3" max="3" width="61.42578125" bestFit="1" customWidth="1"/>
    <col min="4" max="4" width="42.85546875" style="26" customWidth="1"/>
    <col min="5" max="5" width="4.7109375" customWidth="1"/>
    <col min="6" max="7" width="3.7109375" customWidth="1"/>
    <col min="9" max="9" width="11.7109375" bestFit="1" customWidth="1"/>
    <col min="10" max="10" width="67" customWidth="1"/>
    <col min="11" max="11" width="15" customWidth="1"/>
    <col min="12" max="12" width="13.28515625" bestFit="1" customWidth="1"/>
    <col min="13" max="13" width="15.28515625" bestFit="1" customWidth="1"/>
  </cols>
  <sheetData>
    <row r="1" spans="2:6" ht="18.75">
      <c r="B1" s="25" t="s">
        <v>60</v>
      </c>
    </row>
    <row r="2" spans="2:6" ht="18.75">
      <c r="B2" s="25" t="s">
        <v>347</v>
      </c>
    </row>
    <row r="3" spans="2:6" ht="18.75">
      <c r="B3" s="280" t="s">
        <v>825</v>
      </c>
    </row>
    <row r="4" spans="2:6" ht="19.5" thickBot="1">
      <c r="B4" s="25"/>
      <c r="C4" s="33"/>
    </row>
    <row r="5" spans="2:6" ht="18.75">
      <c r="B5" s="356"/>
      <c r="C5" s="357" t="s">
        <v>105</v>
      </c>
      <c r="D5" s="358"/>
      <c r="E5" s="359"/>
      <c r="F5" s="360"/>
    </row>
    <row r="6" spans="2:6" ht="18.75">
      <c r="B6" s="361"/>
      <c r="C6" s="762" t="s">
        <v>826</v>
      </c>
      <c r="D6" s="363"/>
      <c r="E6" s="364"/>
      <c r="F6" s="365"/>
    </row>
    <row r="7" spans="2:6" ht="18.75">
      <c r="B7" s="361"/>
      <c r="C7" s="47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70" t="s">
        <v>409</v>
      </c>
      <c r="E10" s="369"/>
      <c r="F10" s="370"/>
    </row>
    <row r="11" spans="2:6" s="32" customFormat="1">
      <c r="B11" s="366"/>
      <c r="C11" s="367" t="s">
        <v>109</v>
      </c>
      <c r="D11" s="389">
        <v>40640</v>
      </c>
      <c r="E11" s="369"/>
      <c r="F11" s="370"/>
    </row>
    <row r="12" spans="2:6" s="32" customFormat="1">
      <c r="B12" s="366"/>
      <c r="C12" s="367" t="s">
        <v>101</v>
      </c>
      <c r="D12" s="389">
        <v>40823</v>
      </c>
      <c r="E12" s="369"/>
      <c r="F12" s="370"/>
    </row>
    <row r="13" spans="2:6" s="32" customFormat="1">
      <c r="B13" s="366"/>
      <c r="C13" s="367"/>
      <c r="D13" s="381"/>
      <c r="E13" s="369"/>
      <c r="F13" s="370"/>
    </row>
    <row r="14" spans="2:6">
      <c r="B14" s="361"/>
      <c r="C14" s="367" t="s">
        <v>100</v>
      </c>
      <c r="D14" s="383" t="s">
        <v>99</v>
      </c>
      <c r="E14" s="374"/>
      <c r="F14" s="365"/>
    </row>
    <row r="15" spans="2:6">
      <c r="B15" s="361"/>
      <c r="C15" s="364"/>
      <c r="D15" s="383" t="s">
        <v>98</v>
      </c>
      <c r="E15" s="374"/>
      <c r="F15" s="365"/>
    </row>
    <row r="16" spans="2:6">
      <c r="B16" s="361"/>
      <c r="C16" s="364"/>
      <c r="D16" s="383" t="s">
        <v>97</v>
      </c>
      <c r="E16" s="375" t="s">
        <v>96</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82</v>
      </c>
      <c r="E23" s="364"/>
      <c r="F23" s="365"/>
    </row>
    <row r="24" spans="2:6" hidden="1">
      <c r="B24" s="361"/>
      <c r="C24" s="367"/>
      <c r="D24" s="382"/>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10" hidden="1">
      <c r="B33" s="361"/>
      <c r="C33" s="367"/>
      <c r="D33" s="371" t="s">
        <v>86</v>
      </c>
      <c r="E33" s="364"/>
      <c r="F33" s="365"/>
    </row>
    <row r="34" spans="2:10" hidden="1">
      <c r="B34" s="361"/>
      <c r="C34" s="367"/>
      <c r="D34" s="371" t="s">
        <v>85</v>
      </c>
      <c r="E34" s="364"/>
      <c r="F34" s="365"/>
    </row>
    <row r="35" spans="2:10" hidden="1">
      <c r="B35" s="361"/>
      <c r="C35" s="367"/>
      <c r="D35" s="371" t="s">
        <v>84</v>
      </c>
      <c r="E35" s="364"/>
      <c r="F35" s="365"/>
    </row>
    <row r="36" spans="2:10" hidden="1">
      <c r="B36" s="361"/>
      <c r="C36" s="367"/>
      <c r="D36" s="371" t="s">
        <v>83</v>
      </c>
      <c r="E36" s="364"/>
      <c r="F36" s="365"/>
    </row>
    <row r="37" spans="2:10" hidden="1">
      <c r="B37" s="361"/>
      <c r="C37" s="367"/>
      <c r="D37" s="371" t="s">
        <v>82</v>
      </c>
      <c r="E37" s="364"/>
      <c r="F37" s="365"/>
    </row>
    <row r="38" spans="2:10" hidden="1">
      <c r="B38" s="361"/>
      <c r="C38" s="367"/>
      <c r="D38" s="371" t="s">
        <v>81</v>
      </c>
      <c r="E38" s="364"/>
      <c r="F38" s="365"/>
    </row>
    <row r="39" spans="2:10" hidden="1">
      <c r="B39" s="361"/>
      <c r="C39" s="367"/>
      <c r="D39" s="378" t="s">
        <v>66</v>
      </c>
      <c r="E39" s="364"/>
      <c r="F39" s="365"/>
    </row>
    <row r="40" spans="2:10">
      <c r="B40" s="361"/>
      <c r="C40" s="367"/>
      <c r="D40" s="380"/>
      <c r="E40" s="364"/>
      <c r="F40" s="365"/>
    </row>
    <row r="41" spans="2:10">
      <c r="B41" s="361"/>
      <c r="C41" s="376" t="s">
        <v>65</v>
      </c>
      <c r="D41" s="382"/>
      <c r="E41" s="364"/>
      <c r="F41" s="365"/>
    </row>
    <row r="42" spans="2:10">
      <c r="B42" s="361"/>
      <c r="C42" s="377"/>
      <c r="D42" s="380"/>
      <c r="E42" s="364"/>
      <c r="F42" s="365"/>
    </row>
    <row r="43" spans="2:10" ht="18.75">
      <c r="B43" s="392"/>
      <c r="C43" s="393" t="s">
        <v>80</v>
      </c>
      <c r="D43" s="404"/>
      <c r="E43" s="395"/>
      <c r="F43" s="396"/>
    </row>
    <row r="44" spans="2:10">
      <c r="B44" s="392"/>
      <c r="C44" s="391" t="s">
        <v>79</v>
      </c>
      <c r="D44" s="399" t="s">
        <v>736</v>
      </c>
      <c r="E44" s="395"/>
      <c r="F44" s="396"/>
      <c r="J44" s="272"/>
    </row>
    <row r="45" spans="2:10">
      <c r="B45" s="392"/>
      <c r="C45" s="391" t="s">
        <v>78</v>
      </c>
      <c r="D45" s="399" t="s">
        <v>736</v>
      </c>
      <c r="E45" s="395"/>
      <c r="F45" s="396"/>
      <c r="J45" s="273"/>
    </row>
    <row r="46" spans="2:10" ht="30">
      <c r="B46" s="392"/>
      <c r="C46" s="398" t="s">
        <v>77</v>
      </c>
      <c r="D46" s="399" t="s">
        <v>736</v>
      </c>
      <c r="E46" s="395"/>
      <c r="F46" s="396"/>
    </row>
    <row r="47" spans="2:10" ht="30">
      <c r="B47" s="392"/>
      <c r="C47" s="400" t="s">
        <v>76</v>
      </c>
      <c r="D47" s="399" t="s">
        <v>209</v>
      </c>
      <c r="E47" s="401"/>
      <c r="F47" s="396"/>
    </row>
    <row r="48" spans="2:10" hidden="1">
      <c r="B48" s="392"/>
      <c r="C48" s="400"/>
      <c r="D48" s="402" t="s">
        <v>209</v>
      </c>
      <c r="E48" s="395"/>
      <c r="F48" s="396"/>
    </row>
    <row r="49" spans="2:13" hidden="1">
      <c r="B49" s="392"/>
      <c r="C49" s="400"/>
      <c r="D49" s="402" t="s">
        <v>277</v>
      </c>
      <c r="E49" s="395"/>
      <c r="F49" s="396"/>
    </row>
    <row r="50" spans="2:13" hidden="1">
      <c r="B50" s="392"/>
      <c r="C50" s="400"/>
      <c r="D50" s="402" t="s">
        <v>276</v>
      </c>
      <c r="E50" s="395"/>
      <c r="F50" s="396"/>
    </row>
    <row r="51" spans="2:13" hidden="1">
      <c r="B51" s="392"/>
      <c r="C51" s="400"/>
      <c r="D51" s="402" t="s">
        <v>278</v>
      </c>
      <c r="E51" s="395"/>
      <c r="F51" s="396"/>
    </row>
    <row r="52" spans="2:13">
      <c r="B52" s="392"/>
      <c r="C52" s="403"/>
      <c r="D52" s="404"/>
      <c r="E52" s="395"/>
      <c r="F52" s="396"/>
    </row>
    <row r="53" spans="2:13" ht="18.75">
      <c r="B53" s="346"/>
      <c r="C53" s="347" t="s">
        <v>75</v>
      </c>
      <c r="D53" s="412"/>
      <c r="E53" s="349"/>
      <c r="F53" s="350"/>
    </row>
    <row r="54" spans="2:13">
      <c r="B54" s="346"/>
      <c r="C54" s="351" t="s">
        <v>74</v>
      </c>
      <c r="D54" s="413" t="s">
        <v>72</v>
      </c>
      <c r="E54" s="349"/>
      <c r="F54" s="350"/>
    </row>
    <row r="55" spans="2:13" hidden="1">
      <c r="B55" s="346"/>
      <c r="C55" s="355"/>
      <c r="D55" s="414"/>
      <c r="E55" s="349"/>
      <c r="F55" s="350"/>
    </row>
    <row r="56" spans="2:13" hidden="1">
      <c r="B56" s="346"/>
      <c r="C56" s="355"/>
      <c r="D56" s="413" t="s">
        <v>73</v>
      </c>
      <c r="E56" s="349"/>
      <c r="F56" s="350"/>
    </row>
    <row r="57" spans="2:13" hidden="1">
      <c r="B57" s="346"/>
      <c r="C57" s="355"/>
      <c r="D57" s="413" t="s">
        <v>72</v>
      </c>
      <c r="E57" s="349"/>
      <c r="F57" s="350"/>
    </row>
    <row r="58" spans="2:13" hidden="1">
      <c r="B58" s="346"/>
      <c r="C58" s="355"/>
      <c r="D58" s="413" t="s">
        <v>71</v>
      </c>
      <c r="E58" s="349"/>
      <c r="F58" s="350"/>
    </row>
    <row r="59" spans="2:13">
      <c r="B59" s="346"/>
      <c r="C59" s="351"/>
      <c r="D59" s="412"/>
      <c r="E59" s="349"/>
      <c r="F59" s="350"/>
      <c r="I59" s="8"/>
      <c r="J59" s="8"/>
      <c r="K59" s="8"/>
      <c r="L59" s="8"/>
      <c r="M59" s="8"/>
    </row>
    <row r="60" spans="2:13">
      <c r="B60" s="346"/>
      <c r="C60" s="351" t="s">
        <v>70</v>
      </c>
      <c r="D60" s="413" t="s">
        <v>69</v>
      </c>
      <c r="E60" s="349"/>
      <c r="F60" s="350"/>
      <c r="I60" s="8"/>
      <c r="J60" s="8"/>
      <c r="K60" s="8"/>
      <c r="L60" s="8"/>
      <c r="M60" s="8"/>
    </row>
    <row r="61" spans="2:13" hidden="1">
      <c r="B61" s="346"/>
      <c r="C61" s="351"/>
      <c r="D61" s="415" t="s">
        <v>69</v>
      </c>
      <c r="E61" s="411"/>
      <c r="F61" s="350"/>
      <c r="I61" s="8"/>
      <c r="J61" s="8"/>
      <c r="K61" s="8"/>
      <c r="L61" s="8"/>
      <c r="M61" s="8"/>
    </row>
    <row r="62" spans="2:13" hidden="1">
      <c r="B62" s="346"/>
      <c r="C62" s="351"/>
      <c r="D62" s="415" t="s">
        <v>68</v>
      </c>
      <c r="E62" s="411"/>
      <c r="F62" s="350"/>
      <c r="I62" s="8"/>
      <c r="J62" s="8"/>
      <c r="K62" s="8"/>
      <c r="L62" s="8"/>
      <c r="M62" s="8"/>
    </row>
    <row r="63" spans="2:13" hidden="1">
      <c r="B63" s="346"/>
      <c r="C63" s="351"/>
      <c r="D63" s="415" t="s">
        <v>67</v>
      </c>
      <c r="E63" s="411"/>
      <c r="F63" s="350"/>
      <c r="I63" s="8"/>
      <c r="J63" s="8"/>
      <c r="K63" s="8"/>
      <c r="L63" s="8"/>
      <c r="M63" s="8"/>
    </row>
    <row r="64" spans="2:13" hidden="1">
      <c r="B64" s="346"/>
      <c r="C64" s="351"/>
      <c r="D64" s="415" t="s">
        <v>66</v>
      </c>
      <c r="E64" s="411"/>
      <c r="F64" s="350"/>
      <c r="I64" s="8"/>
      <c r="J64" s="8"/>
      <c r="K64" s="8"/>
      <c r="L64" s="8"/>
      <c r="M64" s="8"/>
    </row>
    <row r="65" spans="2:13">
      <c r="B65" s="346"/>
      <c r="C65" s="354" t="s">
        <v>65</v>
      </c>
      <c r="D65" s="413"/>
      <c r="E65" s="349"/>
      <c r="F65" s="350"/>
      <c r="I65" s="8"/>
      <c r="J65" s="8"/>
      <c r="K65" s="8"/>
      <c r="L65" s="8"/>
      <c r="M65" s="8"/>
    </row>
    <row r="66" spans="2:13">
      <c r="B66" s="346"/>
      <c r="C66" s="351"/>
      <c r="D66" s="412"/>
      <c r="E66" s="349"/>
      <c r="F66" s="350"/>
      <c r="I66" s="8"/>
      <c r="J66" s="8"/>
      <c r="K66" s="274"/>
      <c r="L66" s="8"/>
      <c r="M66" s="8"/>
    </row>
    <row r="67" spans="2:13" ht="18.75">
      <c r="B67" s="419"/>
      <c r="C67" s="420" t="s">
        <v>64</v>
      </c>
      <c r="D67" s="434"/>
      <c r="E67" s="422"/>
      <c r="F67" s="423"/>
      <c r="I67" s="8"/>
      <c r="J67" s="275"/>
      <c r="K67" s="275"/>
      <c r="L67" s="8"/>
      <c r="M67" s="8"/>
    </row>
    <row r="68" spans="2:13">
      <c r="B68" s="419"/>
      <c r="C68" s="418" t="s">
        <v>118</v>
      </c>
      <c r="D68" s="424">
        <v>50000000</v>
      </c>
      <c r="E68" s="422"/>
      <c r="F68" s="423"/>
      <c r="I68" s="123"/>
      <c r="J68" s="143"/>
      <c r="K68" s="143"/>
      <c r="L68" s="8"/>
      <c r="M68" s="105"/>
    </row>
    <row r="69" spans="2:13">
      <c r="B69" s="419"/>
      <c r="C69" s="418" t="s">
        <v>107</v>
      </c>
      <c r="D69" s="427"/>
      <c r="E69" s="422"/>
      <c r="F69" s="423"/>
      <c r="I69" s="123"/>
      <c r="J69" s="166"/>
      <c r="K69" s="166"/>
      <c r="L69" s="66"/>
      <c r="M69" s="8"/>
    </row>
    <row r="70" spans="2:13">
      <c r="B70" s="419"/>
      <c r="C70" s="418" t="s">
        <v>119</v>
      </c>
      <c r="D70" s="424">
        <v>3472000</v>
      </c>
      <c r="E70" s="422"/>
      <c r="F70" s="423"/>
      <c r="I70" s="123"/>
      <c r="J70" s="276"/>
      <c r="K70" s="276"/>
      <c r="L70" s="276"/>
      <c r="M70" s="8"/>
    </row>
    <row r="71" spans="2:13">
      <c r="B71" s="419"/>
      <c r="C71" s="418"/>
      <c r="D71" s="433"/>
      <c r="E71" s="422"/>
      <c r="F71" s="423"/>
      <c r="I71" s="8"/>
      <c r="J71" s="8"/>
      <c r="K71" s="8"/>
      <c r="L71" s="8"/>
      <c r="M71" s="8"/>
    </row>
    <row r="72" spans="2:13">
      <c r="B72" s="419"/>
      <c r="C72" s="418" t="s">
        <v>223</v>
      </c>
      <c r="D72" s="426" t="s">
        <v>5</v>
      </c>
      <c r="E72" s="422"/>
      <c r="F72" s="423"/>
      <c r="I72" s="83"/>
      <c r="J72" s="143"/>
      <c r="K72" s="143"/>
      <c r="L72" s="143"/>
      <c r="M72" s="8"/>
    </row>
    <row r="73" spans="2:13">
      <c r="B73" s="419"/>
      <c r="C73" s="418" t="s">
        <v>62</v>
      </c>
      <c r="D73" s="426" t="s">
        <v>410</v>
      </c>
      <c r="E73" s="422"/>
      <c r="F73" s="423"/>
      <c r="H73" t="s">
        <v>106</v>
      </c>
      <c r="I73" s="83"/>
      <c r="J73" s="143"/>
      <c r="K73" s="143"/>
      <c r="L73" s="143"/>
      <c r="M73" s="8"/>
    </row>
    <row r="74" spans="2:13">
      <c r="B74" s="419"/>
      <c r="C74" s="418"/>
      <c r="D74" s="433"/>
      <c r="E74" s="422"/>
      <c r="F74" s="423"/>
      <c r="I74" s="277"/>
      <c r="J74" s="8"/>
      <c r="K74" s="8"/>
      <c r="L74" s="8"/>
      <c r="M74" s="8"/>
    </row>
    <row r="75" spans="2:13">
      <c r="B75" s="419"/>
      <c r="C75" s="418" t="s">
        <v>61</v>
      </c>
      <c r="D75" s="427">
        <v>0.5</v>
      </c>
      <c r="E75" s="422"/>
      <c r="F75" s="423"/>
      <c r="I75" s="8"/>
      <c r="J75" s="8"/>
      <c r="K75" s="278"/>
      <c r="L75" s="95"/>
      <c r="M75" s="8"/>
    </row>
    <row r="76" spans="2:13">
      <c r="B76" s="419"/>
      <c r="C76" s="418"/>
      <c r="D76" s="433"/>
      <c r="E76" s="422"/>
      <c r="F76" s="423"/>
      <c r="I76" s="8"/>
      <c r="J76" s="8"/>
      <c r="K76" s="8"/>
      <c r="L76" s="8"/>
      <c r="M76" s="8"/>
    </row>
    <row r="77" spans="2:13">
      <c r="B77" s="419"/>
      <c r="C77" s="428"/>
      <c r="D77" s="421"/>
      <c r="E77" s="422"/>
      <c r="F77" s="423"/>
      <c r="I77" s="8"/>
      <c r="J77" s="8"/>
      <c r="K77" s="8"/>
      <c r="L77" s="8"/>
      <c r="M77" s="8"/>
    </row>
    <row r="78" spans="2:13" ht="15.75" thickBot="1">
      <c r="B78" s="429"/>
      <c r="C78" s="430"/>
      <c r="D78" s="431"/>
      <c r="E78" s="430"/>
      <c r="F78" s="432"/>
      <c r="I78" s="8"/>
      <c r="J78" s="8"/>
      <c r="K78" s="8"/>
      <c r="L78" s="8"/>
      <c r="M78" s="8"/>
    </row>
  </sheetData>
  <dataValidations count="7">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47">
      <formula1>$D$48:$D$51</formula1>
    </dataValidation>
    <dataValidation type="list" allowBlank="1" showInputMessage="1" showErrorMessage="1" sqref="D23">
      <formula1>$D$25:$D$39</formula1>
    </dataValidation>
    <dataValidation type="list" allowBlank="1" showInputMessage="1" showErrorMessage="1" sqref="D54">
      <formula1>$D$56:$D$58</formula1>
    </dataValidation>
    <dataValidation type="list" allowBlank="1" showInputMessage="1" showErrorMessage="1" sqref="D60">
      <formula1>$D$61:$D$64</formula1>
    </dataValidation>
  </dataValidations>
  <pageMargins left="0.7" right="0.7" top="0.75" bottom="0.75" header="0.3" footer="0.3"/>
  <pageSetup paperSize="9" scale="70" orientation="portrait" copies="2" r:id="rId1"/>
</worksheet>
</file>

<file path=xl/worksheets/sheet38.xml><?xml version="1.0" encoding="utf-8"?>
<worksheet xmlns="http://schemas.openxmlformats.org/spreadsheetml/2006/main" xmlns:r="http://schemas.openxmlformats.org/officeDocument/2006/relationships">
  <sheetPr>
    <pageSetUpPr fitToPage="1"/>
  </sheetPr>
  <dimension ref="B1:AQ78"/>
  <sheetViews>
    <sheetView topLeftCell="A45" zoomScale="75" zoomScaleNormal="75" workbookViewId="0">
      <selection activeCell="D77" sqref="D77"/>
    </sheetView>
  </sheetViews>
  <sheetFormatPr defaultRowHeight="15"/>
  <cols>
    <col min="1" max="2" width="3.7109375" customWidth="1"/>
    <col min="3" max="3" width="61.42578125" bestFit="1" customWidth="1"/>
    <col min="4" max="4" width="42.85546875" style="26" customWidth="1"/>
    <col min="5" max="5" width="4.7109375" customWidth="1"/>
    <col min="6" max="7" width="3.7109375" customWidth="1"/>
    <col min="8" max="8" width="5.42578125" customWidth="1"/>
    <col min="9" max="9" width="11.7109375" bestFit="1" customWidth="1"/>
    <col min="10" max="10" width="36.7109375" customWidth="1"/>
    <col min="11" max="11" width="9.85546875" customWidth="1"/>
    <col min="12" max="12" width="6.7109375" customWidth="1"/>
    <col min="13" max="13" width="4.5703125" customWidth="1"/>
    <col min="14" max="14" width="10.42578125" customWidth="1"/>
    <col min="21" max="21" width="10.5703125" customWidth="1"/>
    <col min="22" max="22" width="9.140625" customWidth="1"/>
    <col min="23" max="23" width="10.7109375" customWidth="1"/>
    <col min="24" max="24" width="10.140625" customWidth="1"/>
    <col min="25" max="25" width="9.28515625" customWidth="1"/>
    <col min="26" max="26" width="9.7109375" customWidth="1"/>
    <col min="27" max="27" width="8.85546875" customWidth="1"/>
    <col min="28" max="28" width="9" customWidth="1"/>
    <col min="29" max="29" width="10" customWidth="1"/>
    <col min="30" max="30" width="9.140625" customWidth="1"/>
    <col min="31" max="31" width="10.140625" customWidth="1"/>
    <col min="32" max="32" width="10.28515625" customWidth="1"/>
    <col min="33" max="33" width="10.85546875" customWidth="1"/>
    <col min="34" max="34" width="10" customWidth="1"/>
    <col min="35" max="35" width="9.7109375" customWidth="1"/>
    <col min="36" max="36" width="9.5703125" customWidth="1"/>
    <col min="37" max="37" width="9.85546875" customWidth="1"/>
    <col min="38" max="38" width="9.28515625" customWidth="1"/>
    <col min="39" max="39" width="8.85546875" customWidth="1"/>
    <col min="40" max="40" width="12.140625" customWidth="1"/>
  </cols>
  <sheetData>
    <row r="1" spans="2:6" ht="18.75">
      <c r="B1" s="25" t="s">
        <v>60</v>
      </c>
    </row>
    <row r="2" spans="2:6" ht="18.75">
      <c r="B2" s="25" t="s">
        <v>347</v>
      </c>
    </row>
    <row r="3" spans="2:6" ht="18.75">
      <c r="B3" s="280" t="s">
        <v>475</v>
      </c>
    </row>
    <row r="4" spans="2:6" ht="19.5" thickBot="1">
      <c r="B4" s="25"/>
      <c r="C4" s="33"/>
    </row>
    <row r="5" spans="2:6" ht="18.75">
      <c r="B5" s="356"/>
      <c r="C5" s="357" t="s">
        <v>105</v>
      </c>
      <c r="D5" s="358"/>
      <c r="E5" s="359"/>
      <c r="F5" s="360"/>
    </row>
    <row r="6" spans="2:6" ht="18.75">
      <c r="B6" s="361"/>
      <c r="C6" s="489" t="s">
        <v>476</v>
      </c>
      <c r="D6" s="363"/>
      <c r="E6" s="364"/>
      <c r="F6" s="365"/>
    </row>
    <row r="7" spans="2:6" ht="18.75">
      <c r="B7" s="361"/>
      <c r="C7" s="488"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53" t="s">
        <v>479</v>
      </c>
      <c r="E10" s="369"/>
      <c r="F10" s="370"/>
    </row>
    <row r="11" spans="2:6" s="32" customFormat="1">
      <c r="B11" s="366"/>
      <c r="C11" s="367" t="s">
        <v>109</v>
      </c>
      <c r="D11" s="373">
        <v>40617</v>
      </c>
      <c r="E11" s="369"/>
      <c r="F11" s="370"/>
    </row>
    <row r="12" spans="2:6" s="32" customFormat="1">
      <c r="B12" s="366"/>
      <c r="C12" s="367" t="s">
        <v>101</v>
      </c>
      <c r="D12" s="373">
        <v>40816</v>
      </c>
      <c r="E12" s="369"/>
      <c r="F12" s="370"/>
    </row>
    <row r="13" spans="2:6" s="32" customFormat="1">
      <c r="B13" s="366"/>
      <c r="C13" s="367"/>
      <c r="D13" s="381"/>
      <c r="E13" s="369"/>
      <c r="F13" s="370"/>
    </row>
    <row r="14" spans="2:6">
      <c r="B14" s="361"/>
      <c r="C14" s="367" t="s">
        <v>100</v>
      </c>
      <c r="D14" s="383" t="s">
        <v>99</v>
      </c>
      <c r="E14" s="374"/>
      <c r="F14" s="365"/>
    </row>
    <row r="15" spans="2:6">
      <c r="B15" s="361"/>
      <c r="C15" s="364"/>
      <c r="D15" s="383" t="s">
        <v>98</v>
      </c>
      <c r="E15" s="374"/>
      <c r="F15" s="365"/>
    </row>
    <row r="16" spans="2:6">
      <c r="B16" s="361"/>
      <c r="C16" s="364"/>
      <c r="D16" s="383" t="s">
        <v>97</v>
      </c>
      <c r="E16" s="375" t="s">
        <v>202</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66</v>
      </c>
      <c r="E23" s="364"/>
      <c r="F23" s="365"/>
    </row>
    <row r="24" spans="2:6" hidden="1">
      <c r="B24" s="361"/>
      <c r="C24" s="367"/>
      <c r="D24" s="382"/>
      <c r="E24" s="364"/>
      <c r="F24" s="365"/>
    </row>
    <row r="25" spans="2:6" hidden="1">
      <c r="B25" s="361"/>
      <c r="C25" s="367"/>
      <c r="D25" s="382" t="s">
        <v>93</v>
      </c>
      <c r="E25" s="364"/>
      <c r="F25" s="365"/>
    </row>
    <row r="26" spans="2:6" hidden="1">
      <c r="B26" s="361"/>
      <c r="C26" s="367"/>
      <c r="D26" s="382" t="s">
        <v>58</v>
      </c>
      <c r="E26" s="364"/>
      <c r="F26" s="365"/>
    </row>
    <row r="27" spans="2:6" hidden="1">
      <c r="B27" s="361"/>
      <c r="C27" s="367"/>
      <c r="D27" s="382" t="s">
        <v>92</v>
      </c>
      <c r="E27" s="364"/>
      <c r="F27" s="365"/>
    </row>
    <row r="28" spans="2:6" hidden="1">
      <c r="B28" s="361"/>
      <c r="C28" s="367"/>
      <c r="D28" s="382" t="s">
        <v>91</v>
      </c>
      <c r="E28" s="364"/>
      <c r="F28" s="365"/>
    </row>
    <row r="29" spans="2:6" hidden="1">
      <c r="B29" s="361"/>
      <c r="C29" s="367"/>
      <c r="D29" s="382" t="s">
        <v>90</v>
      </c>
      <c r="E29" s="364"/>
      <c r="F29" s="365"/>
    </row>
    <row r="30" spans="2:6" hidden="1">
      <c r="B30" s="361"/>
      <c r="C30" s="367"/>
      <c r="D30" s="382" t="s">
        <v>89</v>
      </c>
      <c r="E30" s="364"/>
      <c r="F30" s="365"/>
    </row>
    <row r="31" spans="2:6" hidden="1">
      <c r="B31" s="361"/>
      <c r="C31" s="367"/>
      <c r="D31" s="382" t="s">
        <v>88</v>
      </c>
      <c r="E31" s="364"/>
      <c r="F31" s="365"/>
    </row>
    <row r="32" spans="2:6" hidden="1">
      <c r="B32" s="361"/>
      <c r="C32" s="367"/>
      <c r="D32" s="382" t="s">
        <v>87</v>
      </c>
      <c r="E32" s="364"/>
      <c r="F32" s="365"/>
    </row>
    <row r="33" spans="2:10" hidden="1">
      <c r="B33" s="361"/>
      <c r="C33" s="367"/>
      <c r="D33" s="382" t="s">
        <v>86</v>
      </c>
      <c r="E33" s="364"/>
      <c r="F33" s="365"/>
    </row>
    <row r="34" spans="2:10" hidden="1">
      <c r="B34" s="361"/>
      <c r="C34" s="367"/>
      <c r="D34" s="382" t="s">
        <v>85</v>
      </c>
      <c r="E34" s="364"/>
      <c r="F34" s="365"/>
    </row>
    <row r="35" spans="2:10" hidden="1">
      <c r="B35" s="361"/>
      <c r="C35" s="367"/>
      <c r="D35" s="382" t="s">
        <v>84</v>
      </c>
      <c r="E35" s="364"/>
      <c r="F35" s="365"/>
    </row>
    <row r="36" spans="2:10" hidden="1">
      <c r="B36" s="361"/>
      <c r="C36" s="367"/>
      <c r="D36" s="382" t="s">
        <v>83</v>
      </c>
      <c r="E36" s="364"/>
      <c r="F36" s="365"/>
    </row>
    <row r="37" spans="2:10" hidden="1">
      <c r="B37" s="361"/>
      <c r="C37" s="367"/>
      <c r="D37" s="382" t="s">
        <v>82</v>
      </c>
      <c r="E37" s="364"/>
      <c r="F37" s="365"/>
    </row>
    <row r="38" spans="2:10" hidden="1">
      <c r="B38" s="361"/>
      <c r="C38" s="367"/>
      <c r="D38" s="382" t="s">
        <v>81</v>
      </c>
      <c r="E38" s="364"/>
      <c r="F38" s="365"/>
    </row>
    <row r="39" spans="2:10" hidden="1">
      <c r="B39" s="361"/>
      <c r="C39" s="367"/>
      <c r="D39" s="384" t="s">
        <v>66</v>
      </c>
      <c r="E39" s="364"/>
      <c r="F39" s="365"/>
    </row>
    <row r="40" spans="2:10">
      <c r="B40" s="361"/>
      <c r="C40" s="367"/>
      <c r="D40" s="380"/>
      <c r="E40" s="364"/>
      <c r="F40" s="365"/>
    </row>
    <row r="41" spans="2:10">
      <c r="B41" s="361"/>
      <c r="C41" s="376" t="s">
        <v>65</v>
      </c>
      <c r="D41" s="382" t="s">
        <v>477</v>
      </c>
      <c r="E41" s="364"/>
      <c r="F41" s="365"/>
    </row>
    <row r="42" spans="2:10">
      <c r="B42" s="361"/>
      <c r="C42" s="377"/>
      <c r="D42" s="380"/>
      <c r="E42" s="364"/>
      <c r="F42" s="365"/>
    </row>
    <row r="43" spans="2:10" ht="18.75">
      <c r="B43" s="392"/>
      <c r="C43" s="393" t="s">
        <v>80</v>
      </c>
      <c r="D43" s="404"/>
      <c r="E43" s="395"/>
      <c r="F43" s="396"/>
    </row>
    <row r="44" spans="2:10" ht="290.25" customHeight="1">
      <c r="B44" s="392"/>
      <c r="C44" s="391" t="s">
        <v>79</v>
      </c>
      <c r="D44" s="399" t="s">
        <v>478</v>
      </c>
      <c r="E44" s="395"/>
      <c r="F44" s="396"/>
      <c r="J44" s="272"/>
    </row>
    <row r="45" spans="2:10" ht="75">
      <c r="B45" s="392"/>
      <c r="C45" s="391" t="s">
        <v>78</v>
      </c>
      <c r="D45" s="397" t="s">
        <v>364</v>
      </c>
      <c r="E45" s="395"/>
      <c r="F45" s="396"/>
      <c r="J45" s="273"/>
    </row>
    <row r="46" spans="2:10" ht="30">
      <c r="B46" s="392"/>
      <c r="C46" s="398" t="s">
        <v>77</v>
      </c>
      <c r="D46" s="399"/>
      <c r="E46" s="395"/>
      <c r="F46" s="396"/>
    </row>
    <row r="47" spans="2:10" ht="30">
      <c r="B47" s="392"/>
      <c r="C47" s="400" t="s">
        <v>76</v>
      </c>
      <c r="D47" s="399" t="s">
        <v>276</v>
      </c>
      <c r="E47" s="401"/>
      <c r="F47" s="396"/>
    </row>
    <row r="48" spans="2:10" hidden="1">
      <c r="B48" s="392"/>
      <c r="C48" s="400"/>
      <c r="D48" s="402" t="s">
        <v>209</v>
      </c>
      <c r="E48" s="395"/>
      <c r="F48" s="396"/>
    </row>
    <row r="49" spans="2:13" hidden="1">
      <c r="B49" s="392"/>
      <c r="C49" s="400"/>
      <c r="D49" s="402" t="s">
        <v>277</v>
      </c>
      <c r="E49" s="395"/>
      <c r="F49" s="396"/>
    </row>
    <row r="50" spans="2:13" hidden="1">
      <c r="B50" s="392"/>
      <c r="C50" s="400"/>
      <c r="D50" s="402" t="s">
        <v>276</v>
      </c>
      <c r="E50" s="395"/>
      <c r="F50" s="396"/>
    </row>
    <row r="51" spans="2:13" hidden="1">
      <c r="B51" s="392"/>
      <c r="C51" s="400"/>
      <c r="D51" s="402" t="s">
        <v>278</v>
      </c>
      <c r="E51" s="395"/>
      <c r="F51" s="396"/>
    </row>
    <row r="52" spans="2:13">
      <c r="B52" s="392"/>
      <c r="C52" s="403"/>
      <c r="D52" s="404"/>
      <c r="E52" s="395"/>
      <c r="F52" s="396"/>
    </row>
    <row r="53" spans="2:13" ht="18.75">
      <c r="B53" s="346"/>
      <c r="C53" s="347" t="s">
        <v>75</v>
      </c>
      <c r="D53" s="412"/>
      <c r="E53" s="349"/>
      <c r="F53" s="350"/>
    </row>
    <row r="54" spans="2:13">
      <c r="B54" s="346"/>
      <c r="C54" s="351" t="s">
        <v>74</v>
      </c>
      <c r="D54" s="413"/>
      <c r="E54" s="349"/>
      <c r="F54" s="350"/>
    </row>
    <row r="55" spans="2:13" hidden="1">
      <c r="B55" s="346"/>
      <c r="C55" s="355"/>
      <c r="D55" s="414"/>
      <c r="E55" s="349"/>
      <c r="F55" s="350"/>
    </row>
    <row r="56" spans="2:13" hidden="1">
      <c r="B56" s="346"/>
      <c r="C56" s="355"/>
      <c r="D56" s="413" t="s">
        <v>73</v>
      </c>
      <c r="E56" s="349"/>
      <c r="F56" s="350"/>
    </row>
    <row r="57" spans="2:13" hidden="1">
      <c r="B57" s="346"/>
      <c r="C57" s="355"/>
      <c r="D57" s="413" t="s">
        <v>72</v>
      </c>
      <c r="E57" s="349"/>
      <c r="F57" s="350"/>
    </row>
    <row r="58" spans="2:13" hidden="1">
      <c r="B58" s="346"/>
      <c r="C58" s="355"/>
      <c r="D58" s="413" t="s">
        <v>71</v>
      </c>
      <c r="E58" s="349"/>
      <c r="F58" s="350"/>
    </row>
    <row r="59" spans="2:13">
      <c r="B59" s="346"/>
      <c r="C59" s="351"/>
      <c r="D59" s="412"/>
      <c r="E59" s="349"/>
      <c r="F59" s="350"/>
      <c r="I59" s="8"/>
      <c r="J59" s="8"/>
      <c r="K59" s="8"/>
      <c r="L59" s="8"/>
      <c r="M59" s="8"/>
    </row>
    <row r="60" spans="2:13">
      <c r="B60" s="346"/>
      <c r="C60" s="351" t="s">
        <v>70</v>
      </c>
      <c r="D60" s="413"/>
      <c r="E60" s="349"/>
      <c r="F60" s="350"/>
      <c r="I60" s="8"/>
      <c r="J60" s="8"/>
      <c r="K60" s="8"/>
      <c r="L60" s="8"/>
      <c r="M60" s="8"/>
    </row>
    <row r="61" spans="2:13" hidden="1">
      <c r="B61" s="346"/>
      <c r="C61" s="351"/>
      <c r="D61" s="415" t="s">
        <v>69</v>
      </c>
      <c r="E61" s="411"/>
      <c r="F61" s="350"/>
      <c r="I61" s="8"/>
      <c r="J61" s="8"/>
      <c r="K61" s="8"/>
      <c r="L61" s="8"/>
      <c r="M61" s="8"/>
    </row>
    <row r="62" spans="2:13" hidden="1">
      <c r="B62" s="346"/>
      <c r="C62" s="351"/>
      <c r="D62" s="415" t="s">
        <v>68</v>
      </c>
      <c r="E62" s="411"/>
      <c r="F62" s="350"/>
      <c r="I62" s="8"/>
      <c r="J62" s="8"/>
      <c r="K62" s="8"/>
      <c r="L62" s="8"/>
      <c r="M62" s="8"/>
    </row>
    <row r="63" spans="2:13" hidden="1">
      <c r="B63" s="346"/>
      <c r="C63" s="351"/>
      <c r="D63" s="415" t="s">
        <v>67</v>
      </c>
      <c r="E63" s="411"/>
      <c r="F63" s="350"/>
      <c r="I63" s="8"/>
      <c r="J63" s="8"/>
      <c r="K63" s="8"/>
      <c r="L63" s="8"/>
      <c r="M63" s="8"/>
    </row>
    <row r="64" spans="2:13" hidden="1">
      <c r="B64" s="346"/>
      <c r="C64" s="351"/>
      <c r="D64" s="415" t="s">
        <v>66</v>
      </c>
      <c r="E64" s="411"/>
      <c r="F64" s="350"/>
      <c r="I64" s="8"/>
      <c r="J64" s="8"/>
      <c r="K64" s="8"/>
      <c r="L64" s="8"/>
      <c r="M64" s="8"/>
    </row>
    <row r="65" spans="2:43">
      <c r="B65" s="346"/>
      <c r="C65" s="354" t="s">
        <v>65</v>
      </c>
      <c r="D65" s="413"/>
      <c r="E65" s="349"/>
      <c r="F65" s="350"/>
      <c r="I65" s="8"/>
      <c r="J65" s="8"/>
      <c r="K65" s="8"/>
      <c r="L65" s="8"/>
      <c r="M65" s="8"/>
    </row>
    <row r="66" spans="2:43">
      <c r="B66" s="346"/>
      <c r="C66" s="351"/>
      <c r="D66" s="412"/>
      <c r="E66" s="349"/>
      <c r="F66" s="350"/>
      <c r="I66" s="8"/>
      <c r="J66" s="8"/>
      <c r="K66" s="274"/>
      <c r="L66" s="8"/>
      <c r="M66" s="8"/>
    </row>
    <row r="67" spans="2:43" ht="18.75">
      <c r="B67" s="419"/>
      <c r="C67" s="420" t="s">
        <v>64</v>
      </c>
      <c r="D67" s="434"/>
      <c r="E67" s="422"/>
      <c r="F67" s="423"/>
      <c r="I67" s="8" t="s">
        <v>480</v>
      </c>
      <c r="J67" s="275">
        <v>30</v>
      </c>
      <c r="K67" s="275" t="s">
        <v>481</v>
      </c>
      <c r="L67" s="8"/>
      <c r="M67" s="8"/>
    </row>
    <row r="68" spans="2:43">
      <c r="B68" s="419"/>
      <c r="C68" s="418" t="s">
        <v>118</v>
      </c>
      <c r="D68" s="437">
        <v>150000000</v>
      </c>
      <c r="E68" s="422"/>
      <c r="F68" s="423"/>
      <c r="I68" t="s">
        <v>482</v>
      </c>
      <c r="J68">
        <v>25</v>
      </c>
      <c r="K68" t="s">
        <v>481</v>
      </c>
    </row>
    <row r="69" spans="2:43">
      <c r="B69" s="419"/>
      <c r="C69" s="418" t="s">
        <v>107</v>
      </c>
      <c r="D69" s="440"/>
      <c r="E69" s="422"/>
      <c r="F69" s="423"/>
      <c r="I69" t="s">
        <v>130</v>
      </c>
      <c r="J69">
        <v>55</v>
      </c>
      <c r="K69" t="s">
        <v>481</v>
      </c>
    </row>
    <row r="70" spans="2:43">
      <c r="B70" s="419"/>
      <c r="C70" s="418" t="s">
        <v>119</v>
      </c>
      <c r="D70" s="437">
        <f>AO76*1000000</f>
        <v>801499.99999999988</v>
      </c>
      <c r="E70" s="422"/>
      <c r="F70" s="423"/>
      <c r="H70" t="s">
        <v>106</v>
      </c>
      <c r="I70" t="s">
        <v>483</v>
      </c>
      <c r="J70">
        <v>46000</v>
      </c>
      <c r="K70" t="s">
        <v>484</v>
      </c>
    </row>
    <row r="71" spans="2:43">
      <c r="B71" s="419"/>
      <c r="C71" s="418"/>
      <c r="D71" s="433"/>
      <c r="E71" s="422"/>
      <c r="F71" s="423"/>
      <c r="I71" t="s">
        <v>485</v>
      </c>
      <c r="J71">
        <v>2530000</v>
      </c>
      <c r="K71" s="512" t="s">
        <v>106</v>
      </c>
      <c r="L71" s="511" t="s">
        <v>106</v>
      </c>
      <c r="M71" s="511" t="s">
        <v>106</v>
      </c>
      <c r="N71" s="511" t="s">
        <v>9</v>
      </c>
      <c r="O71" s="511"/>
      <c r="P71" s="511"/>
      <c r="Q71" s="511"/>
      <c r="R71" s="511"/>
      <c r="S71" s="511"/>
      <c r="T71" s="511"/>
      <c r="U71" s="511"/>
      <c r="V71" s="511"/>
      <c r="W71" s="511"/>
      <c r="X71" s="511"/>
      <c r="Y71" s="511"/>
      <c r="Z71" s="511"/>
    </row>
    <row r="72" spans="2:43" ht="26.25" customHeight="1">
      <c r="B72" s="419"/>
      <c r="C72" s="418" t="s">
        <v>223</v>
      </c>
      <c r="D72" s="438" t="s">
        <v>556</v>
      </c>
      <c r="E72" s="422"/>
      <c r="F72" s="423"/>
      <c r="J72" s="501"/>
      <c r="K72">
        <v>1</v>
      </c>
      <c r="L72">
        <v>2</v>
      </c>
      <c r="M72">
        <v>3</v>
      </c>
      <c r="N72">
        <v>1</v>
      </c>
      <c r="O72">
        <v>2</v>
      </c>
      <c r="P72">
        <v>3</v>
      </c>
      <c r="Q72">
        <v>4</v>
      </c>
      <c r="R72">
        <v>5</v>
      </c>
      <c r="S72">
        <v>6</v>
      </c>
      <c r="T72">
        <v>7</v>
      </c>
      <c r="U72">
        <v>8</v>
      </c>
      <c r="V72">
        <v>9</v>
      </c>
      <c r="W72">
        <v>10</v>
      </c>
      <c r="X72">
        <v>11</v>
      </c>
      <c r="Y72">
        <v>12</v>
      </c>
      <c r="Z72">
        <v>13</v>
      </c>
      <c r="AA72">
        <v>14</v>
      </c>
      <c r="AB72">
        <v>15</v>
      </c>
      <c r="AC72">
        <v>16</v>
      </c>
      <c r="AD72">
        <v>17</v>
      </c>
      <c r="AE72">
        <v>18</v>
      </c>
      <c r="AF72">
        <v>19</v>
      </c>
      <c r="AG72">
        <v>20</v>
      </c>
      <c r="AH72">
        <v>21</v>
      </c>
      <c r="AI72">
        <v>22</v>
      </c>
      <c r="AJ72">
        <v>23</v>
      </c>
      <c r="AK72">
        <v>24</v>
      </c>
      <c r="AL72">
        <v>25</v>
      </c>
      <c r="AM72">
        <v>26</v>
      </c>
      <c r="AN72">
        <v>27</v>
      </c>
      <c r="AO72">
        <v>28</v>
      </c>
      <c r="AP72">
        <v>29</v>
      </c>
      <c r="AQ72">
        <v>30</v>
      </c>
    </row>
    <row r="73" spans="2:43" ht="21" customHeight="1">
      <c r="B73" s="419"/>
      <c r="C73" s="418" t="s">
        <v>62</v>
      </c>
      <c r="D73" s="438" t="s">
        <v>554</v>
      </c>
      <c r="E73" s="422"/>
      <c r="F73" s="423"/>
    </row>
    <row r="74" spans="2:43">
      <c r="B74" s="419"/>
      <c r="C74" s="418"/>
      <c r="D74" s="434"/>
      <c r="E74" s="422"/>
      <c r="F74" s="423"/>
      <c r="I74" t="s">
        <v>486</v>
      </c>
      <c r="N74">
        <v>0.67499999999999993</v>
      </c>
      <c r="O74">
        <v>0.67499999999999993</v>
      </c>
      <c r="P74">
        <v>0.67499999999999993</v>
      </c>
      <c r="Q74">
        <v>0.67499999999999993</v>
      </c>
      <c r="R74">
        <v>0.67499999999999993</v>
      </c>
      <c r="S74">
        <v>0.67499999999999993</v>
      </c>
      <c r="T74">
        <v>0.67499999999999993</v>
      </c>
      <c r="U74">
        <v>0.67499999999999993</v>
      </c>
      <c r="V74">
        <v>0.67499999999999993</v>
      </c>
      <c r="W74">
        <v>0.67499999999999993</v>
      </c>
      <c r="X74">
        <v>0.67499999999999993</v>
      </c>
      <c r="Y74">
        <v>0.67499999999999993</v>
      </c>
      <c r="Z74">
        <v>0.67499999999999993</v>
      </c>
      <c r="AA74">
        <v>0.67499999999999993</v>
      </c>
      <c r="AB74">
        <v>0.67499999999999993</v>
      </c>
      <c r="AC74">
        <v>0.67499999999999993</v>
      </c>
      <c r="AD74">
        <v>0.67499999999999993</v>
      </c>
      <c r="AE74">
        <v>0.67499999999999993</v>
      </c>
      <c r="AF74">
        <v>0.67499999999999993</v>
      </c>
      <c r="AG74">
        <v>0.67499999999999993</v>
      </c>
      <c r="AH74">
        <v>0.67499999999999993</v>
      </c>
      <c r="AI74">
        <v>0.67499999999999993</v>
      </c>
      <c r="AJ74">
        <v>0.67499999999999993</v>
      </c>
      <c r="AK74">
        <v>0.67499999999999993</v>
      </c>
      <c r="AL74">
        <v>0.67499999999999993</v>
      </c>
      <c r="AM74">
        <v>0.67499999999999993</v>
      </c>
      <c r="AN74">
        <v>0.67499999999999993</v>
      </c>
    </row>
    <row r="75" spans="2:43">
      <c r="B75" s="419"/>
      <c r="C75" s="418" t="s">
        <v>61</v>
      </c>
      <c r="D75" s="425">
        <v>0.5</v>
      </c>
      <c r="E75" s="422"/>
      <c r="F75" s="423"/>
      <c r="I75" t="s">
        <v>487</v>
      </c>
      <c r="N75">
        <v>0.1265</v>
      </c>
      <c r="O75">
        <v>0.1265</v>
      </c>
      <c r="P75">
        <v>0.1265</v>
      </c>
      <c r="Q75">
        <v>0.1265</v>
      </c>
      <c r="R75">
        <v>0.1265</v>
      </c>
      <c r="S75">
        <v>0.1265</v>
      </c>
      <c r="T75">
        <v>0.1265</v>
      </c>
      <c r="U75">
        <v>0.1265</v>
      </c>
      <c r="V75">
        <v>0.1265</v>
      </c>
      <c r="W75">
        <v>0.1265</v>
      </c>
      <c r="X75">
        <v>0.1265</v>
      </c>
      <c r="Y75">
        <v>0.1265</v>
      </c>
      <c r="Z75">
        <v>0.1265</v>
      </c>
      <c r="AA75">
        <v>0.1265</v>
      </c>
      <c r="AB75">
        <v>0.1265</v>
      </c>
      <c r="AC75">
        <v>0.1265</v>
      </c>
      <c r="AD75">
        <v>0.1265</v>
      </c>
      <c r="AE75">
        <v>0.1265</v>
      </c>
      <c r="AF75">
        <v>0.1265</v>
      </c>
      <c r="AG75">
        <v>0.1265</v>
      </c>
      <c r="AH75">
        <v>0.1265</v>
      </c>
      <c r="AI75">
        <v>0.1265</v>
      </c>
      <c r="AJ75">
        <v>0.1265</v>
      </c>
      <c r="AK75">
        <v>0.1265</v>
      </c>
      <c r="AL75">
        <v>0.1265</v>
      </c>
      <c r="AM75">
        <v>0.1265</v>
      </c>
      <c r="AN75">
        <v>0.1265</v>
      </c>
    </row>
    <row r="76" spans="2:43">
      <c r="B76" s="419"/>
      <c r="C76" s="418"/>
      <c r="D76" s="433"/>
      <c r="E76" s="422"/>
      <c r="F76" s="423"/>
      <c r="I76" s="506" t="s">
        <v>488</v>
      </c>
      <c r="J76" s="506"/>
      <c r="K76" s="506"/>
      <c r="L76" s="506"/>
      <c r="M76" s="506"/>
      <c r="N76" s="510">
        <v>0.80149999999999988</v>
      </c>
      <c r="O76" s="510">
        <v>0.80149999999999988</v>
      </c>
      <c r="P76" s="510">
        <v>0.80149999999999988</v>
      </c>
      <c r="Q76" s="510">
        <v>0.80149999999999988</v>
      </c>
      <c r="R76" s="510">
        <v>0.80149999999999988</v>
      </c>
      <c r="S76" s="510">
        <v>0.80149999999999988</v>
      </c>
      <c r="T76" s="510">
        <v>0.80149999999999988</v>
      </c>
      <c r="U76" s="513">
        <v>0.80149999999999988</v>
      </c>
      <c r="V76" s="506">
        <v>0.80149999999999988</v>
      </c>
      <c r="W76" s="506">
        <v>0.80149999999999988</v>
      </c>
      <c r="X76" s="506">
        <v>0.80149999999999988</v>
      </c>
      <c r="Y76" s="506">
        <v>0.80149999999999988</v>
      </c>
      <c r="Z76" s="506">
        <v>0.80149999999999988</v>
      </c>
      <c r="AA76" s="506">
        <v>0.80149999999999988</v>
      </c>
      <c r="AB76" s="506">
        <v>0.80149999999999988</v>
      </c>
      <c r="AC76" s="506">
        <v>0.80149999999999988</v>
      </c>
      <c r="AD76" s="506">
        <v>0.80149999999999988</v>
      </c>
      <c r="AE76" s="506">
        <v>0.80149999999999988</v>
      </c>
      <c r="AF76" s="506">
        <v>0.80149999999999988</v>
      </c>
      <c r="AG76" s="506">
        <v>0.80149999999999988</v>
      </c>
      <c r="AH76" s="506">
        <v>0.80149999999999988</v>
      </c>
      <c r="AI76" s="506">
        <v>0.80149999999999988</v>
      </c>
      <c r="AJ76" s="506">
        <v>0.80149999999999988</v>
      </c>
      <c r="AK76" s="506">
        <v>0.80149999999999988</v>
      </c>
      <c r="AL76" s="506">
        <v>0.80149999999999988</v>
      </c>
      <c r="AM76" s="506">
        <v>0.80149999999999988</v>
      </c>
      <c r="AN76" s="506">
        <v>0.80149999999999988</v>
      </c>
      <c r="AO76" s="506">
        <v>0.80149999999999988</v>
      </c>
      <c r="AP76" s="506">
        <v>0.80149999999999988</v>
      </c>
      <c r="AQ76" s="506">
        <v>0.80149999999999988</v>
      </c>
    </row>
    <row r="77" spans="2:43">
      <c r="B77" s="419"/>
      <c r="C77" s="428"/>
      <c r="D77" s="421"/>
      <c r="E77" s="422"/>
      <c r="F77" s="423"/>
      <c r="I77" t="s">
        <v>489</v>
      </c>
      <c r="J77">
        <v>4.9008070003405493</v>
      </c>
      <c r="N77" s="502"/>
      <c r="O77" s="502"/>
      <c r="P77" s="502"/>
      <c r="Q77" s="502"/>
      <c r="R77" s="502"/>
      <c r="S77" s="502"/>
      <c r="T77" s="502"/>
    </row>
    <row r="78" spans="2:43" ht="15.75" thickBot="1">
      <c r="B78" s="429"/>
      <c r="C78" s="430"/>
      <c r="D78" s="431"/>
      <c r="E78" s="430"/>
      <c r="F78" s="432"/>
      <c r="J78" s="503"/>
      <c r="N78" s="506">
        <f>N76*1000000</f>
        <v>801499.99999999988</v>
      </c>
      <c r="O78" s="506">
        <f t="shared" ref="O78:AQ78" si="0">O76*1000000</f>
        <v>801499.99999999988</v>
      </c>
      <c r="P78" s="506">
        <f t="shared" si="0"/>
        <v>801499.99999999988</v>
      </c>
      <c r="Q78" s="506">
        <f t="shared" si="0"/>
        <v>801499.99999999988</v>
      </c>
      <c r="R78" s="506">
        <f t="shared" si="0"/>
        <v>801499.99999999988</v>
      </c>
      <c r="S78" s="506">
        <f t="shared" si="0"/>
        <v>801499.99999999988</v>
      </c>
      <c r="T78" s="506">
        <f t="shared" si="0"/>
        <v>801499.99999999988</v>
      </c>
      <c r="U78" s="506">
        <f t="shared" si="0"/>
        <v>801499.99999999988</v>
      </c>
      <c r="V78" s="506">
        <v>801500</v>
      </c>
      <c r="W78" s="506">
        <f t="shared" si="0"/>
        <v>801499.99999999988</v>
      </c>
      <c r="X78" s="506">
        <f t="shared" si="0"/>
        <v>801499.99999999988</v>
      </c>
      <c r="Y78" s="506">
        <f t="shared" si="0"/>
        <v>801499.99999999988</v>
      </c>
      <c r="Z78" s="506">
        <f t="shared" si="0"/>
        <v>801499.99999999988</v>
      </c>
      <c r="AA78" s="506">
        <f t="shared" si="0"/>
        <v>801499.99999999988</v>
      </c>
      <c r="AB78" s="506">
        <f t="shared" si="0"/>
        <v>801499.99999999988</v>
      </c>
      <c r="AC78" s="506">
        <f t="shared" si="0"/>
        <v>801499.99999999988</v>
      </c>
      <c r="AD78" s="506">
        <f t="shared" si="0"/>
        <v>801499.99999999988</v>
      </c>
      <c r="AE78" s="506">
        <f t="shared" si="0"/>
        <v>801499.99999999988</v>
      </c>
      <c r="AF78" s="506">
        <f t="shared" si="0"/>
        <v>801499.99999999988</v>
      </c>
      <c r="AG78" s="506">
        <f t="shared" si="0"/>
        <v>801499.99999999988</v>
      </c>
      <c r="AH78" s="506">
        <f t="shared" si="0"/>
        <v>801499.99999999988</v>
      </c>
      <c r="AI78" s="506">
        <f t="shared" si="0"/>
        <v>801499.99999999988</v>
      </c>
      <c r="AJ78" s="506">
        <f t="shared" si="0"/>
        <v>801499.99999999988</v>
      </c>
      <c r="AK78" s="506">
        <f t="shared" si="0"/>
        <v>801499.99999999988</v>
      </c>
      <c r="AL78" s="506">
        <f t="shared" si="0"/>
        <v>801499.99999999988</v>
      </c>
      <c r="AM78" s="506">
        <f t="shared" si="0"/>
        <v>801499.99999999988</v>
      </c>
      <c r="AN78" s="506">
        <f t="shared" si="0"/>
        <v>801499.99999999988</v>
      </c>
      <c r="AO78" s="506">
        <f t="shared" si="0"/>
        <v>801499.99999999988</v>
      </c>
      <c r="AP78" s="506">
        <f t="shared" si="0"/>
        <v>801499.99999999988</v>
      </c>
      <c r="AQ78" s="506">
        <f t="shared" si="0"/>
        <v>801499.99999999988</v>
      </c>
    </row>
  </sheetData>
  <dataValidations count="7">
    <dataValidation type="list" allowBlank="1" showInputMessage="1" showErrorMessage="1" sqref="D54">
      <formula1>$D$55:$D$58</formula1>
    </dataValidation>
    <dataValidation type="list" allowBlank="1" showInputMessage="1" showErrorMessage="1" sqref="D23">
      <formula1>$D$24:$D$39</formula1>
    </dataValidation>
    <dataValidation type="list" allowBlank="1" showInputMessage="1" showErrorMessage="1" sqref="D47">
      <formula1>$D$48:$D$51</formula1>
    </dataValidation>
    <dataValidation type="list" allowBlank="1" showInputMessage="1" showErrorMessage="1" sqref="E22 D24">
      <formula1>$D$25:$D$39</formula1>
    </dataValidation>
    <dataValidation type="list" allowBlank="1" showInputMessage="1" showErrorMessage="1" sqref="E58">
      <formula1>#REF!</formula1>
    </dataValidation>
    <dataValidation type="list" allowBlank="1" showInputMessage="1" showErrorMessage="1" sqref="E55">
      <formula1>$D$56:$D$57</formula1>
    </dataValidation>
    <dataValidation type="list" allowBlank="1" showInputMessage="1" showErrorMessage="1" sqref="D60:E60">
      <formula1>$D$61:$D$64</formula1>
    </dataValidation>
  </dataValidations>
  <pageMargins left="0.7" right="0.7" top="0.75" bottom="0.75" header="0.3" footer="0.3"/>
  <pageSetup paperSize="9" scale="42" orientation="landscape" copies="2" r:id="rId1"/>
</worksheet>
</file>

<file path=xl/worksheets/sheet39.xml><?xml version="1.0" encoding="utf-8"?>
<worksheet xmlns="http://schemas.openxmlformats.org/spreadsheetml/2006/main" xmlns:r="http://schemas.openxmlformats.org/officeDocument/2006/relationships">
  <sheetPr>
    <pageSetUpPr fitToPage="1"/>
  </sheetPr>
  <dimension ref="B1:AQ129"/>
  <sheetViews>
    <sheetView topLeftCell="A66" zoomScale="75" zoomScaleNormal="75" workbookViewId="0">
      <selection activeCell="F77" sqref="A1:F77"/>
    </sheetView>
  </sheetViews>
  <sheetFormatPr defaultRowHeight="15"/>
  <cols>
    <col min="1" max="2" width="3.7109375" customWidth="1"/>
    <col min="3" max="3" width="61.42578125" bestFit="1" customWidth="1"/>
    <col min="4" max="4" width="42.85546875" style="26" customWidth="1"/>
    <col min="5" max="5" width="4.7109375" customWidth="1"/>
    <col min="6" max="7" width="3.7109375" customWidth="1"/>
    <col min="8" max="8" width="4.28515625" customWidth="1"/>
    <col min="9" max="9" width="4.7109375" customWidth="1"/>
    <col min="10" max="10" width="2.28515625" customWidth="1"/>
    <col min="11" max="11" width="26.5703125" customWidth="1"/>
    <col min="12" max="12" width="9.140625" customWidth="1"/>
    <col min="13" max="13" width="9.42578125" customWidth="1"/>
    <col min="14" max="14" width="8.42578125" customWidth="1"/>
    <col min="19" max="19" width="11.5703125" bestFit="1" customWidth="1"/>
    <col min="20" max="20" width="10.42578125" customWidth="1"/>
    <col min="37" max="37" width="9.28515625" bestFit="1" customWidth="1"/>
  </cols>
  <sheetData>
    <row r="1" spans="2:6" ht="18.75">
      <c r="B1" s="280" t="s">
        <v>60</v>
      </c>
    </row>
    <row r="2" spans="2:6" ht="18.75">
      <c r="B2" s="280" t="s">
        <v>347</v>
      </c>
    </row>
    <row r="3" spans="2:6" ht="18.75">
      <c r="B3" s="280" t="s">
        <v>517</v>
      </c>
    </row>
    <row r="4" spans="2:6" ht="19.5" thickBot="1">
      <c r="B4" s="280"/>
      <c r="C4" s="50"/>
    </row>
    <row r="5" spans="2:6" ht="18.75">
      <c r="B5" s="356"/>
      <c r="C5" s="386" t="s">
        <v>105</v>
      </c>
      <c r="D5" s="358"/>
      <c r="E5" s="359"/>
      <c r="F5" s="360"/>
    </row>
    <row r="6" spans="2:6" ht="18.75">
      <c r="B6" s="361"/>
      <c r="C6" s="489" t="s">
        <v>517</v>
      </c>
      <c r="D6" s="363"/>
      <c r="E6" s="364"/>
      <c r="F6" s="365"/>
    </row>
    <row r="7" spans="2:6" ht="18.75">
      <c r="B7" s="361"/>
      <c r="C7" s="489"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53" t="s">
        <v>512</v>
      </c>
      <c r="E10" s="369"/>
      <c r="F10" s="370"/>
    </row>
    <row r="11" spans="2:6" s="32" customFormat="1">
      <c r="B11" s="366"/>
      <c r="C11" s="367" t="s">
        <v>109</v>
      </c>
      <c r="D11" s="373">
        <v>40633</v>
      </c>
      <c r="E11" s="369"/>
      <c r="F11" s="370"/>
    </row>
    <row r="12" spans="2:6" s="32" customFormat="1">
      <c r="B12" s="366"/>
      <c r="C12" s="367" t="s">
        <v>101</v>
      </c>
      <c r="D12" s="373">
        <v>40816</v>
      </c>
      <c r="E12" s="369"/>
      <c r="F12" s="370"/>
    </row>
    <row r="13" spans="2:6" s="32" customFormat="1">
      <c r="B13" s="366"/>
      <c r="C13" s="367"/>
      <c r="D13" s="381"/>
      <c r="E13" s="369"/>
      <c r="F13" s="370"/>
    </row>
    <row r="14" spans="2:6">
      <c r="B14" s="361"/>
      <c r="C14" s="367" t="s">
        <v>100</v>
      </c>
      <c r="D14" s="383" t="s">
        <v>99</v>
      </c>
      <c r="E14" s="374"/>
      <c r="F14" s="365"/>
    </row>
    <row r="15" spans="2:6">
      <c r="B15" s="361"/>
      <c r="C15" s="364"/>
      <c r="D15" s="383" t="s">
        <v>98</v>
      </c>
      <c r="E15" s="374"/>
      <c r="F15" s="365"/>
    </row>
    <row r="16" spans="2:6">
      <c r="B16" s="361"/>
      <c r="C16" s="364"/>
      <c r="D16" s="383" t="s">
        <v>97</v>
      </c>
      <c r="E16" s="375" t="s">
        <v>96</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66</v>
      </c>
      <c r="E23" s="364"/>
      <c r="F23" s="365"/>
    </row>
    <row r="24" spans="2:6" hidden="1">
      <c r="B24" s="361"/>
      <c r="C24" s="367"/>
      <c r="D24" s="382"/>
      <c r="E24" s="364"/>
      <c r="F24" s="365"/>
    </row>
    <row r="25" spans="2:6" hidden="1">
      <c r="B25" s="361"/>
      <c r="C25" s="367"/>
      <c r="D25" s="382" t="s">
        <v>93</v>
      </c>
      <c r="E25" s="364"/>
      <c r="F25" s="365"/>
    </row>
    <row r="26" spans="2:6" hidden="1">
      <c r="B26" s="361"/>
      <c r="C26" s="367"/>
      <c r="D26" s="382" t="s">
        <v>58</v>
      </c>
      <c r="E26" s="364"/>
      <c r="F26" s="365"/>
    </row>
    <row r="27" spans="2:6" hidden="1">
      <c r="B27" s="361"/>
      <c r="C27" s="367"/>
      <c r="D27" s="382" t="s">
        <v>92</v>
      </c>
      <c r="E27" s="364"/>
      <c r="F27" s="365"/>
    </row>
    <row r="28" spans="2:6" hidden="1">
      <c r="B28" s="361"/>
      <c r="C28" s="367"/>
      <c r="D28" s="382" t="s">
        <v>91</v>
      </c>
      <c r="E28" s="364"/>
      <c r="F28" s="365"/>
    </row>
    <row r="29" spans="2:6" hidden="1">
      <c r="B29" s="361"/>
      <c r="C29" s="367"/>
      <c r="D29" s="382" t="s">
        <v>90</v>
      </c>
      <c r="E29" s="364"/>
      <c r="F29" s="365"/>
    </row>
    <row r="30" spans="2:6" hidden="1">
      <c r="B30" s="361"/>
      <c r="C30" s="367"/>
      <c r="D30" s="382" t="s">
        <v>89</v>
      </c>
      <c r="E30" s="364"/>
      <c r="F30" s="365"/>
    </row>
    <row r="31" spans="2:6" hidden="1">
      <c r="B31" s="361"/>
      <c r="C31" s="367"/>
      <c r="D31" s="382" t="s">
        <v>88</v>
      </c>
      <c r="E31" s="364"/>
      <c r="F31" s="365"/>
    </row>
    <row r="32" spans="2:6" hidden="1">
      <c r="B32" s="361"/>
      <c r="C32" s="367"/>
      <c r="D32" s="382" t="s">
        <v>87</v>
      </c>
      <c r="E32" s="364"/>
      <c r="F32" s="365"/>
    </row>
    <row r="33" spans="2:10" hidden="1">
      <c r="B33" s="361"/>
      <c r="C33" s="367"/>
      <c r="D33" s="382" t="s">
        <v>86</v>
      </c>
      <c r="E33" s="364"/>
      <c r="F33" s="365"/>
    </row>
    <row r="34" spans="2:10" hidden="1">
      <c r="B34" s="361"/>
      <c r="C34" s="367"/>
      <c r="D34" s="382" t="s">
        <v>85</v>
      </c>
      <c r="E34" s="364"/>
      <c r="F34" s="365"/>
    </row>
    <row r="35" spans="2:10" hidden="1">
      <c r="B35" s="361"/>
      <c r="C35" s="367"/>
      <c r="D35" s="382" t="s">
        <v>84</v>
      </c>
      <c r="E35" s="364"/>
      <c r="F35" s="365"/>
    </row>
    <row r="36" spans="2:10" hidden="1">
      <c r="B36" s="361"/>
      <c r="C36" s="367"/>
      <c r="D36" s="382" t="s">
        <v>83</v>
      </c>
      <c r="E36" s="364"/>
      <c r="F36" s="365"/>
    </row>
    <row r="37" spans="2:10" hidden="1">
      <c r="B37" s="361"/>
      <c r="C37" s="367"/>
      <c r="D37" s="382" t="s">
        <v>82</v>
      </c>
      <c r="E37" s="364"/>
      <c r="F37" s="365"/>
    </row>
    <row r="38" spans="2:10" hidden="1">
      <c r="B38" s="361"/>
      <c r="C38" s="367"/>
      <c r="D38" s="382" t="s">
        <v>81</v>
      </c>
      <c r="E38" s="364"/>
      <c r="F38" s="365"/>
    </row>
    <row r="39" spans="2:10" hidden="1">
      <c r="B39" s="361"/>
      <c r="C39" s="367"/>
      <c r="D39" s="384" t="s">
        <v>66</v>
      </c>
      <c r="E39" s="364"/>
      <c r="F39" s="365"/>
    </row>
    <row r="40" spans="2:10">
      <c r="B40" s="361"/>
      <c r="C40" s="367"/>
      <c r="D40" s="380"/>
      <c r="E40" s="364"/>
      <c r="F40" s="365"/>
    </row>
    <row r="41" spans="2:10">
      <c r="B41" s="361"/>
      <c r="C41" s="376" t="s">
        <v>65</v>
      </c>
      <c r="D41" s="382" t="s">
        <v>513</v>
      </c>
      <c r="E41" s="364"/>
      <c r="F41" s="365"/>
    </row>
    <row r="42" spans="2:10">
      <c r="B42" s="361"/>
      <c r="C42" s="377"/>
      <c r="D42" s="380"/>
      <c r="E42" s="364"/>
      <c r="F42" s="365"/>
    </row>
    <row r="43" spans="2:10" ht="18.75">
      <c r="B43" s="392"/>
      <c r="C43" s="393" t="s">
        <v>80</v>
      </c>
      <c r="D43" s="404"/>
      <c r="E43" s="395"/>
      <c r="F43" s="396"/>
    </row>
    <row r="44" spans="2:10" ht="105">
      <c r="B44" s="392"/>
      <c r="C44" s="391" t="s">
        <v>79</v>
      </c>
      <c r="D44" s="399" t="s">
        <v>514</v>
      </c>
      <c r="E44" s="395"/>
      <c r="F44" s="396"/>
      <c r="J44" s="272"/>
    </row>
    <row r="45" spans="2:10">
      <c r="B45" s="392"/>
      <c r="C45" s="391" t="s">
        <v>78</v>
      </c>
      <c r="D45" s="397"/>
      <c r="E45" s="395"/>
      <c r="F45" s="396"/>
      <c r="J45" s="273"/>
    </row>
    <row r="46" spans="2:10" ht="75">
      <c r="B46" s="392"/>
      <c r="C46" s="398" t="s">
        <v>77</v>
      </c>
      <c r="D46" s="399" t="s">
        <v>515</v>
      </c>
      <c r="E46" s="395"/>
      <c r="F46" s="396"/>
    </row>
    <row r="47" spans="2:10" ht="30">
      <c r="B47" s="392"/>
      <c r="C47" s="400" t="s">
        <v>76</v>
      </c>
      <c r="D47" s="399" t="s">
        <v>278</v>
      </c>
      <c r="E47" s="401"/>
      <c r="F47" s="396"/>
    </row>
    <row r="48" spans="2:10" hidden="1">
      <c r="B48" s="392"/>
      <c r="C48" s="400"/>
      <c r="D48" s="402" t="s">
        <v>209</v>
      </c>
      <c r="E48" s="395"/>
      <c r="F48" s="396"/>
    </row>
    <row r="49" spans="2:13" hidden="1">
      <c r="B49" s="392"/>
      <c r="C49" s="400"/>
      <c r="D49" s="402" t="s">
        <v>277</v>
      </c>
      <c r="E49" s="395"/>
      <c r="F49" s="396"/>
    </row>
    <row r="50" spans="2:13" hidden="1">
      <c r="B50" s="392"/>
      <c r="C50" s="400"/>
      <c r="D50" s="402" t="s">
        <v>276</v>
      </c>
      <c r="E50" s="395"/>
      <c r="F50" s="396"/>
    </row>
    <row r="51" spans="2:13" hidden="1">
      <c r="B51" s="392"/>
      <c r="C51" s="400"/>
      <c r="D51" s="402" t="s">
        <v>278</v>
      </c>
      <c r="E51" s="395"/>
      <c r="F51" s="396"/>
    </row>
    <row r="52" spans="2:13">
      <c r="B52" s="392"/>
      <c r="C52" s="403"/>
      <c r="D52" s="404"/>
      <c r="E52" s="395"/>
      <c r="F52" s="396"/>
    </row>
    <row r="53" spans="2:13" ht="18.75">
      <c r="B53" s="346"/>
      <c r="C53" s="347" t="s">
        <v>75</v>
      </c>
      <c r="D53" s="412"/>
      <c r="E53" s="349"/>
      <c r="F53" s="350"/>
    </row>
    <row r="54" spans="2:13">
      <c r="B54" s="346"/>
      <c r="C54" s="351" t="s">
        <v>74</v>
      </c>
      <c r="D54" s="413" t="s">
        <v>72</v>
      </c>
      <c r="E54" s="349"/>
      <c r="F54" s="350"/>
    </row>
    <row r="55" spans="2:13" hidden="1">
      <c r="B55" s="346"/>
      <c r="C55" s="355"/>
      <c r="D55" s="414"/>
      <c r="E55" s="349"/>
      <c r="F55" s="350"/>
    </row>
    <row r="56" spans="2:13" hidden="1">
      <c r="B56" s="346"/>
      <c r="C56" s="355"/>
      <c r="D56" s="413" t="s">
        <v>73</v>
      </c>
      <c r="E56" s="349"/>
      <c r="F56" s="350"/>
    </row>
    <row r="57" spans="2:13" hidden="1">
      <c r="B57" s="346"/>
      <c r="C57" s="355"/>
      <c r="D57" s="413" t="s">
        <v>72</v>
      </c>
      <c r="E57" s="349"/>
      <c r="F57" s="350"/>
    </row>
    <row r="58" spans="2:13" hidden="1">
      <c r="B58" s="346"/>
      <c r="C58" s="355"/>
      <c r="D58" s="413" t="s">
        <v>71</v>
      </c>
      <c r="E58" s="349"/>
      <c r="F58" s="350"/>
    </row>
    <row r="59" spans="2:13">
      <c r="B59" s="346"/>
      <c r="C59" s="351"/>
      <c r="D59" s="412"/>
      <c r="E59" s="349"/>
      <c r="F59" s="350"/>
      <c r="I59" s="8"/>
      <c r="J59" s="8"/>
      <c r="K59" s="8"/>
      <c r="L59" s="8"/>
      <c r="M59" s="8"/>
    </row>
    <row r="60" spans="2:13">
      <c r="B60" s="346"/>
      <c r="C60" s="351" t="s">
        <v>70</v>
      </c>
      <c r="D60" s="413" t="s">
        <v>69</v>
      </c>
      <c r="E60" s="349"/>
      <c r="F60" s="350"/>
      <c r="I60" s="8"/>
      <c r="J60" s="8"/>
      <c r="K60" s="8"/>
      <c r="L60" s="8"/>
      <c r="M60" s="8"/>
    </row>
    <row r="61" spans="2:13" hidden="1">
      <c r="B61" s="346"/>
      <c r="C61" s="351"/>
      <c r="D61" s="415" t="s">
        <v>69</v>
      </c>
      <c r="E61" s="411"/>
      <c r="F61" s="350"/>
      <c r="I61" s="8"/>
      <c r="J61" s="8"/>
      <c r="K61" s="8"/>
      <c r="L61" s="8"/>
      <c r="M61" s="8"/>
    </row>
    <row r="62" spans="2:13" hidden="1">
      <c r="B62" s="346"/>
      <c r="C62" s="351"/>
      <c r="D62" s="415" t="s">
        <v>68</v>
      </c>
      <c r="E62" s="411"/>
      <c r="F62" s="350"/>
      <c r="I62" s="8"/>
      <c r="J62" s="8"/>
      <c r="K62" s="8"/>
      <c r="L62" s="8"/>
      <c r="M62" s="8"/>
    </row>
    <row r="63" spans="2:13" hidden="1">
      <c r="B63" s="346"/>
      <c r="C63" s="351"/>
      <c r="D63" s="415" t="s">
        <v>67</v>
      </c>
      <c r="E63" s="411"/>
      <c r="F63" s="350"/>
      <c r="I63" s="8"/>
      <c r="J63" s="8"/>
      <c r="K63" s="8"/>
      <c r="L63" s="8"/>
      <c r="M63" s="8"/>
    </row>
    <row r="64" spans="2:13" hidden="1">
      <c r="B64" s="346"/>
      <c r="C64" s="351"/>
      <c r="D64" s="415" t="s">
        <v>66</v>
      </c>
      <c r="E64" s="411"/>
      <c r="F64" s="350"/>
      <c r="I64" s="8"/>
      <c r="J64" s="8"/>
      <c r="K64" s="8"/>
      <c r="L64" s="8"/>
      <c r="M64" s="8"/>
    </row>
    <row r="65" spans="2:43">
      <c r="B65" s="346"/>
      <c r="C65" s="354" t="s">
        <v>65</v>
      </c>
      <c r="D65" s="413"/>
      <c r="E65" s="349"/>
      <c r="F65" s="350"/>
      <c r="I65" s="8"/>
      <c r="J65" s="8"/>
      <c r="K65" s="8"/>
      <c r="L65" s="8"/>
      <c r="M65" s="8"/>
    </row>
    <row r="66" spans="2:43">
      <c r="B66" s="346"/>
      <c r="C66" s="351"/>
      <c r="D66" s="412"/>
      <c r="E66" s="349"/>
      <c r="F66" s="350"/>
      <c r="I66" s="8"/>
      <c r="J66" s="8"/>
      <c r="K66" s="274"/>
      <c r="L66" s="8"/>
      <c r="M66" s="8"/>
    </row>
    <row r="67" spans="2:43" ht="18.75">
      <c r="B67" s="419"/>
      <c r="C67" s="420" t="s">
        <v>64</v>
      </c>
      <c r="D67" s="434"/>
      <c r="E67" s="422"/>
      <c r="F67" s="423"/>
      <c r="I67" s="8"/>
      <c r="J67" s="275"/>
      <c r="K67" s="275"/>
      <c r="L67" s="8"/>
      <c r="M67" s="8"/>
    </row>
    <row r="68" spans="2:43">
      <c r="B68" s="419"/>
      <c r="C68" s="418" t="s">
        <v>118</v>
      </c>
      <c r="D68" s="437"/>
      <c r="E68" s="422"/>
      <c r="F68" s="423"/>
    </row>
    <row r="69" spans="2:43">
      <c r="B69" s="419"/>
      <c r="C69" s="418" t="s">
        <v>107</v>
      </c>
      <c r="D69" s="440"/>
      <c r="E69" s="422"/>
      <c r="F69" s="423"/>
      <c r="L69" t="s">
        <v>6</v>
      </c>
      <c r="M69" t="s">
        <v>7</v>
      </c>
      <c r="N69" t="s">
        <v>8</v>
      </c>
      <c r="O69" t="s">
        <v>9</v>
      </c>
      <c r="P69" t="s">
        <v>10</v>
      </c>
      <c r="Q69" t="s">
        <v>11</v>
      </c>
      <c r="R69" t="s">
        <v>13</v>
      </c>
      <c r="S69" t="s">
        <v>14</v>
      </c>
      <c r="T69" t="s">
        <v>15</v>
      </c>
      <c r="U69" t="s">
        <v>16</v>
      </c>
      <c r="V69" t="s">
        <v>557</v>
      </c>
      <c r="W69" t="s">
        <v>558</v>
      </c>
      <c r="X69" t="s">
        <v>559</v>
      </c>
      <c r="Y69" t="s">
        <v>560</v>
      </c>
      <c r="Z69" t="s">
        <v>561</v>
      </c>
      <c r="AA69" t="s">
        <v>562</v>
      </c>
      <c r="AB69" t="s">
        <v>563</v>
      </c>
      <c r="AC69" t="s">
        <v>564</v>
      </c>
      <c r="AD69" t="s">
        <v>565</v>
      </c>
      <c r="AE69" t="s">
        <v>566</v>
      </c>
      <c r="AF69" t="s">
        <v>567</v>
      </c>
      <c r="AG69" t="s">
        <v>568</v>
      </c>
      <c r="AH69" t="s">
        <v>569</v>
      </c>
      <c r="AI69" t="s">
        <v>570</v>
      </c>
      <c r="AJ69" t="s">
        <v>571</v>
      </c>
      <c r="AK69" t="s">
        <v>709</v>
      </c>
      <c r="AL69" t="s">
        <v>710</v>
      </c>
      <c r="AM69" t="s">
        <v>711</v>
      </c>
      <c r="AN69" t="s">
        <v>712</v>
      </c>
      <c r="AO69" t="s">
        <v>713</v>
      </c>
      <c r="AP69" t="s">
        <v>714</v>
      </c>
    </row>
    <row r="70" spans="2:43">
      <c r="B70" s="419"/>
      <c r="C70" s="418" t="s">
        <v>119</v>
      </c>
      <c r="D70" s="437">
        <f>(SUM(L75:AO75))*1000</f>
        <v>9493750</v>
      </c>
      <c r="E70" s="422"/>
      <c r="F70" s="423"/>
      <c r="H70" s="8"/>
      <c r="I70" s="8"/>
      <c r="J70" s="8"/>
      <c r="K70" s="8"/>
      <c r="L70" s="8">
        <v>1</v>
      </c>
      <c r="M70" s="8">
        <v>2</v>
      </c>
      <c r="N70" s="8">
        <v>3</v>
      </c>
      <c r="O70" s="8">
        <v>4</v>
      </c>
      <c r="P70" s="8">
        <v>5</v>
      </c>
      <c r="Q70" s="8">
        <v>6</v>
      </c>
      <c r="R70" s="8">
        <v>7</v>
      </c>
      <c r="S70" s="8">
        <v>8</v>
      </c>
      <c r="T70" s="8">
        <v>9</v>
      </c>
      <c r="U70">
        <v>10</v>
      </c>
      <c r="V70">
        <v>11</v>
      </c>
      <c r="W70">
        <v>12</v>
      </c>
      <c r="X70">
        <v>13</v>
      </c>
      <c r="Y70">
        <v>14</v>
      </c>
      <c r="Z70">
        <v>15</v>
      </c>
      <c r="AA70">
        <v>16</v>
      </c>
      <c r="AB70">
        <v>17</v>
      </c>
      <c r="AC70">
        <v>18</v>
      </c>
      <c r="AD70">
        <v>19</v>
      </c>
      <c r="AE70">
        <v>20</v>
      </c>
      <c r="AF70">
        <v>21</v>
      </c>
      <c r="AG70">
        <v>22</v>
      </c>
      <c r="AH70">
        <v>23</v>
      </c>
      <c r="AI70">
        <v>24</v>
      </c>
      <c r="AJ70">
        <v>25</v>
      </c>
      <c r="AK70">
        <v>26</v>
      </c>
      <c r="AL70">
        <v>27</v>
      </c>
      <c r="AM70">
        <v>28</v>
      </c>
      <c r="AN70">
        <v>29</v>
      </c>
      <c r="AO70">
        <v>30</v>
      </c>
      <c r="AP70">
        <v>31</v>
      </c>
    </row>
    <row r="71" spans="2:43">
      <c r="B71" s="419"/>
      <c r="C71" s="418"/>
      <c r="D71" s="433"/>
      <c r="E71" s="422"/>
      <c r="F71" s="423"/>
      <c r="H71" s="8"/>
      <c r="I71" s="8"/>
      <c r="J71" s="8"/>
      <c r="K71" s="8"/>
      <c r="L71" s="8"/>
      <c r="M71" s="8"/>
      <c r="N71" s="8"/>
      <c r="O71" s="8"/>
      <c r="P71" s="8"/>
      <c r="Q71" s="8"/>
      <c r="R71" s="8"/>
      <c r="S71" s="8"/>
      <c r="T71" s="8"/>
    </row>
    <row r="72" spans="2:43">
      <c r="B72" s="419"/>
      <c r="C72" s="418" t="s">
        <v>223</v>
      </c>
      <c r="D72" s="438" t="s">
        <v>516</v>
      </c>
      <c r="E72" s="422"/>
      <c r="F72" s="423"/>
      <c r="H72" s="8"/>
      <c r="I72" s="8"/>
      <c r="J72" s="8"/>
      <c r="K72" t="s">
        <v>519</v>
      </c>
      <c r="L72">
        <f>0</f>
        <v>0</v>
      </c>
      <c r="M72">
        <f>M107*$L$84</f>
        <v>350</v>
      </c>
      <c r="N72">
        <f>N107*$L$84</f>
        <v>350</v>
      </c>
      <c r="O72">
        <f>O107*$L$84</f>
        <v>525</v>
      </c>
      <c r="P72">
        <v>0</v>
      </c>
      <c r="Q72">
        <v>0</v>
      </c>
      <c r="R72">
        <v>0</v>
      </c>
      <c r="S72">
        <v>0</v>
      </c>
      <c r="T72">
        <v>0</v>
      </c>
      <c r="U72">
        <v>0</v>
      </c>
      <c r="V72">
        <v>0</v>
      </c>
      <c r="W72">
        <f>0</f>
        <v>0</v>
      </c>
      <c r="X72">
        <f t="shared" ref="X72:Z72" si="0">X107*$L$84</f>
        <v>0</v>
      </c>
      <c r="Y72">
        <f t="shared" si="0"/>
        <v>0</v>
      </c>
      <c r="Z72">
        <f t="shared" si="0"/>
        <v>0</v>
      </c>
    </row>
    <row r="73" spans="2:43">
      <c r="B73" s="419"/>
      <c r="C73" s="418" t="s">
        <v>62</v>
      </c>
      <c r="D73" s="438" t="s">
        <v>518</v>
      </c>
      <c r="E73" s="422"/>
      <c r="F73" s="423"/>
      <c r="H73" s="8"/>
      <c r="I73" s="8"/>
      <c r="J73" s="8"/>
      <c r="L73">
        <v>0</v>
      </c>
      <c r="M73">
        <f>M116*N85</f>
        <v>0</v>
      </c>
      <c r="N73">
        <f>N116*N85</f>
        <v>0</v>
      </c>
      <c r="O73">
        <f>O116*N85</f>
        <v>0</v>
      </c>
      <c r="P73">
        <f t="shared" ref="P73:U73" si="1">O73</f>
        <v>0</v>
      </c>
      <c r="Q73">
        <f t="shared" si="1"/>
        <v>0</v>
      </c>
      <c r="R73">
        <f t="shared" si="1"/>
        <v>0</v>
      </c>
      <c r="S73">
        <f t="shared" si="1"/>
        <v>0</v>
      </c>
      <c r="T73">
        <f t="shared" si="1"/>
        <v>0</v>
      </c>
      <c r="U73">
        <f t="shared" si="1"/>
        <v>0</v>
      </c>
      <c r="V73">
        <v>0</v>
      </c>
      <c r="W73">
        <v>0</v>
      </c>
      <c r="X73">
        <f t="shared" ref="X73" si="2">X116*Y85</f>
        <v>0</v>
      </c>
      <c r="Y73">
        <f t="shared" ref="Y73" si="3">Y116*Y85</f>
        <v>0</v>
      </c>
      <c r="Z73">
        <f t="shared" ref="Z73" si="4">Z116*Y85</f>
        <v>0</v>
      </c>
      <c r="AA73">
        <f t="shared" ref="AA73:AF73" si="5">Z73</f>
        <v>0</v>
      </c>
      <c r="AB73">
        <f t="shared" si="5"/>
        <v>0</v>
      </c>
      <c r="AC73">
        <f t="shared" si="5"/>
        <v>0</v>
      </c>
      <c r="AD73">
        <f t="shared" si="5"/>
        <v>0</v>
      </c>
      <c r="AE73">
        <f t="shared" si="5"/>
        <v>0</v>
      </c>
      <c r="AF73">
        <f t="shared" si="5"/>
        <v>0</v>
      </c>
    </row>
    <row r="74" spans="2:43">
      <c r="B74" s="419"/>
      <c r="C74" s="418"/>
      <c r="D74" s="434"/>
      <c r="E74" s="422"/>
      <c r="F74" s="423"/>
      <c r="H74" s="8"/>
      <c r="I74" s="8"/>
      <c r="J74" s="8"/>
      <c r="K74" t="s">
        <v>572</v>
      </c>
      <c r="L74" s="507">
        <f>L129</f>
        <v>0</v>
      </c>
      <c r="M74" s="507">
        <f t="shared" ref="M74:AQ74" si="6">M129</f>
        <v>0</v>
      </c>
      <c r="N74" s="507">
        <f t="shared" si="6"/>
        <v>0</v>
      </c>
      <c r="O74" s="507">
        <f t="shared" si="6"/>
        <v>94.5</v>
      </c>
      <c r="P74" s="507">
        <f t="shared" si="6"/>
        <v>189</v>
      </c>
      <c r="Q74" s="507">
        <f t="shared" si="6"/>
        <v>330.75</v>
      </c>
      <c r="R74" s="507">
        <f t="shared" si="6"/>
        <v>330.75</v>
      </c>
      <c r="S74" s="507">
        <f t="shared" si="6"/>
        <v>330.75</v>
      </c>
      <c r="T74" s="507">
        <f t="shared" si="6"/>
        <v>330.75</v>
      </c>
      <c r="U74" s="507">
        <f t="shared" si="6"/>
        <v>330.75</v>
      </c>
      <c r="V74" s="507">
        <f t="shared" si="6"/>
        <v>330.75</v>
      </c>
      <c r="W74" s="507">
        <f t="shared" si="6"/>
        <v>330.75</v>
      </c>
      <c r="X74" s="507">
        <f t="shared" si="6"/>
        <v>330.75</v>
      </c>
      <c r="Y74" s="507">
        <f t="shared" si="6"/>
        <v>330.75</v>
      </c>
      <c r="Z74" s="507">
        <f t="shared" si="6"/>
        <v>330.75</v>
      </c>
      <c r="AA74" s="507">
        <f t="shared" si="6"/>
        <v>330.75</v>
      </c>
      <c r="AB74" s="507">
        <f t="shared" si="6"/>
        <v>330.75</v>
      </c>
      <c r="AC74" s="507">
        <f t="shared" si="6"/>
        <v>330.75</v>
      </c>
      <c r="AD74" s="507">
        <f t="shared" si="6"/>
        <v>330.75</v>
      </c>
      <c r="AE74" s="507">
        <f t="shared" si="6"/>
        <v>330.75</v>
      </c>
      <c r="AF74" s="507">
        <f t="shared" si="6"/>
        <v>330.75</v>
      </c>
      <c r="AG74" s="507">
        <f t="shared" si="6"/>
        <v>330.75</v>
      </c>
      <c r="AH74" s="507">
        <f t="shared" si="6"/>
        <v>330.75</v>
      </c>
      <c r="AI74" s="507">
        <f t="shared" si="6"/>
        <v>330.75</v>
      </c>
      <c r="AJ74" s="507">
        <f t="shared" si="6"/>
        <v>330.75</v>
      </c>
      <c r="AK74" s="507">
        <f t="shared" si="6"/>
        <v>330.75</v>
      </c>
      <c r="AL74" s="507">
        <f t="shared" si="6"/>
        <v>330.75</v>
      </c>
      <c r="AM74" s="507">
        <f t="shared" si="6"/>
        <v>330.75</v>
      </c>
      <c r="AN74" s="507">
        <f t="shared" si="6"/>
        <v>236.25</v>
      </c>
      <c r="AO74" s="507">
        <f t="shared" si="6"/>
        <v>141.75</v>
      </c>
      <c r="AP74" s="507">
        <f t="shared" si="6"/>
        <v>0</v>
      </c>
      <c r="AQ74" s="507">
        <f t="shared" si="6"/>
        <v>0</v>
      </c>
    </row>
    <row r="75" spans="2:43">
      <c r="B75" s="419"/>
      <c r="C75" s="418" t="s">
        <v>61</v>
      </c>
      <c r="D75" s="425">
        <v>1</v>
      </c>
      <c r="E75" s="422"/>
      <c r="F75" s="423"/>
      <c r="H75" s="65"/>
      <c r="I75" s="509"/>
      <c r="J75" s="509"/>
      <c r="K75" t="s">
        <v>130</v>
      </c>
      <c r="L75" s="507">
        <f>SUM(L72:L74)</f>
        <v>0</v>
      </c>
      <c r="M75" s="507">
        <f t="shared" ref="M75:AQ75" si="7">SUM(M72:M74)</f>
        <v>350</v>
      </c>
      <c r="N75" s="507">
        <f t="shared" si="7"/>
        <v>350</v>
      </c>
      <c r="O75" s="507">
        <f t="shared" si="7"/>
        <v>619.5</v>
      </c>
      <c r="P75" s="507">
        <f t="shared" si="7"/>
        <v>189</v>
      </c>
      <c r="Q75" s="507">
        <f t="shared" si="7"/>
        <v>330.75</v>
      </c>
      <c r="R75" s="507">
        <f t="shared" si="7"/>
        <v>330.75</v>
      </c>
      <c r="S75" s="507">
        <f t="shared" si="7"/>
        <v>330.75</v>
      </c>
      <c r="T75" s="507">
        <f t="shared" si="7"/>
        <v>330.75</v>
      </c>
      <c r="U75" s="507">
        <f t="shared" si="7"/>
        <v>330.75</v>
      </c>
      <c r="V75" s="507">
        <f t="shared" si="7"/>
        <v>330.75</v>
      </c>
      <c r="W75" s="507">
        <f t="shared" si="7"/>
        <v>330.75</v>
      </c>
      <c r="X75" s="507">
        <f t="shared" si="7"/>
        <v>330.75</v>
      </c>
      <c r="Y75" s="507">
        <f t="shared" si="7"/>
        <v>330.75</v>
      </c>
      <c r="Z75" s="507">
        <f t="shared" si="7"/>
        <v>330.75</v>
      </c>
      <c r="AA75" s="507">
        <f t="shared" si="7"/>
        <v>330.75</v>
      </c>
      <c r="AB75" s="507">
        <f t="shared" si="7"/>
        <v>330.75</v>
      </c>
      <c r="AC75" s="507">
        <f t="shared" si="7"/>
        <v>330.75</v>
      </c>
      <c r="AD75" s="507">
        <f t="shared" si="7"/>
        <v>330.75</v>
      </c>
      <c r="AE75" s="507">
        <f t="shared" si="7"/>
        <v>330.75</v>
      </c>
      <c r="AF75" s="507">
        <f t="shared" si="7"/>
        <v>330.75</v>
      </c>
      <c r="AG75" s="507">
        <f t="shared" si="7"/>
        <v>330.75</v>
      </c>
      <c r="AH75" s="507">
        <f t="shared" si="7"/>
        <v>330.75</v>
      </c>
      <c r="AI75" s="507">
        <f t="shared" si="7"/>
        <v>330.75</v>
      </c>
      <c r="AJ75" s="507">
        <f t="shared" si="7"/>
        <v>330.75</v>
      </c>
      <c r="AK75" s="507">
        <f t="shared" si="7"/>
        <v>330.75</v>
      </c>
      <c r="AL75" s="507">
        <f t="shared" si="7"/>
        <v>330.75</v>
      </c>
      <c r="AM75" s="507">
        <f t="shared" si="7"/>
        <v>330.75</v>
      </c>
      <c r="AN75" s="507">
        <f t="shared" si="7"/>
        <v>236.25</v>
      </c>
      <c r="AO75" s="507">
        <f t="shared" si="7"/>
        <v>141.75</v>
      </c>
      <c r="AP75" s="507">
        <f t="shared" si="7"/>
        <v>0</v>
      </c>
      <c r="AQ75" s="507">
        <f t="shared" si="7"/>
        <v>0</v>
      </c>
    </row>
    <row r="76" spans="2:43">
      <c r="B76" s="419"/>
      <c r="C76" s="418"/>
      <c r="D76" s="433" t="s">
        <v>106</v>
      </c>
      <c r="E76" s="422"/>
      <c r="F76" s="423"/>
      <c r="H76" s="65"/>
      <c r="I76" s="509"/>
      <c r="J76" s="509"/>
      <c r="K76" t="s">
        <v>31</v>
      </c>
      <c r="L76" s="574">
        <f>NPV(3.5%,L75:AI75)</f>
        <v>5159.3515922181959</v>
      </c>
      <c r="W76" s="574"/>
      <c r="AI76" s="574"/>
    </row>
    <row r="77" spans="2:43">
      <c r="B77" s="419"/>
      <c r="C77" s="428"/>
      <c r="D77" s="421"/>
      <c r="E77" s="422"/>
      <c r="F77" s="423"/>
      <c r="H77" s="65"/>
      <c r="I77" s="514"/>
      <c r="J77" s="65"/>
      <c r="L77" s="575" t="s">
        <v>5</v>
      </c>
      <c r="M77" t="s">
        <v>6</v>
      </c>
      <c r="W77" s="575"/>
      <c r="AI77" s="575"/>
    </row>
    <row r="78" spans="2:43" ht="15.75" thickBot="1">
      <c r="B78" s="429"/>
      <c r="C78" s="430"/>
      <c r="D78" s="431"/>
      <c r="E78" s="430"/>
      <c r="F78" s="432"/>
      <c r="H78" s="8"/>
      <c r="I78" s="508"/>
      <c r="J78" s="8"/>
      <c r="K78" t="s">
        <v>520</v>
      </c>
      <c r="L78" s="550">
        <v>0.6</v>
      </c>
      <c r="M78" s="550">
        <v>0.4</v>
      </c>
    </row>
    <row r="79" spans="2:43" ht="15.75" thickBot="1">
      <c r="H79" s="8"/>
      <c r="I79" s="277"/>
      <c r="J79" s="277"/>
      <c r="L79" s="574"/>
      <c r="AK79" s="515"/>
    </row>
    <row r="80" spans="2:43">
      <c r="H80" s="8"/>
      <c r="I80" s="8"/>
      <c r="J80" s="8"/>
    </row>
    <row r="81" spans="8:16">
      <c r="H81" s="8"/>
      <c r="I81" s="8"/>
      <c r="J81" s="8"/>
      <c r="K81" s="576" t="s">
        <v>521</v>
      </c>
      <c r="L81" s="577" t="s">
        <v>707</v>
      </c>
      <c r="M81" s="577"/>
      <c r="N81" s="577"/>
      <c r="O81" s="578"/>
    </row>
    <row r="82" spans="8:16">
      <c r="H82" s="8"/>
      <c r="I82" s="8"/>
      <c r="J82" s="8"/>
      <c r="K82" s="579" t="s">
        <v>522</v>
      </c>
      <c r="L82" s="139" t="s">
        <v>604</v>
      </c>
      <c r="M82" s="8"/>
      <c r="N82" s="8"/>
      <c r="O82" s="580"/>
    </row>
    <row r="83" spans="8:16">
      <c r="H83" s="8"/>
      <c r="I83" s="8"/>
      <c r="J83" s="8"/>
      <c r="K83" s="135"/>
      <c r="L83" s="8"/>
      <c r="M83" s="8"/>
      <c r="N83" s="8"/>
      <c r="O83" s="580"/>
    </row>
    <row r="84" spans="8:16">
      <c r="H84" s="8"/>
      <c r="I84" s="8"/>
      <c r="J84" s="8"/>
      <c r="K84" s="135" t="s">
        <v>523</v>
      </c>
      <c r="L84" s="8">
        <v>175</v>
      </c>
      <c r="M84" s="8"/>
      <c r="N84" s="8"/>
      <c r="O84" s="580"/>
    </row>
    <row r="85" spans="8:16">
      <c r="H85" s="8"/>
      <c r="I85" s="8"/>
      <c r="J85" s="8"/>
      <c r="K85" s="581" t="s">
        <v>524</v>
      </c>
      <c r="L85" s="582">
        <f>130-156</f>
        <v>-26</v>
      </c>
      <c r="M85" s="582">
        <f>130-124</f>
        <v>6</v>
      </c>
      <c r="N85" s="582">
        <f>130-91</f>
        <v>39</v>
      </c>
      <c r="O85" s="580"/>
    </row>
    <row r="86" spans="8:16">
      <c r="H86" s="8"/>
      <c r="I86" s="8"/>
      <c r="J86" s="8"/>
      <c r="K86" s="583"/>
      <c r="L86" s="584"/>
      <c r="M86" s="584"/>
      <c r="N86" s="584"/>
      <c r="O86" s="585"/>
    </row>
    <row r="87" spans="8:16">
      <c r="H87" s="8"/>
      <c r="I87" s="8"/>
      <c r="J87" s="8"/>
      <c r="K87" s="586" t="s">
        <v>525</v>
      </c>
      <c r="L87" s="577"/>
      <c r="M87" s="577"/>
      <c r="N87" s="577"/>
      <c r="O87" s="578"/>
    </row>
    <row r="88" spans="8:16">
      <c r="K88" s="135" t="str">
        <f>K82</f>
        <v>(Additional Costs) / Savings</v>
      </c>
      <c r="L88" s="8" t="s">
        <v>708</v>
      </c>
      <c r="M88" s="8"/>
      <c r="N88" s="8"/>
      <c r="O88" s="580"/>
    </row>
    <row r="89" spans="8:16">
      <c r="K89" s="135"/>
      <c r="L89" s="8"/>
      <c r="M89" s="8"/>
      <c r="N89" s="8"/>
      <c r="O89" s="580"/>
      <c r="P89" t="s">
        <v>526</v>
      </c>
    </row>
    <row r="90" spans="8:16">
      <c r="K90" s="581" t="s">
        <v>527</v>
      </c>
      <c r="L90" s="8">
        <v>0</v>
      </c>
      <c r="M90" s="8"/>
      <c r="N90" s="8"/>
      <c r="O90" s="580"/>
    </row>
    <row r="91" spans="8:16">
      <c r="K91" s="135"/>
      <c r="L91" s="8"/>
      <c r="M91" s="8"/>
      <c r="N91" s="8"/>
      <c r="O91" s="580"/>
    </row>
    <row r="92" spans="8:16">
      <c r="K92" s="583" t="str">
        <f>K84</f>
        <v>NPD Projects</v>
      </c>
      <c r="L92" s="584">
        <f>(0.175*1500)*2</f>
        <v>525</v>
      </c>
      <c r="M92" s="584"/>
      <c r="N92" s="584"/>
      <c r="O92" s="585"/>
    </row>
    <row r="93" spans="8:16">
      <c r="K93" s="587" t="str">
        <f>K85</f>
        <v>Hub Projects</v>
      </c>
      <c r="L93" s="587">
        <f>L85*$L$90</f>
        <v>0</v>
      </c>
      <c r="M93" s="587">
        <f>M85*$L$90</f>
        <v>0</v>
      </c>
      <c r="N93" s="587">
        <f>N85*$L$90</f>
        <v>0</v>
      </c>
    </row>
    <row r="97" spans="11:21">
      <c r="K97" t="s">
        <v>528</v>
      </c>
      <c r="L97" t="s">
        <v>6</v>
      </c>
      <c r="M97" t="s">
        <v>7</v>
      </c>
      <c r="N97" t="s">
        <v>8</v>
      </c>
      <c r="O97" t="s">
        <v>9</v>
      </c>
    </row>
    <row r="99" spans="11:21">
      <c r="K99" t="s">
        <v>530</v>
      </c>
      <c r="M99">
        <v>1</v>
      </c>
      <c r="T99" t="s">
        <v>531</v>
      </c>
    </row>
    <row r="100" spans="11:21">
      <c r="K100" t="s">
        <v>532</v>
      </c>
      <c r="M100">
        <v>0</v>
      </c>
      <c r="T100" t="s">
        <v>533</v>
      </c>
    </row>
    <row r="101" spans="11:21">
      <c r="K101" t="s">
        <v>534</v>
      </c>
      <c r="O101">
        <v>0</v>
      </c>
    </row>
    <row r="102" spans="11:21">
      <c r="K102" t="s">
        <v>535</v>
      </c>
      <c r="M102">
        <v>1</v>
      </c>
    </row>
    <row r="103" spans="11:21">
      <c r="K103" t="s">
        <v>536</v>
      </c>
      <c r="N103">
        <v>1</v>
      </c>
    </row>
    <row r="104" spans="11:21">
      <c r="K104" t="s">
        <v>537</v>
      </c>
      <c r="N104">
        <v>1</v>
      </c>
    </row>
    <row r="105" spans="11:21">
      <c r="K105" t="s">
        <v>538</v>
      </c>
      <c r="O105">
        <v>3</v>
      </c>
    </row>
    <row r="106" spans="11:21">
      <c r="K106" t="s">
        <v>539</v>
      </c>
      <c r="N106">
        <v>0</v>
      </c>
      <c r="O106">
        <v>0</v>
      </c>
    </row>
    <row r="107" spans="11:21">
      <c r="K107" t="s">
        <v>130</v>
      </c>
      <c r="M107">
        <f>SUM(M99:M106)</f>
        <v>2</v>
      </c>
      <c r="N107">
        <f>SUM(N99:N106)</f>
        <v>2</v>
      </c>
      <c r="O107">
        <f>SUM(O99:O106)</f>
        <v>3</v>
      </c>
    </row>
    <row r="109" spans="11:21">
      <c r="K109" t="s">
        <v>540</v>
      </c>
    </row>
    <row r="110" spans="11:21">
      <c r="K110" t="s">
        <v>541</v>
      </c>
      <c r="L110">
        <v>1</v>
      </c>
      <c r="M110">
        <v>1</v>
      </c>
      <c r="N110">
        <v>1</v>
      </c>
      <c r="O110">
        <v>1</v>
      </c>
      <c r="P110">
        <v>1</v>
      </c>
      <c r="Q110">
        <v>1</v>
      </c>
      <c r="R110">
        <v>1</v>
      </c>
      <c r="S110">
        <v>1</v>
      </c>
      <c r="T110">
        <v>1</v>
      </c>
      <c r="U110">
        <v>1</v>
      </c>
    </row>
    <row r="111" spans="11:21">
      <c r="K111" t="s">
        <v>542</v>
      </c>
      <c r="L111">
        <v>1</v>
      </c>
      <c r="M111">
        <v>1</v>
      </c>
      <c r="N111">
        <v>1</v>
      </c>
      <c r="O111">
        <v>1</v>
      </c>
      <c r="P111">
        <v>1</v>
      </c>
      <c r="Q111">
        <v>1</v>
      </c>
      <c r="R111">
        <v>1</v>
      </c>
      <c r="S111">
        <v>1</v>
      </c>
      <c r="T111">
        <v>1</v>
      </c>
      <c r="U111">
        <v>1</v>
      </c>
    </row>
    <row r="112" spans="11:21">
      <c r="K112" t="s">
        <v>543</v>
      </c>
      <c r="M112">
        <v>1</v>
      </c>
      <c r="N112">
        <v>1</v>
      </c>
      <c r="O112">
        <v>1</v>
      </c>
      <c r="P112">
        <v>1</v>
      </c>
      <c r="Q112">
        <v>1</v>
      </c>
      <c r="R112">
        <v>1</v>
      </c>
      <c r="S112">
        <v>1</v>
      </c>
      <c r="T112">
        <v>1</v>
      </c>
      <c r="U112">
        <v>1</v>
      </c>
    </row>
    <row r="113" spans="11:41">
      <c r="K113" t="s">
        <v>544</v>
      </c>
      <c r="N113">
        <v>1</v>
      </c>
      <c r="O113">
        <v>1</v>
      </c>
      <c r="P113">
        <v>1</v>
      </c>
      <c r="Q113">
        <v>1</v>
      </c>
      <c r="R113">
        <v>1</v>
      </c>
      <c r="S113">
        <v>1</v>
      </c>
      <c r="T113">
        <v>1</v>
      </c>
      <c r="U113">
        <v>1</v>
      </c>
    </row>
    <row r="114" spans="11:41">
      <c r="K114" t="s">
        <v>545</v>
      </c>
      <c r="N114">
        <v>1</v>
      </c>
      <c r="O114">
        <v>1</v>
      </c>
      <c r="P114">
        <v>1</v>
      </c>
      <c r="Q114">
        <v>1</v>
      </c>
      <c r="R114">
        <v>1</v>
      </c>
      <c r="S114">
        <v>1</v>
      </c>
      <c r="T114">
        <v>1</v>
      </c>
      <c r="U114">
        <v>1</v>
      </c>
    </row>
    <row r="116" spans="11:41">
      <c r="K116" t="s">
        <v>130</v>
      </c>
      <c r="L116">
        <v>0</v>
      </c>
      <c r="M116">
        <v>0</v>
      </c>
      <c r="N116">
        <v>0</v>
      </c>
      <c r="O116">
        <v>0</v>
      </c>
      <c r="P116">
        <v>0</v>
      </c>
      <c r="Q116">
        <v>0</v>
      </c>
      <c r="R116">
        <v>0</v>
      </c>
      <c r="S116">
        <v>0</v>
      </c>
      <c r="T116">
        <v>0</v>
      </c>
      <c r="U116">
        <v>0</v>
      </c>
    </row>
    <row r="118" spans="11:41">
      <c r="O118">
        <v>1</v>
      </c>
      <c r="P118">
        <v>2</v>
      </c>
      <c r="Q118">
        <v>3</v>
      </c>
      <c r="R118">
        <v>4</v>
      </c>
      <c r="S118">
        <v>5</v>
      </c>
      <c r="T118">
        <v>6</v>
      </c>
      <c r="U118">
        <v>7</v>
      </c>
      <c r="V118">
        <v>8</v>
      </c>
      <c r="W118">
        <v>9</v>
      </c>
      <c r="X118">
        <v>10</v>
      </c>
      <c r="Y118">
        <v>11</v>
      </c>
      <c r="Z118">
        <v>12</v>
      </c>
      <c r="AA118">
        <v>13</v>
      </c>
      <c r="AB118">
        <v>14</v>
      </c>
      <c r="AC118">
        <v>15</v>
      </c>
      <c r="AD118">
        <v>16</v>
      </c>
      <c r="AE118">
        <v>17</v>
      </c>
      <c r="AF118">
        <v>18</v>
      </c>
      <c r="AG118">
        <v>19</v>
      </c>
      <c r="AH118">
        <v>20</v>
      </c>
      <c r="AI118">
        <v>21</v>
      </c>
      <c r="AJ118">
        <v>22</v>
      </c>
      <c r="AK118">
        <v>23</v>
      </c>
      <c r="AL118">
        <v>24</v>
      </c>
      <c r="AM118">
        <v>25</v>
      </c>
      <c r="AN118">
        <v>26</v>
      </c>
      <c r="AO118">
        <v>27</v>
      </c>
    </row>
    <row r="119" spans="11:41">
      <c r="L119" t="str">
        <f t="shared" ref="L119:AI119" si="8">L69</f>
        <v>2011/12</v>
      </c>
      <c r="M119" t="str">
        <f t="shared" si="8"/>
        <v>2012/13</v>
      </c>
      <c r="N119" t="str">
        <f t="shared" si="8"/>
        <v>2013/14</v>
      </c>
      <c r="O119" t="str">
        <f t="shared" si="8"/>
        <v>2014/15</v>
      </c>
      <c r="P119" t="str">
        <f t="shared" si="8"/>
        <v>2015/16</v>
      </c>
      <c r="Q119" t="str">
        <f t="shared" si="8"/>
        <v>2016/17</v>
      </c>
      <c r="R119" t="str">
        <f t="shared" si="8"/>
        <v>2017/18</v>
      </c>
      <c r="S119" t="str">
        <f t="shared" si="8"/>
        <v>2018/19</v>
      </c>
      <c r="T119" t="str">
        <f t="shared" si="8"/>
        <v>2019/20</v>
      </c>
      <c r="U119" t="str">
        <f t="shared" si="8"/>
        <v>2020/21</v>
      </c>
      <c r="V119" t="str">
        <f t="shared" si="8"/>
        <v>2021/2022</v>
      </c>
      <c r="W119" t="str">
        <f t="shared" si="8"/>
        <v>2022/2023</v>
      </c>
      <c r="X119" t="str">
        <f t="shared" si="8"/>
        <v>2023/2024</v>
      </c>
      <c r="Y119" t="str">
        <f t="shared" si="8"/>
        <v>2024/2025</v>
      </c>
      <c r="Z119" t="str">
        <f t="shared" si="8"/>
        <v>2025/2026</v>
      </c>
      <c r="AA119" t="str">
        <f t="shared" si="8"/>
        <v>2026/2027</v>
      </c>
      <c r="AB119" t="str">
        <f t="shared" si="8"/>
        <v>2027/2028</v>
      </c>
      <c r="AC119" t="str">
        <f t="shared" si="8"/>
        <v>2028/2029</v>
      </c>
      <c r="AD119" t="str">
        <f t="shared" si="8"/>
        <v>2029/2030</v>
      </c>
      <c r="AE119" t="str">
        <f t="shared" si="8"/>
        <v>2030/2031</v>
      </c>
      <c r="AF119" t="str">
        <f t="shared" si="8"/>
        <v>2031/2032</v>
      </c>
      <c r="AG119" t="str">
        <f t="shared" si="8"/>
        <v>2032/2033</v>
      </c>
      <c r="AH119" t="str">
        <f t="shared" si="8"/>
        <v>2033/2034</v>
      </c>
      <c r="AI119" t="str">
        <f t="shared" si="8"/>
        <v>2034/2035</v>
      </c>
    </row>
    <row r="120" spans="11:41">
      <c r="K120" t="s">
        <v>546</v>
      </c>
      <c r="L120">
        <v>0</v>
      </c>
      <c r="M120">
        <v>0</v>
      </c>
      <c r="N120">
        <f>$L$116*($L$93+$M$93)*0.09</f>
        <v>0</v>
      </c>
      <c r="O120">
        <f t="shared" ref="O120:AM120" si="9">$L$116*($L$93+$M$93)*0.09</f>
        <v>0</v>
      </c>
      <c r="P120">
        <f t="shared" si="9"/>
        <v>0</v>
      </c>
      <c r="Q120">
        <f t="shared" si="9"/>
        <v>0</v>
      </c>
      <c r="R120">
        <f t="shared" si="9"/>
        <v>0</v>
      </c>
      <c r="S120">
        <f t="shared" si="9"/>
        <v>0</v>
      </c>
      <c r="T120">
        <f t="shared" si="9"/>
        <v>0</v>
      </c>
      <c r="U120">
        <f t="shared" si="9"/>
        <v>0</v>
      </c>
      <c r="V120">
        <f t="shared" si="9"/>
        <v>0</v>
      </c>
      <c r="W120">
        <f t="shared" si="9"/>
        <v>0</v>
      </c>
      <c r="X120">
        <f t="shared" si="9"/>
        <v>0</v>
      </c>
      <c r="Y120">
        <f t="shared" si="9"/>
        <v>0</v>
      </c>
      <c r="Z120">
        <f t="shared" si="9"/>
        <v>0</v>
      </c>
      <c r="AA120">
        <f t="shared" si="9"/>
        <v>0</v>
      </c>
      <c r="AB120">
        <f t="shared" si="9"/>
        <v>0</v>
      </c>
      <c r="AC120">
        <f t="shared" si="9"/>
        <v>0</v>
      </c>
      <c r="AD120">
        <f t="shared" si="9"/>
        <v>0</v>
      </c>
      <c r="AE120">
        <f t="shared" si="9"/>
        <v>0</v>
      </c>
      <c r="AF120">
        <f t="shared" si="9"/>
        <v>0</v>
      </c>
      <c r="AG120">
        <f t="shared" si="9"/>
        <v>0</v>
      </c>
      <c r="AH120">
        <f t="shared" si="9"/>
        <v>0</v>
      </c>
      <c r="AI120">
        <f t="shared" si="9"/>
        <v>0</v>
      </c>
      <c r="AJ120">
        <f t="shared" si="9"/>
        <v>0</v>
      </c>
      <c r="AK120">
        <f t="shared" si="9"/>
        <v>0</v>
      </c>
      <c r="AL120">
        <f t="shared" si="9"/>
        <v>0</v>
      </c>
      <c r="AM120">
        <f t="shared" si="9"/>
        <v>0</v>
      </c>
    </row>
    <row r="121" spans="11:41">
      <c r="K121" t="s">
        <v>547</v>
      </c>
      <c r="O121" s="588">
        <f>$M$116*$N$93*0.09+$M$107*$L$92*0.09</f>
        <v>94.5</v>
      </c>
      <c r="P121" s="588">
        <f t="shared" ref="P121:AM121" si="10">$M$116*$N$93*0.09+$M$107*$L$92*0.09</f>
        <v>94.5</v>
      </c>
      <c r="Q121" s="588">
        <f t="shared" si="10"/>
        <v>94.5</v>
      </c>
      <c r="R121" s="588">
        <f t="shared" si="10"/>
        <v>94.5</v>
      </c>
      <c r="S121" s="588">
        <f t="shared" si="10"/>
        <v>94.5</v>
      </c>
      <c r="T121" s="588">
        <f t="shared" si="10"/>
        <v>94.5</v>
      </c>
      <c r="U121" s="588">
        <f t="shared" si="10"/>
        <v>94.5</v>
      </c>
      <c r="V121" s="588">
        <f t="shared" si="10"/>
        <v>94.5</v>
      </c>
      <c r="W121" s="588">
        <f t="shared" si="10"/>
        <v>94.5</v>
      </c>
      <c r="X121" s="588">
        <f t="shared" si="10"/>
        <v>94.5</v>
      </c>
      <c r="Y121" s="588">
        <f t="shared" si="10"/>
        <v>94.5</v>
      </c>
      <c r="Z121" s="588">
        <f t="shared" si="10"/>
        <v>94.5</v>
      </c>
      <c r="AA121" s="588">
        <f t="shared" si="10"/>
        <v>94.5</v>
      </c>
      <c r="AB121" s="588">
        <f t="shared" si="10"/>
        <v>94.5</v>
      </c>
      <c r="AC121" s="588">
        <f t="shared" si="10"/>
        <v>94.5</v>
      </c>
      <c r="AD121" s="588">
        <f t="shared" si="10"/>
        <v>94.5</v>
      </c>
      <c r="AE121" s="588">
        <f t="shared" si="10"/>
        <v>94.5</v>
      </c>
      <c r="AF121" s="588">
        <f t="shared" si="10"/>
        <v>94.5</v>
      </c>
      <c r="AG121" s="588">
        <f t="shared" si="10"/>
        <v>94.5</v>
      </c>
      <c r="AH121" s="588">
        <f t="shared" si="10"/>
        <v>94.5</v>
      </c>
      <c r="AI121" s="588">
        <f t="shared" si="10"/>
        <v>94.5</v>
      </c>
      <c r="AJ121" s="588">
        <f t="shared" si="10"/>
        <v>94.5</v>
      </c>
      <c r="AK121" s="588">
        <f t="shared" si="10"/>
        <v>94.5</v>
      </c>
      <c r="AL121" s="588">
        <f t="shared" si="10"/>
        <v>94.5</v>
      </c>
      <c r="AM121" s="588">
        <f t="shared" si="10"/>
        <v>94.5</v>
      </c>
    </row>
    <row r="122" spans="11:41">
      <c r="K122" t="s">
        <v>548</v>
      </c>
      <c r="P122">
        <f>$N$116*$N$93*0.09+$N$107*$L$92*0.09</f>
        <v>94.5</v>
      </c>
      <c r="Q122">
        <f t="shared" ref="Q122:AN122" si="11">$N$116*$N$93*0.09+$N$107*$L$92*0.09</f>
        <v>94.5</v>
      </c>
      <c r="R122">
        <f t="shared" si="11"/>
        <v>94.5</v>
      </c>
      <c r="S122">
        <f t="shared" si="11"/>
        <v>94.5</v>
      </c>
      <c r="T122">
        <f t="shared" si="11"/>
        <v>94.5</v>
      </c>
      <c r="U122">
        <f t="shared" si="11"/>
        <v>94.5</v>
      </c>
      <c r="V122">
        <f t="shared" si="11"/>
        <v>94.5</v>
      </c>
      <c r="W122">
        <f t="shared" si="11"/>
        <v>94.5</v>
      </c>
      <c r="X122">
        <f t="shared" si="11"/>
        <v>94.5</v>
      </c>
      <c r="Y122">
        <f t="shared" si="11"/>
        <v>94.5</v>
      </c>
      <c r="Z122">
        <f t="shared" si="11"/>
        <v>94.5</v>
      </c>
      <c r="AA122">
        <f t="shared" si="11"/>
        <v>94.5</v>
      </c>
      <c r="AB122">
        <f t="shared" si="11"/>
        <v>94.5</v>
      </c>
      <c r="AC122">
        <f t="shared" si="11"/>
        <v>94.5</v>
      </c>
      <c r="AD122">
        <f t="shared" si="11"/>
        <v>94.5</v>
      </c>
      <c r="AE122">
        <f t="shared" si="11"/>
        <v>94.5</v>
      </c>
      <c r="AF122">
        <f t="shared" si="11"/>
        <v>94.5</v>
      </c>
      <c r="AG122">
        <f t="shared" si="11"/>
        <v>94.5</v>
      </c>
      <c r="AH122">
        <f t="shared" si="11"/>
        <v>94.5</v>
      </c>
      <c r="AI122">
        <f t="shared" si="11"/>
        <v>94.5</v>
      </c>
      <c r="AJ122">
        <f t="shared" si="11"/>
        <v>94.5</v>
      </c>
      <c r="AK122">
        <f t="shared" si="11"/>
        <v>94.5</v>
      </c>
      <c r="AL122">
        <f t="shared" si="11"/>
        <v>94.5</v>
      </c>
      <c r="AM122">
        <f t="shared" si="11"/>
        <v>94.5</v>
      </c>
      <c r="AN122">
        <f t="shared" si="11"/>
        <v>94.5</v>
      </c>
    </row>
    <row r="123" spans="11:41">
      <c r="K123" t="s">
        <v>549</v>
      </c>
      <c r="Q123">
        <f>$O$116*$N$93*0.09+$O$107*$L$92*0.09</f>
        <v>141.75</v>
      </c>
      <c r="R123">
        <f t="shared" ref="R123:AO123" si="12">$O$116*$N$93*0.09+$O$107*$L$92*0.09</f>
        <v>141.75</v>
      </c>
      <c r="S123">
        <f t="shared" si="12"/>
        <v>141.75</v>
      </c>
      <c r="T123">
        <f t="shared" si="12"/>
        <v>141.75</v>
      </c>
      <c r="U123">
        <f t="shared" si="12"/>
        <v>141.75</v>
      </c>
      <c r="V123">
        <f t="shared" si="12"/>
        <v>141.75</v>
      </c>
      <c r="W123">
        <f t="shared" si="12"/>
        <v>141.75</v>
      </c>
      <c r="X123">
        <f t="shared" si="12"/>
        <v>141.75</v>
      </c>
      <c r="Y123">
        <f t="shared" si="12"/>
        <v>141.75</v>
      </c>
      <c r="Z123">
        <f t="shared" si="12"/>
        <v>141.75</v>
      </c>
      <c r="AA123">
        <f t="shared" si="12"/>
        <v>141.75</v>
      </c>
      <c r="AB123">
        <f t="shared" si="12"/>
        <v>141.75</v>
      </c>
      <c r="AC123">
        <f t="shared" si="12"/>
        <v>141.75</v>
      </c>
      <c r="AD123">
        <f t="shared" si="12"/>
        <v>141.75</v>
      </c>
      <c r="AE123">
        <f t="shared" si="12"/>
        <v>141.75</v>
      </c>
      <c r="AF123">
        <f t="shared" si="12"/>
        <v>141.75</v>
      </c>
      <c r="AG123">
        <f t="shared" si="12"/>
        <v>141.75</v>
      </c>
      <c r="AH123">
        <f t="shared" si="12"/>
        <v>141.75</v>
      </c>
      <c r="AI123">
        <f t="shared" si="12"/>
        <v>141.75</v>
      </c>
      <c r="AJ123">
        <f t="shared" si="12"/>
        <v>141.75</v>
      </c>
      <c r="AK123">
        <f t="shared" si="12"/>
        <v>141.75</v>
      </c>
      <c r="AL123">
        <f t="shared" si="12"/>
        <v>141.75</v>
      </c>
      <c r="AM123">
        <f t="shared" si="12"/>
        <v>141.75</v>
      </c>
      <c r="AN123">
        <f t="shared" si="12"/>
        <v>141.75</v>
      </c>
      <c r="AO123">
        <f t="shared" si="12"/>
        <v>141.75</v>
      </c>
    </row>
    <row r="124" spans="11:41">
      <c r="K124" t="s">
        <v>550</v>
      </c>
      <c r="R124">
        <f>$P$116*$N$93*0.09</f>
        <v>0</v>
      </c>
      <c r="S124">
        <f>$P$116*$N$93*0.09</f>
        <v>0</v>
      </c>
      <c r="T124">
        <f>$P$116*$N$93*0.09</f>
        <v>0</v>
      </c>
      <c r="U124">
        <f>$P$116*$N$93*0.09</f>
        <v>0</v>
      </c>
      <c r="V124">
        <f t="shared" ref="V124:AI124" si="13">$P$116*$N$93*0.09</f>
        <v>0</v>
      </c>
      <c r="W124">
        <f t="shared" si="13"/>
        <v>0</v>
      </c>
      <c r="X124">
        <f t="shared" si="13"/>
        <v>0</v>
      </c>
      <c r="Y124">
        <f t="shared" si="13"/>
        <v>0</v>
      </c>
      <c r="Z124">
        <f t="shared" si="13"/>
        <v>0</v>
      </c>
      <c r="AA124">
        <f t="shared" si="13"/>
        <v>0</v>
      </c>
      <c r="AB124">
        <f t="shared" si="13"/>
        <v>0</v>
      </c>
      <c r="AC124">
        <f t="shared" si="13"/>
        <v>0</v>
      </c>
      <c r="AD124">
        <f t="shared" si="13"/>
        <v>0</v>
      </c>
      <c r="AE124">
        <f t="shared" si="13"/>
        <v>0</v>
      </c>
      <c r="AF124">
        <f t="shared" si="13"/>
        <v>0</v>
      </c>
      <c r="AG124">
        <f t="shared" si="13"/>
        <v>0</v>
      </c>
      <c r="AH124">
        <f t="shared" si="13"/>
        <v>0</v>
      </c>
      <c r="AI124">
        <f t="shared" si="13"/>
        <v>0</v>
      </c>
    </row>
    <row r="125" spans="11:41">
      <c r="K125" t="s">
        <v>551</v>
      </c>
      <c r="S125">
        <f>$Q$116*$N$93*0.09</f>
        <v>0</v>
      </c>
      <c r="T125">
        <f>$Q$116*$N$93*0.09</f>
        <v>0</v>
      </c>
      <c r="U125">
        <f>$Q$116*$N$93*0.09</f>
        <v>0</v>
      </c>
      <c r="V125">
        <f t="shared" ref="V125:AI125" si="14">$Q$116*$N$93*0.09</f>
        <v>0</v>
      </c>
      <c r="W125">
        <f t="shared" si="14"/>
        <v>0</v>
      </c>
      <c r="X125">
        <f t="shared" si="14"/>
        <v>0</v>
      </c>
      <c r="Y125">
        <f t="shared" si="14"/>
        <v>0</v>
      </c>
      <c r="Z125">
        <f t="shared" si="14"/>
        <v>0</v>
      </c>
      <c r="AA125">
        <f t="shared" si="14"/>
        <v>0</v>
      </c>
      <c r="AB125">
        <f t="shared" si="14"/>
        <v>0</v>
      </c>
      <c r="AC125">
        <f t="shared" si="14"/>
        <v>0</v>
      </c>
      <c r="AD125">
        <f t="shared" si="14"/>
        <v>0</v>
      </c>
      <c r="AE125">
        <f t="shared" si="14"/>
        <v>0</v>
      </c>
      <c r="AF125">
        <f t="shared" si="14"/>
        <v>0</v>
      </c>
      <c r="AG125">
        <f t="shared" si="14"/>
        <v>0</v>
      </c>
      <c r="AH125">
        <f t="shared" si="14"/>
        <v>0</v>
      </c>
      <c r="AI125">
        <f t="shared" si="14"/>
        <v>0</v>
      </c>
    </row>
    <row r="126" spans="11:41">
      <c r="K126" t="s">
        <v>552</v>
      </c>
      <c r="T126">
        <f>$R$116*$N$93*0.09</f>
        <v>0</v>
      </c>
      <c r="U126">
        <f>$R$116*$N$93*0.09</f>
        <v>0</v>
      </c>
      <c r="V126">
        <f t="shared" ref="V126:AI126" si="15">$R$116*$N$93*0.09</f>
        <v>0</v>
      </c>
      <c r="W126">
        <f t="shared" si="15"/>
        <v>0</v>
      </c>
      <c r="X126">
        <f t="shared" si="15"/>
        <v>0</v>
      </c>
      <c r="Y126">
        <f t="shared" si="15"/>
        <v>0</v>
      </c>
      <c r="Z126">
        <f t="shared" si="15"/>
        <v>0</v>
      </c>
      <c r="AA126">
        <f t="shared" si="15"/>
        <v>0</v>
      </c>
      <c r="AB126">
        <f t="shared" si="15"/>
        <v>0</v>
      </c>
      <c r="AC126">
        <f t="shared" si="15"/>
        <v>0</v>
      </c>
      <c r="AD126">
        <f t="shared" si="15"/>
        <v>0</v>
      </c>
      <c r="AE126">
        <f t="shared" si="15"/>
        <v>0</v>
      </c>
      <c r="AF126">
        <f t="shared" si="15"/>
        <v>0</v>
      </c>
      <c r="AG126">
        <f t="shared" si="15"/>
        <v>0</v>
      </c>
      <c r="AH126">
        <f t="shared" si="15"/>
        <v>0</v>
      </c>
      <c r="AI126">
        <f t="shared" si="15"/>
        <v>0</v>
      </c>
    </row>
    <row r="127" spans="11:41">
      <c r="K127" t="s">
        <v>553</v>
      </c>
      <c r="U127">
        <f>$S$116*$N$93*0.09</f>
        <v>0</v>
      </c>
      <c r="V127">
        <f t="shared" ref="V127:AI127" si="16">$S$116*$N$93*0.09</f>
        <v>0</v>
      </c>
      <c r="W127">
        <f t="shared" si="16"/>
        <v>0</v>
      </c>
      <c r="X127">
        <f t="shared" si="16"/>
        <v>0</v>
      </c>
      <c r="Y127">
        <f t="shared" si="16"/>
        <v>0</v>
      </c>
      <c r="Z127">
        <f t="shared" si="16"/>
        <v>0</v>
      </c>
      <c r="AA127">
        <f t="shared" si="16"/>
        <v>0</v>
      </c>
      <c r="AB127">
        <f t="shared" si="16"/>
        <v>0</v>
      </c>
      <c r="AC127">
        <f t="shared" si="16"/>
        <v>0</v>
      </c>
      <c r="AD127">
        <f t="shared" si="16"/>
        <v>0</v>
      </c>
      <c r="AE127">
        <f t="shared" si="16"/>
        <v>0</v>
      </c>
      <c r="AF127">
        <f t="shared" si="16"/>
        <v>0</v>
      </c>
      <c r="AG127">
        <f t="shared" si="16"/>
        <v>0</v>
      </c>
      <c r="AH127">
        <f t="shared" si="16"/>
        <v>0</v>
      </c>
      <c r="AI127">
        <f t="shared" si="16"/>
        <v>0</v>
      </c>
    </row>
    <row r="129" spans="12:41">
      <c r="L129" s="507">
        <f>SUM(L120:L127)</f>
        <v>0</v>
      </c>
      <c r="M129" s="507">
        <f t="shared" ref="M129:AO129" si="17">SUM(M120:M127)</f>
        <v>0</v>
      </c>
      <c r="N129" s="507">
        <f t="shared" si="17"/>
        <v>0</v>
      </c>
      <c r="O129" s="507">
        <f t="shared" si="17"/>
        <v>94.5</v>
      </c>
      <c r="P129" s="507">
        <f t="shared" si="17"/>
        <v>189</v>
      </c>
      <c r="Q129" s="507">
        <f t="shared" si="17"/>
        <v>330.75</v>
      </c>
      <c r="R129" s="507">
        <f t="shared" si="17"/>
        <v>330.75</v>
      </c>
      <c r="S129" s="507">
        <f t="shared" si="17"/>
        <v>330.75</v>
      </c>
      <c r="T129" s="507">
        <f t="shared" si="17"/>
        <v>330.75</v>
      </c>
      <c r="U129" s="507">
        <f t="shared" si="17"/>
        <v>330.75</v>
      </c>
      <c r="V129" s="507">
        <f t="shared" si="17"/>
        <v>330.75</v>
      </c>
      <c r="W129" s="507">
        <f t="shared" si="17"/>
        <v>330.75</v>
      </c>
      <c r="X129" s="507">
        <f t="shared" si="17"/>
        <v>330.75</v>
      </c>
      <c r="Y129" s="507">
        <f t="shared" si="17"/>
        <v>330.75</v>
      </c>
      <c r="Z129" s="507">
        <f t="shared" si="17"/>
        <v>330.75</v>
      </c>
      <c r="AA129" s="507">
        <f t="shared" si="17"/>
        <v>330.75</v>
      </c>
      <c r="AB129" s="507">
        <f t="shared" si="17"/>
        <v>330.75</v>
      </c>
      <c r="AC129" s="507">
        <f t="shared" si="17"/>
        <v>330.75</v>
      </c>
      <c r="AD129" s="507">
        <f t="shared" si="17"/>
        <v>330.75</v>
      </c>
      <c r="AE129" s="507">
        <f t="shared" si="17"/>
        <v>330.75</v>
      </c>
      <c r="AF129" s="507">
        <f t="shared" si="17"/>
        <v>330.75</v>
      </c>
      <c r="AG129" s="507">
        <f t="shared" si="17"/>
        <v>330.75</v>
      </c>
      <c r="AH129" s="507">
        <f t="shared" si="17"/>
        <v>330.75</v>
      </c>
      <c r="AI129" s="507">
        <f t="shared" si="17"/>
        <v>330.75</v>
      </c>
      <c r="AJ129" s="507">
        <f t="shared" si="17"/>
        <v>330.75</v>
      </c>
      <c r="AK129" s="507">
        <f t="shared" si="17"/>
        <v>330.75</v>
      </c>
      <c r="AL129" s="507">
        <f t="shared" si="17"/>
        <v>330.75</v>
      </c>
      <c r="AM129" s="507">
        <f t="shared" si="17"/>
        <v>330.75</v>
      </c>
      <c r="AN129" s="507">
        <f t="shared" si="17"/>
        <v>236.25</v>
      </c>
      <c r="AO129" s="507">
        <f t="shared" si="17"/>
        <v>141.75</v>
      </c>
    </row>
  </sheetData>
  <dataValidations count="7">
    <dataValidation type="list" allowBlank="1" showInputMessage="1" showErrorMessage="1" sqref="D60:E60">
      <formula1>$D$61:$D$64</formula1>
    </dataValidation>
    <dataValidation type="list" allowBlank="1" showInputMessage="1" showErrorMessage="1" sqref="E55">
      <formula1>$D$56:$D$57</formula1>
    </dataValidation>
    <dataValidation type="list" allowBlank="1" showInputMessage="1" showErrorMessage="1" sqref="E58">
      <formula1>#REF!</formula1>
    </dataValidation>
    <dataValidation type="list" allowBlank="1" showInputMessage="1" showErrorMessage="1" sqref="E22 D24">
      <formula1>$D$25:$D$39</formula1>
    </dataValidation>
    <dataValidation type="list" allowBlank="1" showInputMessage="1" showErrorMessage="1" sqref="D47">
      <formula1>$D$48:$D$51</formula1>
    </dataValidation>
    <dataValidation type="list" allowBlank="1" showInputMessage="1" showErrorMessage="1" sqref="D23">
      <formula1>$D$24:$D$39</formula1>
    </dataValidation>
    <dataValidation type="list" allowBlank="1" showInputMessage="1" showErrorMessage="1" sqref="D54">
      <formula1>$D$55:$D$58</formula1>
    </dataValidation>
  </dataValidations>
  <pageMargins left="0.7" right="0.7" top="0.75" bottom="0.75" header="0.3" footer="0.3"/>
  <pageSetup paperSize="9" scale="70" orientation="portrait" copies="2" r:id="rId1"/>
  <legacyDrawing r:id="rId2"/>
</worksheet>
</file>

<file path=xl/worksheets/sheet4.xml><?xml version="1.0" encoding="utf-8"?>
<worksheet xmlns="http://schemas.openxmlformats.org/spreadsheetml/2006/main" xmlns:r="http://schemas.openxmlformats.org/officeDocument/2006/relationships">
  <dimension ref="B1:V75"/>
  <sheetViews>
    <sheetView zoomScale="75" zoomScaleNormal="75" workbookViewId="0">
      <selection activeCell="H62" sqref="H62"/>
    </sheetView>
  </sheetViews>
  <sheetFormatPr defaultRowHeight="15"/>
  <cols>
    <col min="1" max="1" width="3.5703125" customWidth="1"/>
    <col min="2" max="2" width="14.7109375" customWidth="1"/>
    <col min="3" max="3" width="69.7109375" customWidth="1"/>
    <col min="4" max="4" width="11.140625" customWidth="1"/>
    <col min="5" max="5" width="4.42578125" customWidth="1"/>
    <col min="6" max="6" width="15.7109375" customWidth="1"/>
    <col min="7" max="7" width="4.7109375" customWidth="1"/>
    <col min="8" max="8" width="12.85546875" customWidth="1"/>
    <col min="9" max="9" width="4.140625" customWidth="1"/>
    <col min="10" max="10" width="13.42578125" customWidth="1"/>
    <col min="11" max="11" width="4.140625" customWidth="1"/>
    <col min="12" max="12" width="15.5703125" style="1" customWidth="1"/>
    <col min="13" max="13" width="3.5703125" customWidth="1"/>
    <col min="14" max="14" width="14.7109375" customWidth="1"/>
    <col min="15" max="15" width="4.7109375" customWidth="1"/>
    <col min="16" max="16" width="16.28515625" customWidth="1"/>
    <col min="17" max="17" width="5.7109375" customWidth="1"/>
    <col min="18" max="18" width="14.28515625" customWidth="1"/>
    <col min="19" max="19" width="5.7109375" customWidth="1"/>
    <col min="20" max="20" width="17" customWidth="1"/>
    <col min="21" max="21" width="6" customWidth="1"/>
    <col min="22" max="22" width="19.5703125" customWidth="1"/>
  </cols>
  <sheetData>
    <row r="1" spans="2:22" ht="18.75">
      <c r="B1" s="25" t="s">
        <v>60</v>
      </c>
    </row>
    <row r="2" spans="2:22" ht="18.75">
      <c r="B2" s="25" t="s">
        <v>347</v>
      </c>
    </row>
    <row r="3" spans="2:22" ht="18.75">
      <c r="B3" s="25" t="s">
        <v>314</v>
      </c>
      <c r="D3" s="39"/>
      <c r="E3" s="39"/>
      <c r="F3" s="39"/>
    </row>
    <row r="4" spans="2:22" ht="18.75">
      <c r="B4" s="280" t="s">
        <v>755</v>
      </c>
    </row>
    <row r="5" spans="2:22" ht="15.75" thickBot="1"/>
    <row r="6" spans="2:22" ht="44.25" customHeight="1" thickBot="1">
      <c r="B6" s="221" t="s">
        <v>12</v>
      </c>
      <c r="C6" s="172" t="s">
        <v>37</v>
      </c>
      <c r="D6" s="724" t="s">
        <v>759</v>
      </c>
      <c r="E6" s="724"/>
      <c r="F6" s="725" t="s">
        <v>760</v>
      </c>
      <c r="G6" s="5"/>
      <c r="H6" s="726" t="s">
        <v>756</v>
      </c>
      <c r="I6" s="713"/>
      <c r="J6" s="726" t="s">
        <v>757</v>
      </c>
      <c r="K6" s="713"/>
      <c r="L6" s="726" t="s">
        <v>767</v>
      </c>
      <c r="M6" s="713"/>
      <c r="N6" s="726" t="s">
        <v>758</v>
      </c>
      <c r="O6" s="713"/>
      <c r="P6" s="725" t="s">
        <v>768</v>
      </c>
      <c r="Q6" s="713"/>
      <c r="R6" s="733" t="s">
        <v>772</v>
      </c>
      <c r="S6" s="713"/>
      <c r="T6" s="725" t="s">
        <v>779</v>
      </c>
      <c r="U6" s="714"/>
      <c r="V6" s="727" t="s">
        <v>761</v>
      </c>
    </row>
    <row r="7" spans="2:22" ht="18" customHeight="1" thickBot="1">
      <c r="B7" s="4"/>
      <c r="C7" s="5"/>
      <c r="D7" s="221"/>
      <c r="E7" s="172"/>
      <c r="F7" s="1017"/>
      <c r="G7" s="172"/>
      <c r="H7" s="240"/>
      <c r="I7" s="240"/>
      <c r="J7" s="240"/>
      <c r="K7" s="240"/>
      <c r="L7" s="240"/>
      <c r="M7" s="240"/>
      <c r="N7" s="240"/>
      <c r="O7" s="240"/>
      <c r="P7" s="240"/>
      <c r="Q7" s="240"/>
      <c r="R7" s="240"/>
      <c r="S7" s="240"/>
      <c r="T7" s="1017"/>
      <c r="U7" s="240"/>
      <c r="V7" s="1018"/>
    </row>
    <row r="8" spans="2:22" ht="21" customHeight="1">
      <c r="B8" s="691" t="s">
        <v>36</v>
      </c>
      <c r="C8" s="721" t="str">
        <f>Summary!C15</f>
        <v>Key Stage Reviews - PUK KSR Costs Avoided</v>
      </c>
      <c r="D8" s="1016">
        <f>'A1 PUK KSR Fees'!D75</f>
        <v>1</v>
      </c>
      <c r="E8" s="270"/>
      <c r="F8" s="712">
        <f>Summary!Q15</f>
        <v>121000</v>
      </c>
      <c r="G8" s="277"/>
      <c r="H8" s="712">
        <v>0</v>
      </c>
      <c r="I8" s="712"/>
      <c r="J8" s="712">
        <v>0</v>
      </c>
      <c r="K8" s="712"/>
      <c r="L8" s="712">
        <v>0</v>
      </c>
      <c r="M8" s="712"/>
      <c r="N8" s="712">
        <v>0</v>
      </c>
      <c r="O8" s="712"/>
      <c r="P8" s="712">
        <v>0</v>
      </c>
      <c r="Q8" s="712"/>
      <c r="R8" s="712">
        <v>0</v>
      </c>
      <c r="S8" s="712"/>
      <c r="T8" s="712">
        <v>0</v>
      </c>
      <c r="U8" s="712"/>
      <c r="V8" s="715">
        <f>SUM(F8:T8)</f>
        <v>121000</v>
      </c>
    </row>
    <row r="9" spans="2:22" ht="21" customHeight="1">
      <c r="B9" s="687" t="s">
        <v>38</v>
      </c>
      <c r="C9" s="688" t="str">
        <f>Summary!C16</f>
        <v>Waste - Gateway Review Costs Avoided</v>
      </c>
      <c r="D9" s="728">
        <f>'A2 Waste Validation Fees'!D75</f>
        <v>1</v>
      </c>
      <c r="E9" s="270"/>
      <c r="F9" s="712">
        <f>Summary!Q16</f>
        <v>30000</v>
      </c>
      <c r="G9" s="277"/>
      <c r="H9" s="712">
        <v>0</v>
      </c>
      <c r="I9" s="712"/>
      <c r="J9" s="712">
        <v>0</v>
      </c>
      <c r="K9" s="712"/>
      <c r="L9" s="712">
        <v>0</v>
      </c>
      <c r="M9" s="712"/>
      <c r="N9" s="712">
        <v>0</v>
      </c>
      <c r="O9" s="712"/>
      <c r="P9" s="712">
        <v>0</v>
      </c>
      <c r="Q9" s="712"/>
      <c r="R9" s="712">
        <v>0</v>
      </c>
      <c r="S9" s="712"/>
      <c r="T9" s="712">
        <v>0</v>
      </c>
      <c r="U9" s="712"/>
      <c r="V9" s="715">
        <f t="shared" ref="V9:V58" si="0">SUM(F9:T9)</f>
        <v>30000</v>
      </c>
    </row>
    <row r="10" spans="2:22" ht="21" customHeight="1">
      <c r="B10" s="687" t="s">
        <v>39</v>
      </c>
      <c r="C10" s="688" t="str">
        <f>Summary!C17</f>
        <v>Waste - Data Capture and Market Engagement</v>
      </c>
      <c r="D10" s="728">
        <f>'A3 Waste Data Capture'!D75</f>
        <v>1</v>
      </c>
      <c r="E10" s="270"/>
      <c r="F10" s="712">
        <f>Summary!Q17</f>
        <v>13200</v>
      </c>
      <c r="G10" s="277"/>
      <c r="H10" s="712">
        <v>0</v>
      </c>
      <c r="I10" s="712"/>
      <c r="J10" s="712">
        <v>0</v>
      </c>
      <c r="K10" s="712"/>
      <c r="L10" s="712">
        <v>0</v>
      </c>
      <c r="M10" s="712"/>
      <c r="N10" s="712">
        <v>0</v>
      </c>
      <c r="O10" s="712"/>
      <c r="P10" s="712">
        <v>0</v>
      </c>
      <c r="Q10" s="712"/>
      <c r="R10" s="712">
        <v>0</v>
      </c>
      <c r="S10" s="712"/>
      <c r="T10" s="712">
        <v>0</v>
      </c>
      <c r="U10" s="712"/>
      <c r="V10" s="715">
        <f t="shared" si="0"/>
        <v>13200</v>
      </c>
    </row>
    <row r="11" spans="2:22" ht="21" customHeight="1">
      <c r="B11" s="687" t="s">
        <v>40</v>
      </c>
      <c r="C11" s="688" t="str">
        <f>Summary!C18</f>
        <v>Waste - Programme Support</v>
      </c>
      <c r="D11" s="728">
        <f>'A4 Waste Prog Support'!D75</f>
        <v>1</v>
      </c>
      <c r="E11" s="270"/>
      <c r="F11" s="712">
        <f>Summary!Q18</f>
        <v>100000</v>
      </c>
      <c r="G11" s="277"/>
      <c r="H11" s="712">
        <v>0</v>
      </c>
      <c r="I11" s="712"/>
      <c r="J11" s="712">
        <v>0</v>
      </c>
      <c r="K11" s="712"/>
      <c r="L11" s="712">
        <v>0</v>
      </c>
      <c r="M11" s="712"/>
      <c r="N11" s="712">
        <v>0</v>
      </c>
      <c r="O11" s="712"/>
      <c r="P11" s="712">
        <v>0</v>
      </c>
      <c r="Q11" s="712"/>
      <c r="R11" s="712">
        <v>0</v>
      </c>
      <c r="S11" s="712"/>
      <c r="T11" s="712">
        <v>0</v>
      </c>
      <c r="U11" s="712"/>
      <c r="V11" s="715">
        <f t="shared" si="0"/>
        <v>100000</v>
      </c>
    </row>
    <row r="12" spans="2:22" ht="21" customHeight="1">
      <c r="B12" s="687" t="s">
        <v>41</v>
      </c>
      <c r="C12" s="688" t="str">
        <f>Summary!C19</f>
        <v>Waste - Procurement Cost Benefits - Avoided Support Costs</v>
      </c>
      <c r="D12" s="728">
        <f>'A5 Waste Proc Cost Benefits '!D75</f>
        <v>1</v>
      </c>
      <c r="E12" s="270"/>
      <c r="F12" s="712">
        <f>Summary!Q19</f>
        <v>432000</v>
      </c>
      <c r="G12" s="277"/>
      <c r="H12" s="712">
        <v>0</v>
      </c>
      <c r="I12" s="712"/>
      <c r="J12" s="712">
        <v>0</v>
      </c>
      <c r="K12" s="712"/>
      <c r="L12" s="712">
        <v>0</v>
      </c>
      <c r="M12" s="712"/>
      <c r="N12" s="712">
        <v>0</v>
      </c>
      <c r="O12" s="712"/>
      <c r="P12" s="712">
        <v>0</v>
      </c>
      <c r="Q12" s="712"/>
      <c r="R12" s="712">
        <v>0</v>
      </c>
      <c r="S12" s="712"/>
      <c r="T12" s="712">
        <v>0</v>
      </c>
      <c r="U12" s="712"/>
      <c r="V12" s="715">
        <f t="shared" si="0"/>
        <v>432000</v>
      </c>
    </row>
    <row r="13" spans="2:22" ht="21" customHeight="1">
      <c r="B13" s="687" t="s">
        <v>42</v>
      </c>
      <c r="C13" s="688" t="str">
        <f>Summary!C20</f>
        <v>ESA 95 - Consultancy Costs Avoided</v>
      </c>
      <c r="D13" s="728">
        <f>'A6 ESA95 Consult Fees'!D75</f>
        <v>1</v>
      </c>
      <c r="E13" s="270"/>
      <c r="F13" s="712">
        <f>Summary!Q20</f>
        <v>24093.524752499994</v>
      </c>
      <c r="G13" s="277"/>
      <c r="H13" s="712">
        <v>0</v>
      </c>
      <c r="I13" s="712"/>
      <c r="J13" s="712">
        <v>0</v>
      </c>
      <c r="K13" s="712"/>
      <c r="L13" s="712">
        <v>0</v>
      </c>
      <c r="M13" s="712"/>
      <c r="N13" s="712">
        <v>0</v>
      </c>
      <c r="O13" s="712"/>
      <c r="P13" s="712">
        <v>0</v>
      </c>
      <c r="Q13" s="712"/>
      <c r="R13" s="712">
        <v>0</v>
      </c>
      <c r="S13" s="712"/>
      <c r="T13" s="712">
        <v>0</v>
      </c>
      <c r="U13" s="712"/>
      <c r="V13" s="715">
        <f t="shared" si="0"/>
        <v>24093.524752499994</v>
      </c>
    </row>
    <row r="14" spans="2:22" ht="21" customHeight="1">
      <c r="B14" s="687" t="s">
        <v>43</v>
      </c>
      <c r="C14" s="688" t="str">
        <f>Summary!C21</f>
        <v>TIF - Consultancy Costs Avoided</v>
      </c>
      <c r="D14" s="728">
        <f>'A7 TIF Consult Fees'!D75</f>
        <v>1</v>
      </c>
      <c r="E14" s="270"/>
      <c r="F14" s="712">
        <f>Summary!Q21</f>
        <v>127125.25</v>
      </c>
      <c r="G14" s="277"/>
      <c r="H14" s="712">
        <v>0</v>
      </c>
      <c r="I14" s="712"/>
      <c r="J14" s="712">
        <v>0</v>
      </c>
      <c r="K14" s="712"/>
      <c r="L14" s="712">
        <v>0</v>
      </c>
      <c r="M14" s="712"/>
      <c r="N14" s="712">
        <v>0</v>
      </c>
      <c r="O14" s="712"/>
      <c r="P14" s="712">
        <v>0</v>
      </c>
      <c r="Q14" s="712"/>
      <c r="R14" s="712">
        <v>0</v>
      </c>
      <c r="S14" s="712"/>
      <c r="T14" s="712">
        <v>0</v>
      </c>
      <c r="U14" s="712"/>
      <c r="V14" s="715">
        <f t="shared" si="0"/>
        <v>127125.25</v>
      </c>
    </row>
    <row r="15" spans="2:22" ht="21" customHeight="1">
      <c r="B15" s="687" t="s">
        <v>44</v>
      </c>
      <c r="C15" s="688" t="str">
        <f>Summary!C22</f>
        <v>NHT - Consultancy Costs Avoided</v>
      </c>
      <c r="D15" s="728">
        <f>'A8 NHT Consult Fees'!D75</f>
        <v>1</v>
      </c>
      <c r="E15" s="270"/>
      <c r="F15" s="712">
        <f>Summary!Q22</f>
        <v>472800</v>
      </c>
      <c r="G15" s="277"/>
      <c r="H15" s="712">
        <v>0</v>
      </c>
      <c r="I15" s="712"/>
      <c r="J15" s="712">
        <v>0</v>
      </c>
      <c r="K15" s="712"/>
      <c r="L15" s="712">
        <v>0</v>
      </c>
      <c r="M15" s="712"/>
      <c r="N15" s="712">
        <v>0</v>
      </c>
      <c r="O15" s="712"/>
      <c r="P15" s="712">
        <v>0</v>
      </c>
      <c r="Q15" s="712"/>
      <c r="R15" s="712">
        <v>0</v>
      </c>
      <c r="S15" s="712"/>
      <c r="T15" s="712">
        <v>0</v>
      </c>
      <c r="U15" s="712"/>
      <c r="V15" s="715">
        <f t="shared" si="0"/>
        <v>472800</v>
      </c>
    </row>
    <row r="16" spans="2:22" ht="21" customHeight="1">
      <c r="B16" s="687" t="s">
        <v>392</v>
      </c>
      <c r="C16" s="688" t="str">
        <f>Summary!C23</f>
        <v>URC - Consultancy Costs Avoided</v>
      </c>
      <c r="D16" s="728">
        <f>'A9 URC Consult Fees'!D75</f>
        <v>1</v>
      </c>
      <c r="E16" s="270"/>
      <c r="F16" s="712">
        <f>Summary!Q23</f>
        <v>16200</v>
      </c>
      <c r="G16" s="277"/>
      <c r="H16" s="712">
        <v>0</v>
      </c>
      <c r="I16" s="712"/>
      <c r="J16" s="712">
        <v>0</v>
      </c>
      <c r="K16" s="712"/>
      <c r="L16" s="712">
        <v>0</v>
      </c>
      <c r="M16" s="712"/>
      <c r="N16" s="712">
        <v>0</v>
      </c>
      <c r="O16" s="712"/>
      <c r="P16" s="712">
        <v>0</v>
      </c>
      <c r="Q16" s="712"/>
      <c r="R16" s="712">
        <v>0</v>
      </c>
      <c r="S16" s="712"/>
      <c r="T16" s="712">
        <v>0</v>
      </c>
      <c r="U16" s="712"/>
      <c r="V16" s="715">
        <f t="shared" si="0"/>
        <v>16200</v>
      </c>
    </row>
    <row r="17" spans="2:22" ht="26.25" customHeight="1">
      <c r="B17" s="687" t="s">
        <v>400</v>
      </c>
      <c r="C17" s="688" t="str">
        <f>Summary!C24</f>
        <v>CMAL - Consultancy Costs Avoided</v>
      </c>
      <c r="D17" s="728">
        <f>'A10 CMAL Consult Fees '!D75</f>
        <v>0.5</v>
      </c>
      <c r="E17" s="270"/>
      <c r="F17" s="712">
        <f>Summary!Q24</f>
        <v>100000</v>
      </c>
      <c r="G17" s="277"/>
      <c r="H17" s="712">
        <v>0</v>
      </c>
      <c r="I17" s="712"/>
      <c r="J17" s="712">
        <v>0</v>
      </c>
      <c r="K17" s="712"/>
      <c r="L17" s="712">
        <v>0</v>
      </c>
      <c r="M17" s="712"/>
      <c r="N17" s="712">
        <v>0</v>
      </c>
      <c r="O17" s="712"/>
      <c r="P17" s="712">
        <v>0</v>
      </c>
      <c r="Q17" s="712"/>
      <c r="R17" s="712">
        <v>0</v>
      </c>
      <c r="S17" s="712"/>
      <c r="T17" s="712">
        <f>F17</f>
        <v>100000</v>
      </c>
      <c r="U17" s="712"/>
      <c r="V17" s="715">
        <f t="shared" si="0"/>
        <v>200000</v>
      </c>
    </row>
    <row r="18" spans="2:22" ht="24" customHeight="1">
      <c r="B18" s="687" t="s">
        <v>405</v>
      </c>
      <c r="C18" s="688" t="str">
        <f>Summary!C25</f>
        <v>Collaborative Housing - Consultancy Costs Avoided</v>
      </c>
      <c r="D18" s="728">
        <f>'A11 CH Consult Fees'!D75</f>
        <v>1</v>
      </c>
      <c r="E18" s="270"/>
      <c r="F18" s="712">
        <f>Summary!Q25</f>
        <v>149000</v>
      </c>
      <c r="G18" s="277"/>
      <c r="H18" s="712">
        <v>0</v>
      </c>
      <c r="I18" s="712"/>
      <c r="J18" s="712">
        <v>0</v>
      </c>
      <c r="K18" s="712"/>
      <c r="L18" s="712">
        <v>0</v>
      </c>
      <c r="M18" s="712"/>
      <c r="N18" s="712">
        <v>0</v>
      </c>
      <c r="O18" s="712"/>
      <c r="P18" s="712">
        <v>0</v>
      </c>
      <c r="Q18" s="712"/>
      <c r="R18" s="712">
        <v>0</v>
      </c>
      <c r="S18" s="712"/>
      <c r="T18" s="712">
        <v>0</v>
      </c>
      <c r="U18" s="712"/>
      <c r="V18" s="715">
        <f t="shared" si="0"/>
        <v>149000</v>
      </c>
    </row>
    <row r="19" spans="2:22" ht="30" customHeight="1">
      <c r="B19" s="687" t="s">
        <v>448</v>
      </c>
      <c r="C19" s="688" t="str">
        <f>Summary!C26</f>
        <v>Waste - Avoided Abortive Advisory Costs Clyde Valley</v>
      </c>
      <c r="D19" s="728">
        <f>'A12 Waste Avoided Abort Cost CV'!D75</f>
        <v>0.5</v>
      </c>
      <c r="E19" s="270"/>
      <c r="F19" s="712">
        <f>Summary!Q26</f>
        <v>77000</v>
      </c>
      <c r="G19" s="277"/>
      <c r="H19" s="712">
        <v>0</v>
      </c>
      <c r="I19" s="712"/>
      <c r="J19" s="712">
        <f>F19</f>
        <v>77000</v>
      </c>
      <c r="K19" s="712"/>
      <c r="L19" s="712">
        <v>0</v>
      </c>
      <c r="M19" s="712"/>
      <c r="N19" s="712">
        <v>0</v>
      </c>
      <c r="O19" s="712"/>
      <c r="P19" s="712">
        <v>0</v>
      </c>
      <c r="Q19" s="712"/>
      <c r="R19" s="712">
        <v>0</v>
      </c>
      <c r="S19" s="712"/>
      <c r="T19" s="712">
        <v>0</v>
      </c>
      <c r="U19" s="712"/>
      <c r="V19" s="715">
        <f t="shared" si="0"/>
        <v>154000</v>
      </c>
    </row>
    <row r="20" spans="2:22" ht="27.75" customHeight="1">
      <c r="B20" s="687" t="s">
        <v>450</v>
      </c>
      <c r="C20" s="688" t="str">
        <f>Summary!C27</f>
        <v>Waste - Avoided Advisory Costs - Projects other than Clyde Valley</v>
      </c>
      <c r="D20" s="728">
        <f>'A13 Waste Avoid Advisor Non CV '!D75</f>
        <v>0.5</v>
      </c>
      <c r="E20" s="270"/>
      <c r="F20" s="712">
        <f>Summary!Q27</f>
        <v>104267.93500039438</v>
      </c>
      <c r="G20" s="277"/>
      <c r="H20" s="712">
        <v>0</v>
      </c>
      <c r="I20" s="712"/>
      <c r="J20" s="712">
        <f>F20</f>
        <v>104267.93500039438</v>
      </c>
      <c r="K20" s="712"/>
      <c r="L20" s="712">
        <v>0</v>
      </c>
      <c r="M20" s="712"/>
      <c r="N20" s="712">
        <v>0</v>
      </c>
      <c r="O20" s="712"/>
      <c r="P20" s="712">
        <v>0</v>
      </c>
      <c r="Q20" s="712"/>
      <c r="R20" s="712">
        <v>0</v>
      </c>
      <c r="S20" s="712"/>
      <c r="T20" s="712">
        <v>0</v>
      </c>
      <c r="U20" s="712"/>
      <c r="V20" s="715">
        <f t="shared" si="0"/>
        <v>208535.87000078877</v>
      </c>
    </row>
    <row r="21" spans="2:22" ht="24" customHeight="1">
      <c r="B21" s="687" t="s">
        <v>454</v>
      </c>
      <c r="C21" s="688" t="str">
        <f>Summary!C28</f>
        <v>Waste - Avoided Advisory Costs - Clyde Valley</v>
      </c>
      <c r="D21" s="728">
        <f>'A14 Waste Avoid Advisor CV '!D75</f>
        <v>0.33300000000000002</v>
      </c>
      <c r="E21" s="270"/>
      <c r="F21" s="712">
        <f>Summary!Q28</f>
        <v>8193.0383921536686</v>
      </c>
      <c r="G21" s="277"/>
      <c r="H21" s="712">
        <v>0</v>
      </c>
      <c r="I21" s="712"/>
      <c r="J21" s="712">
        <f>F21</f>
        <v>8193.0383921536686</v>
      </c>
      <c r="K21" s="712"/>
      <c r="L21" s="712">
        <v>0</v>
      </c>
      <c r="M21" s="712"/>
      <c r="N21" s="712">
        <v>0</v>
      </c>
      <c r="O21" s="712"/>
      <c r="P21" s="712">
        <f>F21</f>
        <v>8193.0383921536686</v>
      </c>
      <c r="Q21" s="712"/>
      <c r="R21" s="712">
        <v>0</v>
      </c>
      <c r="S21" s="712"/>
      <c r="T21" s="712">
        <v>0</v>
      </c>
      <c r="U21" s="712"/>
      <c r="V21" s="715">
        <f t="shared" si="0"/>
        <v>24579.115176461004</v>
      </c>
    </row>
    <row r="22" spans="2:22" ht="24" customHeight="1">
      <c r="B22" s="687" t="s">
        <v>455</v>
      </c>
      <c r="C22" s="688" t="str">
        <f>Summary!C29</f>
        <v xml:space="preserve">Waste - Avoided Disposal Costs - Clyde Valley </v>
      </c>
      <c r="D22" s="728">
        <f>'A15 Waste Avoid Disposal Non CV'!D75</f>
        <v>0.33300000000000002</v>
      </c>
      <c r="E22" s="270"/>
      <c r="F22" s="712">
        <f>Summary!Q29</f>
        <v>12595.996389308633</v>
      </c>
      <c r="G22" s="277"/>
      <c r="H22" s="712">
        <v>0</v>
      </c>
      <c r="I22" s="712"/>
      <c r="J22" s="712">
        <f>F22</f>
        <v>12595.996389308633</v>
      </c>
      <c r="K22" s="712"/>
      <c r="L22" s="712">
        <v>0</v>
      </c>
      <c r="M22" s="712"/>
      <c r="N22" s="712">
        <v>0</v>
      </c>
      <c r="O22" s="712"/>
      <c r="P22" s="712">
        <f>F22</f>
        <v>12595.996389308633</v>
      </c>
      <c r="Q22" s="712"/>
      <c r="R22" s="712">
        <v>0</v>
      </c>
      <c r="S22" s="712"/>
      <c r="T22" s="712">
        <v>0</v>
      </c>
      <c r="U22" s="712"/>
      <c r="V22" s="715">
        <f t="shared" si="0"/>
        <v>37787.989167925902</v>
      </c>
    </row>
    <row r="23" spans="2:22" ht="21" customHeight="1">
      <c r="B23" s="687" t="s">
        <v>456</v>
      </c>
      <c r="C23" s="688" t="str">
        <f>Summary!C30</f>
        <v>Waste - Food Treatment Support</v>
      </c>
      <c r="D23" s="728">
        <f>'A16 Waste Food Treatment Suppor'!D75</f>
        <v>0.5</v>
      </c>
      <c r="E23" s="270"/>
      <c r="F23" s="712">
        <f>Summary!Q30</f>
        <v>12000</v>
      </c>
      <c r="G23" s="277"/>
      <c r="H23" s="712">
        <v>0</v>
      </c>
      <c r="I23" s="712"/>
      <c r="J23" s="712">
        <v>0</v>
      </c>
      <c r="K23" s="712"/>
      <c r="L23" s="712">
        <v>0</v>
      </c>
      <c r="M23" s="712"/>
      <c r="N23" s="712">
        <v>0</v>
      </c>
      <c r="O23" s="712"/>
      <c r="P23" s="712">
        <f>F23</f>
        <v>12000</v>
      </c>
      <c r="Q23" s="712"/>
      <c r="R23" s="712">
        <v>0</v>
      </c>
      <c r="S23" s="712"/>
      <c r="T23" s="712">
        <v>0</v>
      </c>
      <c r="U23" s="712"/>
      <c r="V23" s="715">
        <f t="shared" si="0"/>
        <v>24000</v>
      </c>
    </row>
    <row r="24" spans="2:22" ht="21.75" customHeight="1">
      <c r="B24" s="687" t="s">
        <v>457</v>
      </c>
      <c r="C24" s="688" t="str">
        <f>Summary!C31</f>
        <v>Waste - Avoided Future Contract Variations</v>
      </c>
      <c r="D24" s="728">
        <f>'A17 Wst Avoid Future Variations'!D75</f>
        <v>0.5</v>
      </c>
      <c r="E24" s="270"/>
      <c r="F24" s="712">
        <f>Summary!Q31</f>
        <v>196385.33564322779</v>
      </c>
      <c r="G24" s="277"/>
      <c r="H24" s="712">
        <v>0</v>
      </c>
      <c r="I24" s="712"/>
      <c r="J24" s="712">
        <f>F24</f>
        <v>196385.33564322779</v>
      </c>
      <c r="K24" s="712"/>
      <c r="L24" s="712">
        <v>0</v>
      </c>
      <c r="M24" s="712"/>
      <c r="N24" s="712">
        <v>0</v>
      </c>
      <c r="O24" s="712"/>
      <c r="P24" s="712">
        <v>0</v>
      </c>
      <c r="Q24" s="712"/>
      <c r="R24" s="712">
        <v>0</v>
      </c>
      <c r="S24" s="712"/>
      <c r="T24" s="712">
        <v>0</v>
      </c>
      <c r="U24" s="712"/>
      <c r="V24" s="715">
        <f t="shared" si="0"/>
        <v>392770.67128645559</v>
      </c>
    </row>
    <row r="25" spans="2:22" ht="27.75" customHeight="1">
      <c r="B25" s="687" t="s">
        <v>490</v>
      </c>
      <c r="C25" s="688" t="str">
        <f>Summary!C32</f>
        <v>Avoided Consultancy Costs - NPD Contract</v>
      </c>
      <c r="D25" s="728">
        <f>'A18 NPD Contract-Avoid Consulta'!D75</f>
        <v>1</v>
      </c>
      <c r="E25" s="270"/>
      <c r="F25" s="712">
        <f>Summary!Q32</f>
        <v>74000</v>
      </c>
      <c r="G25" s="277"/>
      <c r="H25" s="712">
        <v>0</v>
      </c>
      <c r="I25" s="712"/>
      <c r="J25" s="712">
        <v>0</v>
      </c>
      <c r="K25" s="712"/>
      <c r="L25" s="712">
        <v>0</v>
      </c>
      <c r="M25" s="712"/>
      <c r="N25" s="712">
        <v>0</v>
      </c>
      <c r="O25" s="712"/>
      <c r="P25" s="712">
        <v>0</v>
      </c>
      <c r="Q25" s="712"/>
      <c r="R25" s="712">
        <v>0</v>
      </c>
      <c r="S25" s="712"/>
      <c r="T25" s="712">
        <v>0</v>
      </c>
      <c r="U25" s="712"/>
      <c r="V25" s="715">
        <f t="shared" si="0"/>
        <v>74000</v>
      </c>
    </row>
    <row r="26" spans="2:22" ht="24" customHeight="1">
      <c r="B26" s="687" t="s">
        <v>634</v>
      </c>
      <c r="C26" s="688" t="str">
        <f>Summary!C33</f>
        <v>hub - Consultancy Costs Avoided</v>
      </c>
      <c r="D26" s="728">
        <f>'A19 hub consultancy avoided'!D75</f>
        <v>0.33</v>
      </c>
      <c r="E26" s="270"/>
      <c r="F26" s="712">
        <f>Summary!Q33</f>
        <v>121095.65217391305</v>
      </c>
      <c r="G26" s="277"/>
      <c r="H26" s="712">
        <v>0</v>
      </c>
      <c r="I26" s="712"/>
      <c r="J26" s="712">
        <f>F26</f>
        <v>121095.65217391305</v>
      </c>
      <c r="K26" s="712"/>
      <c r="L26" s="712">
        <f>F26</f>
        <v>121095.65217391305</v>
      </c>
      <c r="M26" s="712"/>
      <c r="N26" s="712">
        <v>0</v>
      </c>
      <c r="O26" s="712"/>
      <c r="P26" s="712">
        <v>0</v>
      </c>
      <c r="Q26" s="712"/>
      <c r="R26" s="712">
        <v>0</v>
      </c>
      <c r="S26" s="712"/>
      <c r="T26" s="712">
        <v>0</v>
      </c>
      <c r="U26" s="712"/>
      <c r="V26" s="715">
        <f t="shared" si="0"/>
        <v>363286.95652173914</v>
      </c>
    </row>
    <row r="27" spans="2:22" ht="24" customHeight="1">
      <c r="B27" s="687" t="str">
        <f>Summary!B34</f>
        <v>A20</v>
      </c>
      <c r="C27" s="688" t="str">
        <f>Summary!C34</f>
        <v>hub performance management - avoided costs</v>
      </c>
      <c r="D27" s="728">
        <f>'A20 hub performance mngt'!D75</f>
        <v>0.5</v>
      </c>
      <c r="E27" s="270"/>
      <c r="F27" s="712">
        <f>Summary!Q34</f>
        <v>47823.943264196052</v>
      </c>
      <c r="G27" s="277"/>
      <c r="H27" s="712">
        <v>0</v>
      </c>
      <c r="I27" s="712"/>
      <c r="J27" s="712">
        <v>0</v>
      </c>
      <c r="K27" s="712"/>
      <c r="L27" s="712">
        <v>0</v>
      </c>
      <c r="M27" s="712"/>
      <c r="N27" s="712">
        <v>0</v>
      </c>
      <c r="O27" s="712"/>
      <c r="P27" s="712">
        <v>0</v>
      </c>
      <c r="Q27" s="712"/>
      <c r="R27" s="712">
        <f>F27</f>
        <v>47823.943264196052</v>
      </c>
      <c r="S27" s="712"/>
      <c r="T27" s="712">
        <v>0</v>
      </c>
      <c r="U27" s="712"/>
      <c r="V27" s="715">
        <f>SUM(F27:T27)</f>
        <v>95647.886528392104</v>
      </c>
    </row>
    <row r="28" spans="2:22" ht="24" customHeight="1">
      <c r="B28" s="687" t="str">
        <f>Summary!B35</f>
        <v>A21</v>
      </c>
      <c r="C28" s="688" t="str">
        <f>Summary!C35</f>
        <v>Asset Management - Avoided Cost of Pilot Development Work (Consultancy Costs Avoided)</v>
      </c>
      <c r="D28" s="728">
        <f>'A21 Asset Mgt Avoided Dev Work'!D75</f>
        <v>1</v>
      </c>
      <c r="E28" s="270"/>
      <c r="F28" s="712">
        <f>Summary!Q35</f>
        <v>134000</v>
      </c>
      <c r="G28" s="277"/>
      <c r="H28" s="712">
        <v>0</v>
      </c>
      <c r="I28" s="712"/>
      <c r="J28" s="712">
        <v>0</v>
      </c>
      <c r="K28" s="712"/>
      <c r="L28" s="712">
        <v>0</v>
      </c>
      <c r="M28" s="712"/>
      <c r="N28" s="712">
        <v>0</v>
      </c>
      <c r="O28" s="712"/>
      <c r="P28" s="712">
        <v>0</v>
      </c>
      <c r="Q28" s="712"/>
      <c r="R28" s="712">
        <v>0</v>
      </c>
      <c r="S28" s="712"/>
      <c r="T28" s="712">
        <v>0</v>
      </c>
      <c r="U28" s="712"/>
      <c r="V28" s="715">
        <f>SUM(F28:T28)</f>
        <v>134000</v>
      </c>
    </row>
    <row r="29" spans="2:22" ht="23.25" customHeight="1" thickBot="1">
      <c r="B29" s="692" t="str">
        <f>Summary!B36</f>
        <v>A22</v>
      </c>
      <c r="C29" s="722" t="str">
        <f>Summary!C36</f>
        <v>Optimism Bias &amp; Contingency Management Review - Development Work</v>
      </c>
      <c r="D29" s="728">
        <f>'A22 Optimism Bias &amp; Contingency'!D75</f>
        <v>1</v>
      </c>
      <c r="E29" s="270"/>
      <c r="F29" s="712">
        <f>Summary!Q36</f>
        <v>49154.589371980677</v>
      </c>
      <c r="G29" s="277"/>
      <c r="H29" s="712">
        <v>0</v>
      </c>
      <c r="I29" s="712"/>
      <c r="J29" s="712">
        <v>0</v>
      </c>
      <c r="K29" s="712"/>
      <c r="L29" s="712">
        <v>0</v>
      </c>
      <c r="M29" s="712"/>
      <c r="N29" s="712">
        <v>0</v>
      </c>
      <c r="O29" s="712"/>
      <c r="P29" s="712">
        <v>0</v>
      </c>
      <c r="Q29" s="712"/>
      <c r="R29" s="712">
        <v>0</v>
      </c>
      <c r="S29" s="712"/>
      <c r="T29" s="712">
        <v>0</v>
      </c>
      <c r="U29" s="712"/>
      <c r="V29" s="715">
        <f>SUM(F29:T29)</f>
        <v>49154.589371980677</v>
      </c>
    </row>
    <row r="30" spans="2:22" ht="21.75" customHeight="1">
      <c r="B30" s="683" t="s">
        <v>210</v>
      </c>
      <c r="C30" s="684" t="str">
        <f>Summary!C37</f>
        <v xml:space="preserve">TIF - Development of Model </v>
      </c>
      <c r="D30" s="728">
        <f>'B1 TIF Develop'!D75</f>
        <v>0.33333333333333331</v>
      </c>
      <c r="E30" s="270"/>
      <c r="F30" s="712">
        <f>Summary!Q37</f>
        <v>22285113.575830396</v>
      </c>
      <c r="G30" s="277"/>
      <c r="H30" s="712">
        <f>F30</f>
        <v>22285113.575830396</v>
      </c>
      <c r="I30" s="712"/>
      <c r="J30" s="712">
        <f>F30</f>
        <v>22285113.575830396</v>
      </c>
      <c r="K30" s="712"/>
      <c r="L30" s="712">
        <v>0</v>
      </c>
      <c r="M30" s="712"/>
      <c r="N30" s="712">
        <v>0</v>
      </c>
      <c r="O30" s="712"/>
      <c r="P30" s="712">
        <v>0</v>
      </c>
      <c r="Q30" s="712"/>
      <c r="R30" s="712">
        <v>0</v>
      </c>
      <c r="S30" s="712"/>
      <c r="T30" s="712">
        <v>0</v>
      </c>
      <c r="U30" s="712"/>
      <c r="V30" s="715">
        <f t="shared" si="0"/>
        <v>66855340.727491185</v>
      </c>
    </row>
    <row r="31" spans="2:22" ht="24" customHeight="1" thickBot="1">
      <c r="B31" s="685" t="s">
        <v>211</v>
      </c>
      <c r="C31" s="686" t="str">
        <f>Summary!C38</f>
        <v xml:space="preserve">NHT - Development of Model </v>
      </c>
      <c r="D31" s="728">
        <f>'B2 NHT Develop'!D75</f>
        <v>0.33</v>
      </c>
      <c r="E31" s="270"/>
      <c r="F31" s="712">
        <f>Summary!Q38</f>
        <v>15774896.96375645</v>
      </c>
      <c r="G31" s="277"/>
      <c r="H31" s="712">
        <f>F31</f>
        <v>15774896.96375645</v>
      </c>
      <c r="I31" s="712"/>
      <c r="J31" s="712">
        <f>F31</f>
        <v>15774896.96375645</v>
      </c>
      <c r="K31" s="712"/>
      <c r="L31" s="712">
        <v>0</v>
      </c>
      <c r="M31" s="712"/>
      <c r="N31" s="712">
        <v>0</v>
      </c>
      <c r="O31" s="712"/>
      <c r="P31" s="712">
        <v>0</v>
      </c>
      <c r="Q31" s="712"/>
      <c r="R31" s="712">
        <v>0</v>
      </c>
      <c r="S31" s="712"/>
      <c r="T31" s="712">
        <v>0</v>
      </c>
      <c r="U31" s="712"/>
      <c r="V31" s="715">
        <f t="shared" si="0"/>
        <v>47324690.891269349</v>
      </c>
    </row>
    <row r="32" spans="2:22" ht="26.25" customHeight="1">
      <c r="B32" s="699" t="s">
        <v>212</v>
      </c>
      <c r="C32" s="700" t="str">
        <f>Summary!C39</f>
        <v>Western Isles and Orkney Schools Projects - Finance Structure</v>
      </c>
      <c r="D32" s="728">
        <f>'C1 West &amp; Ork'!D75</f>
        <v>0.5</v>
      </c>
      <c r="E32" s="270"/>
      <c r="F32" s="712">
        <f>Summary!Q39</f>
        <v>11824794.647618562</v>
      </c>
      <c r="G32" s="277"/>
      <c r="H32" s="712">
        <v>0</v>
      </c>
      <c r="I32" s="712"/>
      <c r="J32" s="712">
        <f>F32</f>
        <v>11824794.647618562</v>
      </c>
      <c r="K32" s="712"/>
      <c r="L32" s="712">
        <v>0</v>
      </c>
      <c r="M32" s="712"/>
      <c r="N32" s="712">
        <v>0</v>
      </c>
      <c r="O32" s="712"/>
      <c r="P32" s="712">
        <v>0</v>
      </c>
      <c r="Q32" s="712"/>
      <c r="R32" s="712">
        <v>0</v>
      </c>
      <c r="S32" s="712"/>
      <c r="T32" s="732">
        <v>0</v>
      </c>
      <c r="U32" s="712"/>
      <c r="V32" s="715">
        <f t="shared" si="0"/>
        <v>23649589.295237124</v>
      </c>
    </row>
    <row r="33" spans="2:22" ht="23.25" customHeight="1">
      <c r="B33" s="689" t="s">
        <v>213</v>
      </c>
      <c r="C33" s="690" t="str">
        <f>Summary!C40</f>
        <v>Borders Rail - Lower Financing Costs (Nil Benefit)</v>
      </c>
      <c r="D33" s="728">
        <v>0</v>
      </c>
      <c r="E33" s="270"/>
      <c r="F33" s="712">
        <f>Summary!Q40</f>
        <v>-255142.31600528854</v>
      </c>
      <c r="G33" s="277"/>
      <c r="H33" s="712">
        <v>0</v>
      </c>
      <c r="I33" s="712"/>
      <c r="J33" s="712">
        <v>0</v>
      </c>
      <c r="K33" s="712"/>
      <c r="L33" s="712">
        <v>0</v>
      </c>
      <c r="M33" s="712"/>
      <c r="N33" s="712">
        <v>0</v>
      </c>
      <c r="O33" s="712"/>
      <c r="P33" s="712">
        <v>0</v>
      </c>
      <c r="Q33" s="712"/>
      <c r="R33" s="712">
        <v>0</v>
      </c>
      <c r="S33" s="712"/>
      <c r="T33" s="712">
        <v>0</v>
      </c>
      <c r="U33" s="712"/>
      <c r="V33" s="715">
        <f t="shared" si="0"/>
        <v>-255142.31600528854</v>
      </c>
    </row>
    <row r="34" spans="2:22" ht="21" customHeight="1">
      <c r="B34" s="689" t="s">
        <v>214</v>
      </c>
      <c r="C34" s="690" t="str">
        <f>Summary!C41</f>
        <v>Borders Rail - Competition</v>
      </c>
      <c r="D34" s="728">
        <f>'C3 Borders Rail Comp'!D75</f>
        <v>0.5</v>
      </c>
      <c r="E34" s="270"/>
      <c r="F34" s="712">
        <f>Summary!Q41</f>
        <v>424828.0860030544</v>
      </c>
      <c r="G34" s="277"/>
      <c r="H34" s="712">
        <v>0</v>
      </c>
      <c r="I34" s="712"/>
      <c r="J34" s="712">
        <v>0</v>
      </c>
      <c r="K34" s="712"/>
      <c r="L34" s="712">
        <v>0</v>
      </c>
      <c r="M34" s="712"/>
      <c r="N34" s="712">
        <v>0</v>
      </c>
      <c r="O34" s="712"/>
      <c r="P34" s="712">
        <v>0</v>
      </c>
      <c r="Q34" s="712"/>
      <c r="R34" s="712">
        <v>0</v>
      </c>
      <c r="S34" s="712"/>
      <c r="T34" s="712">
        <v>0</v>
      </c>
      <c r="U34" s="712"/>
      <c r="V34" s="715">
        <f t="shared" si="0"/>
        <v>424828.0860030544</v>
      </c>
    </row>
    <row r="35" spans="2:22" ht="24" customHeight="1">
      <c r="B35" s="689" t="s">
        <v>409</v>
      </c>
      <c r="C35" s="690" t="str">
        <f>Summary!C42</f>
        <v>Orkney Schools Projects -  Business Case Diligence</v>
      </c>
      <c r="D35" s="728">
        <f>'C4 Orkney Schools Fin'!D75</f>
        <v>0.5</v>
      </c>
      <c r="E35" s="270"/>
      <c r="F35" s="712">
        <f>Summary!Q42</f>
        <v>353895.51848459843</v>
      </c>
      <c r="G35" s="277"/>
      <c r="H35" s="712">
        <f>F35</f>
        <v>353895.51848459843</v>
      </c>
      <c r="I35" s="712"/>
      <c r="J35" s="712">
        <v>0</v>
      </c>
      <c r="K35" s="712"/>
      <c r="L35" s="712">
        <v>0</v>
      </c>
      <c r="M35" s="712"/>
      <c r="N35" s="712">
        <v>0</v>
      </c>
      <c r="O35" s="712"/>
      <c r="P35" s="712">
        <v>0</v>
      </c>
      <c r="Q35" s="712"/>
      <c r="R35" s="712">
        <v>0</v>
      </c>
      <c r="S35" s="712"/>
      <c r="T35" s="712">
        <v>0</v>
      </c>
      <c r="U35" s="712"/>
      <c r="V35" s="715">
        <f t="shared" si="0"/>
        <v>707791.03696919687</v>
      </c>
    </row>
    <row r="36" spans="2:22" ht="21.75" customHeight="1">
      <c r="B36" s="689" t="s">
        <v>479</v>
      </c>
      <c r="C36" s="690" t="str">
        <f>Summary!C43</f>
        <v>RHSC/DCN Procurement Strategy and Increased Competition</v>
      </c>
      <c r="D36" s="728">
        <f>'C5 RHSC DCN Comp'!D75</f>
        <v>0.5</v>
      </c>
      <c r="E36" s="270"/>
      <c r="F36" s="712">
        <f>Summary!Q43</f>
        <v>361129.5653114586</v>
      </c>
      <c r="G36" s="277"/>
      <c r="H36" s="712">
        <v>0</v>
      </c>
      <c r="I36" s="712"/>
      <c r="J36" s="712">
        <v>0</v>
      </c>
      <c r="K36" s="712"/>
      <c r="L36" s="712">
        <f>F36</f>
        <v>361129.5653114586</v>
      </c>
      <c r="M36" s="712"/>
      <c r="N36" s="712">
        <v>0</v>
      </c>
      <c r="O36" s="712"/>
      <c r="P36" s="712">
        <v>0</v>
      </c>
      <c r="Q36" s="712"/>
      <c r="R36" s="712">
        <v>0</v>
      </c>
      <c r="S36" s="712"/>
      <c r="T36" s="712">
        <v>0</v>
      </c>
      <c r="U36" s="712"/>
      <c r="V36" s="715">
        <f t="shared" si="0"/>
        <v>722259.1306229172</v>
      </c>
    </row>
    <row r="37" spans="2:22" ht="23.25" customHeight="1">
      <c r="B37" s="689" t="s">
        <v>512</v>
      </c>
      <c r="C37" s="690" t="str">
        <f>Summary!C44</f>
        <v>NPD Contract - Saved Procurement Time</v>
      </c>
      <c r="D37" s="728">
        <f>'C6 NPD Saved Proc Time'!D75</f>
        <v>1</v>
      </c>
      <c r="E37" s="270"/>
      <c r="F37" s="712">
        <f>Summary!Q44</f>
        <v>780215.31070849672</v>
      </c>
      <c r="G37" s="277"/>
      <c r="H37" s="712">
        <v>0</v>
      </c>
      <c r="I37" s="712"/>
      <c r="J37" s="712">
        <v>0</v>
      </c>
      <c r="K37" s="712"/>
      <c r="L37" s="712">
        <v>0</v>
      </c>
      <c r="M37" s="712"/>
      <c r="N37" s="712">
        <v>0</v>
      </c>
      <c r="O37" s="712"/>
      <c r="P37" s="712">
        <v>0</v>
      </c>
      <c r="Q37" s="712"/>
      <c r="R37" s="712">
        <v>0</v>
      </c>
      <c r="S37" s="712"/>
      <c r="T37" s="712">
        <v>0</v>
      </c>
      <c r="U37" s="712"/>
      <c r="V37" s="715">
        <f t="shared" si="0"/>
        <v>780215.31070849672</v>
      </c>
    </row>
    <row r="38" spans="2:22" ht="24" customHeight="1">
      <c r="B38" s="689" t="s">
        <v>578</v>
      </c>
      <c r="C38" s="690" t="str">
        <f>Summary!C45</f>
        <v xml:space="preserve">NPD Contract - Optimal Risk Transfer </v>
      </c>
      <c r="D38" s="728">
        <f>'C7 NPD Optimal Risk Transfer'!D75</f>
        <v>1</v>
      </c>
      <c r="E38" s="270"/>
      <c r="F38" s="712">
        <f>Summary!Q45</f>
        <v>849219.11787830712</v>
      </c>
      <c r="G38" s="277"/>
      <c r="H38" s="712">
        <v>0</v>
      </c>
      <c r="I38" s="712"/>
      <c r="J38" s="712">
        <v>0</v>
      </c>
      <c r="K38" s="712"/>
      <c r="L38" s="712">
        <v>0</v>
      </c>
      <c r="M38" s="712"/>
      <c r="N38" s="712">
        <v>0</v>
      </c>
      <c r="O38" s="712"/>
      <c r="P38" s="712">
        <v>0</v>
      </c>
      <c r="Q38" s="712"/>
      <c r="R38" s="712">
        <v>0</v>
      </c>
      <c r="S38" s="712"/>
      <c r="T38" s="712">
        <v>0</v>
      </c>
      <c r="U38" s="712"/>
      <c r="V38" s="715">
        <f t="shared" si="0"/>
        <v>849219.11787830712</v>
      </c>
    </row>
    <row r="39" spans="2:22" ht="24" customHeight="1">
      <c r="B39" s="689" t="s">
        <v>642</v>
      </c>
      <c r="C39" s="690" t="str">
        <f>Summary!C46</f>
        <v>NPD Programme - Reduced Cost of Capital</v>
      </c>
      <c r="D39" s="728">
        <f>'C8 Reduced Cost of Capital'!D75</f>
        <v>0.5</v>
      </c>
      <c r="E39" s="270"/>
      <c r="F39" s="712">
        <f>Summary!Q46</f>
        <v>554194.5730138229</v>
      </c>
      <c r="G39" s="277"/>
      <c r="H39" s="732">
        <f>F39</f>
        <v>554194.5730138229</v>
      </c>
      <c r="I39" s="712"/>
      <c r="J39" s="712">
        <v>0</v>
      </c>
      <c r="K39" s="712"/>
      <c r="L39" s="712">
        <v>0</v>
      </c>
      <c r="M39" s="712"/>
      <c r="N39" s="712">
        <v>0</v>
      </c>
      <c r="O39" s="712"/>
      <c r="P39" s="712">
        <v>0</v>
      </c>
      <c r="Q39" s="712"/>
      <c r="R39" s="712">
        <v>0</v>
      </c>
      <c r="S39" s="712"/>
      <c r="T39" s="712">
        <v>0</v>
      </c>
      <c r="U39" s="712"/>
      <c r="V39" s="715">
        <f t="shared" si="0"/>
        <v>1108389.1460276458</v>
      </c>
    </row>
    <row r="40" spans="2:22" ht="24" customHeight="1" thickBot="1">
      <c r="B40" s="701" t="s">
        <v>674</v>
      </c>
      <c r="C40" s="702" t="str">
        <f>Summary!C47</f>
        <v>hub - Return on Working capital investment</v>
      </c>
      <c r="D40" s="728">
        <f>'C9 hub Return on Workg Cap Inv'!D75</f>
        <v>0.5</v>
      </c>
      <c r="E40" s="270"/>
      <c r="F40" s="712">
        <f>Summary!Q47</f>
        <v>15717.899270091635</v>
      </c>
      <c r="G40" s="277"/>
      <c r="H40" s="712">
        <v>0</v>
      </c>
      <c r="I40" s="712"/>
      <c r="J40" s="712">
        <v>0</v>
      </c>
      <c r="K40" s="712"/>
      <c r="L40" s="732"/>
      <c r="M40" s="712"/>
      <c r="N40" s="712">
        <v>0</v>
      </c>
      <c r="O40" s="712"/>
      <c r="P40" s="712">
        <v>0</v>
      </c>
      <c r="Q40" s="712"/>
      <c r="R40" s="712">
        <f t="shared" ref="R40:R46" si="1">F40</f>
        <v>15717.899270091635</v>
      </c>
      <c r="S40" s="712"/>
      <c r="T40" s="732">
        <v>0</v>
      </c>
      <c r="U40" s="712"/>
      <c r="V40" s="715">
        <f t="shared" si="0"/>
        <v>31435.79854018327</v>
      </c>
    </row>
    <row r="41" spans="2:22" ht="24" customHeight="1">
      <c r="B41" s="703" t="s">
        <v>215</v>
      </c>
      <c r="C41" s="704" t="str">
        <f>Summary!C48</f>
        <v>Hub Programme - Reduced Procurement Time</v>
      </c>
      <c r="D41" s="728">
        <f>'D1 hub Reduced Proc Time'!D75</f>
        <v>0.5</v>
      </c>
      <c r="E41" s="270"/>
      <c r="F41" s="712">
        <f>Summary!Q48</f>
        <v>3005296.7922486565</v>
      </c>
      <c r="G41" s="277"/>
      <c r="H41" s="712">
        <v>0</v>
      </c>
      <c r="I41" s="712"/>
      <c r="J41" s="712">
        <v>0</v>
      </c>
      <c r="K41" s="712"/>
      <c r="L41" s="712">
        <v>0</v>
      </c>
      <c r="M41" s="712"/>
      <c r="N41" s="712">
        <v>0</v>
      </c>
      <c r="O41" s="712"/>
      <c r="P41" s="712">
        <v>0</v>
      </c>
      <c r="Q41" s="712"/>
      <c r="R41" s="712">
        <f t="shared" si="1"/>
        <v>3005296.7922486565</v>
      </c>
      <c r="S41" s="712"/>
      <c r="T41" s="732">
        <v>0</v>
      </c>
      <c r="U41" s="712"/>
      <c r="V41" s="715">
        <f t="shared" si="0"/>
        <v>6010593.584497313</v>
      </c>
    </row>
    <row r="42" spans="2:22" ht="23.25" customHeight="1">
      <c r="B42" s="693" t="s">
        <v>216</v>
      </c>
      <c r="C42" s="694" t="str">
        <f>Summary!C49</f>
        <v>Hub Programme - Capital Costs Continuous Improvement</v>
      </c>
      <c r="D42" s="728">
        <f>'D2 hub Cont Improvement'!D75</f>
        <v>0.5</v>
      </c>
      <c r="E42" s="270"/>
      <c r="F42" s="712">
        <f>Summary!Q49</f>
        <v>3235532.493957866</v>
      </c>
      <c r="G42" s="277"/>
      <c r="H42" s="712">
        <v>0</v>
      </c>
      <c r="I42" s="712"/>
      <c r="J42" s="712">
        <v>0</v>
      </c>
      <c r="K42" s="712"/>
      <c r="L42" s="712">
        <v>0</v>
      </c>
      <c r="M42" s="712"/>
      <c r="N42" s="712">
        <v>0</v>
      </c>
      <c r="O42" s="712"/>
      <c r="P42" s="712">
        <v>0</v>
      </c>
      <c r="Q42" s="712"/>
      <c r="R42" s="712">
        <f t="shared" si="1"/>
        <v>3235532.493957866</v>
      </c>
      <c r="S42" s="712"/>
      <c r="T42" s="732">
        <v>0</v>
      </c>
      <c r="U42" s="712"/>
      <c r="V42" s="715">
        <f t="shared" si="0"/>
        <v>6471064.987915732</v>
      </c>
    </row>
    <row r="43" spans="2:22" ht="24" customHeight="1">
      <c r="B43" s="693" t="s">
        <v>259</v>
      </c>
      <c r="C43" s="694" t="str">
        <f>Summary!C50</f>
        <v>Hub Programme - Bid Costs Savings</v>
      </c>
      <c r="D43" s="728">
        <f>'D3 hub Savings in Bid Costs'!D75</f>
        <v>0.5</v>
      </c>
      <c r="E43" s="270"/>
      <c r="F43" s="712">
        <f>Summary!Q50</f>
        <v>1460486.3514257905</v>
      </c>
      <c r="G43" s="277"/>
      <c r="H43" s="712">
        <v>0</v>
      </c>
      <c r="I43" s="712"/>
      <c r="J43" s="712">
        <v>0</v>
      </c>
      <c r="K43" s="712"/>
      <c r="L43" s="712">
        <v>0</v>
      </c>
      <c r="M43" s="712"/>
      <c r="N43" s="712">
        <v>0</v>
      </c>
      <c r="O43" s="712"/>
      <c r="P43" s="712">
        <v>0</v>
      </c>
      <c r="Q43" s="712"/>
      <c r="R43" s="712">
        <f t="shared" si="1"/>
        <v>1460486.3514257905</v>
      </c>
      <c r="S43" s="712"/>
      <c r="T43" s="732">
        <v>0</v>
      </c>
      <c r="U43" s="712"/>
      <c r="V43" s="715">
        <f t="shared" si="0"/>
        <v>2920972.7028515809</v>
      </c>
    </row>
    <row r="44" spans="2:22" ht="24.75" customHeight="1">
      <c r="B44" s="693" t="s">
        <v>260</v>
      </c>
      <c r="C44" s="694" t="str">
        <f>Summary!C51</f>
        <v>Hub Programme - Public Sector Investment Returns</v>
      </c>
      <c r="D44" s="728">
        <f>'D4 hub Public Sector Inv Return'!D75</f>
        <v>0.5</v>
      </c>
      <c r="E44" s="270"/>
      <c r="F44" s="712">
        <f>Summary!Q51</f>
        <v>715330.16349193244</v>
      </c>
      <c r="G44" s="277"/>
      <c r="H44" s="712">
        <v>0</v>
      </c>
      <c r="I44" s="712"/>
      <c r="J44" s="712">
        <v>0</v>
      </c>
      <c r="K44" s="712"/>
      <c r="L44" s="712">
        <v>0</v>
      </c>
      <c r="M44" s="712"/>
      <c r="N44" s="712">
        <v>0</v>
      </c>
      <c r="O44" s="712"/>
      <c r="P44" s="712">
        <v>0</v>
      </c>
      <c r="Q44" s="712"/>
      <c r="R44" s="712">
        <f t="shared" si="1"/>
        <v>715330.16349193244</v>
      </c>
      <c r="S44" s="712"/>
      <c r="T44" s="732">
        <v>0</v>
      </c>
      <c r="U44" s="712"/>
      <c r="V44" s="715">
        <f t="shared" si="0"/>
        <v>1430660.3269838649</v>
      </c>
    </row>
    <row r="45" spans="2:22" ht="24.75" customHeight="1">
      <c r="B45" s="693" t="s">
        <v>261</v>
      </c>
      <c r="C45" s="694" t="str">
        <f>Summary!C52</f>
        <v>Hub Programme - Reduced Rates of Return</v>
      </c>
      <c r="D45" s="728">
        <f>'D5 hub Reduced IRR'!D75</f>
        <v>0.5</v>
      </c>
      <c r="E45" s="270"/>
      <c r="F45" s="712">
        <f>Summary!Q52</f>
        <v>1089311.6126443879</v>
      </c>
      <c r="G45" s="277"/>
      <c r="H45" s="712">
        <v>0</v>
      </c>
      <c r="I45" s="712"/>
      <c r="J45" s="712">
        <v>0</v>
      </c>
      <c r="K45" s="712"/>
      <c r="L45" s="712">
        <v>0</v>
      </c>
      <c r="M45" s="712"/>
      <c r="N45" s="712">
        <v>0</v>
      </c>
      <c r="O45" s="712"/>
      <c r="P45" s="712">
        <v>0</v>
      </c>
      <c r="Q45" s="712"/>
      <c r="R45" s="712">
        <f t="shared" si="1"/>
        <v>1089311.6126443879</v>
      </c>
      <c r="S45" s="712"/>
      <c r="T45" s="732">
        <v>0</v>
      </c>
      <c r="U45" s="712"/>
      <c r="V45" s="715">
        <f t="shared" si="0"/>
        <v>2178623.2252887757</v>
      </c>
    </row>
    <row r="46" spans="2:22" ht="30" customHeight="1">
      <c r="B46" s="693" t="s">
        <v>262</v>
      </c>
      <c r="C46" s="694" t="str">
        <f>Summary!C53</f>
        <v xml:space="preserve">Hub Programme - Dialogue Stage Public Sector Savings </v>
      </c>
      <c r="D46" s="728">
        <f>'D6 hub dialogue savings'!D75</f>
        <v>0.5</v>
      </c>
      <c r="E46" s="270"/>
      <c r="F46" s="712">
        <f>Summary!Q53</f>
        <v>374944.37273265544</v>
      </c>
      <c r="G46" s="277"/>
      <c r="H46" s="712">
        <v>0</v>
      </c>
      <c r="I46" s="712"/>
      <c r="J46" s="712">
        <v>0</v>
      </c>
      <c r="K46" s="712"/>
      <c r="L46" s="712">
        <v>0</v>
      </c>
      <c r="M46" s="712"/>
      <c r="N46" s="712">
        <v>0</v>
      </c>
      <c r="O46" s="712"/>
      <c r="P46" s="712">
        <v>0</v>
      </c>
      <c r="Q46" s="712"/>
      <c r="R46" s="712">
        <f t="shared" si="1"/>
        <v>374944.37273265544</v>
      </c>
      <c r="S46" s="712"/>
      <c r="T46" s="732">
        <v>0</v>
      </c>
      <c r="U46" s="712"/>
      <c r="V46" s="715">
        <f t="shared" si="0"/>
        <v>749888.74546531087</v>
      </c>
    </row>
    <row r="47" spans="2:22" ht="27.75" customHeight="1">
      <c r="B47" s="693" t="s">
        <v>263</v>
      </c>
      <c r="C47" s="694" t="str">
        <f>Summary!C54</f>
        <v>Schools Programme - Pilot Project Savings</v>
      </c>
      <c r="D47" s="728">
        <f>'D7 Schools Pilot Project'!D75</f>
        <v>0.5</v>
      </c>
      <c r="E47" s="270"/>
      <c r="F47" s="712">
        <f>Summary!Q54</f>
        <v>629129.59820011246</v>
      </c>
      <c r="G47" s="277"/>
      <c r="H47" s="712">
        <v>0</v>
      </c>
      <c r="I47" s="712"/>
      <c r="J47" s="732">
        <f>F47</f>
        <v>629129.59820011246</v>
      </c>
      <c r="K47" s="712"/>
      <c r="L47" s="712">
        <v>0</v>
      </c>
      <c r="M47" s="712"/>
      <c r="N47" s="712">
        <v>0</v>
      </c>
      <c r="O47" s="712"/>
      <c r="P47" s="712">
        <v>0</v>
      </c>
      <c r="Q47" s="712"/>
      <c r="R47" s="712">
        <v>0</v>
      </c>
      <c r="S47" s="712"/>
      <c r="T47" s="712">
        <v>0</v>
      </c>
      <c r="U47" s="712"/>
      <c r="V47" s="715">
        <f t="shared" si="0"/>
        <v>1258259.1964002249</v>
      </c>
    </row>
    <row r="48" spans="2:22" ht="21.75" customHeight="1">
      <c r="B48" s="693" t="s">
        <v>264</v>
      </c>
      <c r="C48" s="694" t="str">
        <f>Summary!C55</f>
        <v>Schools Programme - Needs Identification</v>
      </c>
      <c r="D48" s="728">
        <v>0.5</v>
      </c>
      <c r="E48" s="270"/>
      <c r="F48" s="712">
        <f>Summary!Q55</f>
        <v>2405260.9150466472</v>
      </c>
      <c r="G48" s="277"/>
      <c r="H48" s="712">
        <v>0</v>
      </c>
      <c r="I48" s="712"/>
      <c r="J48" s="712">
        <v>0</v>
      </c>
      <c r="K48" s="712"/>
      <c r="L48" s="712">
        <v>0</v>
      </c>
      <c r="M48" s="712"/>
      <c r="N48" s="712">
        <v>0</v>
      </c>
      <c r="O48" s="712"/>
      <c r="P48" s="712">
        <v>0</v>
      </c>
      <c r="Q48" s="712"/>
      <c r="R48" s="712">
        <v>0</v>
      </c>
      <c r="S48" s="712"/>
      <c r="T48" s="712">
        <v>0</v>
      </c>
      <c r="U48" s="712"/>
      <c r="V48" s="715">
        <f t="shared" si="0"/>
        <v>2405260.9150466472</v>
      </c>
    </row>
    <row r="49" spans="2:22" ht="27.75" customHeight="1">
      <c r="B49" s="693" t="s">
        <v>265</v>
      </c>
      <c r="C49" s="694" t="str">
        <f>Summary!C56</f>
        <v>Schools Programme - Continuous Improvement Savings</v>
      </c>
      <c r="D49" s="728">
        <f>'D9 Schools Cont Improv'!D75</f>
        <v>0.5</v>
      </c>
      <c r="E49" s="270"/>
      <c r="F49" s="712">
        <f>Summary!Q56</f>
        <v>3816435.5263551567</v>
      </c>
      <c r="G49" s="277"/>
      <c r="H49" s="712">
        <v>0</v>
      </c>
      <c r="I49" s="712"/>
      <c r="J49" s="712">
        <f>F49</f>
        <v>3816435.5263551567</v>
      </c>
      <c r="K49" s="712"/>
      <c r="L49" s="712">
        <v>0</v>
      </c>
      <c r="M49" s="712"/>
      <c r="N49" s="712">
        <v>0</v>
      </c>
      <c r="O49" s="712"/>
      <c r="P49" s="712">
        <v>0</v>
      </c>
      <c r="Q49" s="712"/>
      <c r="R49" s="712">
        <v>0</v>
      </c>
      <c r="S49" s="712"/>
      <c r="T49" s="712">
        <v>0</v>
      </c>
      <c r="U49" s="712"/>
      <c r="V49" s="715">
        <f t="shared" si="0"/>
        <v>7632871.0527103133</v>
      </c>
    </row>
    <row r="50" spans="2:22" ht="27.75" customHeight="1" thickBot="1">
      <c r="B50" s="705" t="s">
        <v>637</v>
      </c>
      <c r="C50" s="706" t="str">
        <f>Summary!C57</f>
        <v>Blank - Nil Benefit</v>
      </c>
      <c r="D50" s="728">
        <v>0</v>
      </c>
      <c r="E50" s="270"/>
      <c r="F50" s="712">
        <f>Summary!Q57</f>
        <v>0</v>
      </c>
      <c r="G50" s="277"/>
      <c r="H50" s="712">
        <v>0</v>
      </c>
      <c r="I50" s="712"/>
      <c r="J50" s="712">
        <v>0</v>
      </c>
      <c r="K50" s="712"/>
      <c r="L50" s="712">
        <v>0</v>
      </c>
      <c r="M50" s="712"/>
      <c r="N50" s="712">
        <v>0</v>
      </c>
      <c r="O50" s="712"/>
      <c r="P50" s="712">
        <v>0</v>
      </c>
      <c r="Q50" s="712"/>
      <c r="R50" s="712">
        <v>0</v>
      </c>
      <c r="S50" s="712"/>
      <c r="T50" s="712">
        <v>0</v>
      </c>
      <c r="U50" s="712"/>
      <c r="V50" s="715">
        <f t="shared" si="0"/>
        <v>0</v>
      </c>
    </row>
    <row r="51" spans="2:22" ht="26.25" customHeight="1">
      <c r="B51" s="707" t="s">
        <v>217</v>
      </c>
      <c r="C51" s="708" t="str">
        <f>Summary!C58</f>
        <v>Validation - Non-Standard Civils Projects (FRC)</v>
      </c>
      <c r="D51" s="728">
        <f>'E1 Valdn Non-Std Civils FRC'!D75</f>
        <v>0.5</v>
      </c>
      <c r="E51" s="270"/>
      <c r="F51" s="712">
        <f>Summary!Q58</f>
        <v>6748395.8630224429</v>
      </c>
      <c r="G51" s="277"/>
      <c r="H51" s="712">
        <v>0</v>
      </c>
      <c r="I51" s="712"/>
      <c r="J51" s="712">
        <v>0</v>
      </c>
      <c r="K51" s="712"/>
      <c r="L51" s="712">
        <v>0</v>
      </c>
      <c r="M51" s="712"/>
      <c r="N51" s="712">
        <f>F51</f>
        <v>6748395.8630224429</v>
      </c>
      <c r="O51" s="712"/>
      <c r="P51" s="712">
        <v>0</v>
      </c>
      <c r="Q51" s="712"/>
      <c r="R51" s="712">
        <v>0</v>
      </c>
      <c r="S51" s="712"/>
      <c r="T51" s="712">
        <v>0</v>
      </c>
      <c r="U51" s="712"/>
      <c r="V51" s="715">
        <f t="shared" si="0"/>
        <v>13496791.726044886</v>
      </c>
    </row>
    <row r="52" spans="2:22" ht="26.25" customHeight="1">
      <c r="B52" s="695" t="s">
        <v>266</v>
      </c>
      <c r="C52" s="696" t="str">
        <f>Summary!C59</f>
        <v>Validation - Standard Accommodation Projects</v>
      </c>
      <c r="D52" s="728">
        <f>'E2 Validation Std Accom'!D73</f>
        <v>0.5</v>
      </c>
      <c r="E52" s="270"/>
      <c r="F52" s="712">
        <f>Summary!Q59</f>
        <v>1060483.465370669</v>
      </c>
      <c r="G52" s="277"/>
      <c r="H52" s="712">
        <v>0</v>
      </c>
      <c r="I52" s="712"/>
      <c r="J52" s="712">
        <v>0</v>
      </c>
      <c r="K52" s="712"/>
      <c r="L52" s="712">
        <v>0</v>
      </c>
      <c r="M52" s="712"/>
      <c r="N52" s="712">
        <v>0</v>
      </c>
      <c r="O52" s="712"/>
      <c r="P52" s="712">
        <v>0</v>
      </c>
      <c r="Q52" s="712"/>
      <c r="R52" s="712">
        <v>0</v>
      </c>
      <c r="S52" s="712"/>
      <c r="T52" s="732">
        <f t="shared" ref="T52:T55" si="2">F52</f>
        <v>1060483.465370669</v>
      </c>
      <c r="U52" s="712"/>
      <c r="V52" s="715">
        <f t="shared" si="0"/>
        <v>2120966.9307413381</v>
      </c>
    </row>
    <row r="53" spans="2:22" ht="24.75" customHeight="1">
      <c r="B53" s="695" t="s">
        <v>403</v>
      </c>
      <c r="C53" s="696" t="str">
        <f>Summary!C60</f>
        <v>Validation - CMAL</v>
      </c>
      <c r="D53" s="728">
        <f>'E3 Validation CMAL'!D73</f>
        <v>0.33</v>
      </c>
      <c r="E53" s="270"/>
      <c r="F53" s="712">
        <f>Summary!Q60</f>
        <v>11212056.223039756</v>
      </c>
      <c r="G53" s="277"/>
      <c r="H53" s="712">
        <v>0</v>
      </c>
      <c r="I53" s="712"/>
      <c r="J53" s="712">
        <v>0</v>
      </c>
      <c r="K53" s="712"/>
      <c r="L53" s="712">
        <v>0</v>
      </c>
      <c r="M53" s="712"/>
      <c r="N53" s="712">
        <f>F53</f>
        <v>11212056.223039756</v>
      </c>
      <c r="O53" s="712"/>
      <c r="P53" s="712">
        <v>0</v>
      </c>
      <c r="Q53" s="712"/>
      <c r="R53" s="712">
        <v>0</v>
      </c>
      <c r="S53" s="712"/>
      <c r="T53" s="712">
        <f>N53</f>
        <v>11212056.223039756</v>
      </c>
      <c r="U53" s="712"/>
      <c r="V53" s="715">
        <f t="shared" si="0"/>
        <v>33636168.669119269</v>
      </c>
    </row>
    <row r="54" spans="2:22" ht="24.75" customHeight="1" thickBot="1">
      <c r="B54" s="709" t="s">
        <v>638</v>
      </c>
      <c r="C54" s="710" t="str">
        <f>Summary!C61</f>
        <v>Validation - Non-Standard Civils Projects (Borders Railway)</v>
      </c>
      <c r="D54" s="728">
        <f>'E4 Valdn Non-Std Civils (BOR)'!D75</f>
        <v>0.5</v>
      </c>
      <c r="E54" s="270"/>
      <c r="F54" s="712">
        <f>Summary!Q61</f>
        <v>317637.89639418852</v>
      </c>
      <c r="G54" s="277"/>
      <c r="H54" s="712">
        <v>0</v>
      </c>
      <c r="I54" s="712"/>
      <c r="J54" s="712">
        <v>0</v>
      </c>
      <c r="K54" s="712"/>
      <c r="L54" s="712">
        <v>0</v>
      </c>
      <c r="M54" s="712"/>
      <c r="N54" s="712">
        <f>F54</f>
        <v>317637.89639418852</v>
      </c>
      <c r="O54" s="712"/>
      <c r="P54" s="732">
        <v>0</v>
      </c>
      <c r="Q54" s="712"/>
      <c r="R54" s="712">
        <v>0</v>
      </c>
      <c r="S54" s="712"/>
      <c r="T54" s="712">
        <v>0</v>
      </c>
      <c r="U54" s="712"/>
      <c r="V54" s="715">
        <f t="shared" si="0"/>
        <v>635275.79278837703</v>
      </c>
    </row>
    <row r="55" spans="2:22" ht="27.75" customHeight="1">
      <c r="B55" s="711" t="s">
        <v>221</v>
      </c>
      <c r="C55" s="723" t="str">
        <f>Summary!C62</f>
        <v xml:space="preserve">Operational Projects Support </v>
      </c>
      <c r="D55" s="728">
        <f>'F1 Ops project support'!D75</f>
        <v>0.5</v>
      </c>
      <c r="E55" s="270"/>
      <c r="F55" s="712">
        <f>Summary!Q62</f>
        <v>2201958.2193546123</v>
      </c>
      <c r="G55" s="277"/>
      <c r="H55" s="712">
        <v>0</v>
      </c>
      <c r="I55" s="712"/>
      <c r="J55" s="712">
        <v>0</v>
      </c>
      <c r="K55" s="712"/>
      <c r="L55" s="712">
        <v>0</v>
      </c>
      <c r="M55" s="712"/>
      <c r="N55" s="712">
        <v>0</v>
      </c>
      <c r="O55" s="712"/>
      <c r="P55" s="712">
        <v>0</v>
      </c>
      <c r="Q55" s="712"/>
      <c r="R55" s="712">
        <v>0</v>
      </c>
      <c r="S55" s="712"/>
      <c r="T55" s="712">
        <f t="shared" si="2"/>
        <v>2201958.2193546123</v>
      </c>
      <c r="U55" s="712"/>
      <c r="V55" s="715">
        <f t="shared" si="0"/>
        <v>4403916.4387092246</v>
      </c>
    </row>
    <row r="56" spans="2:22" ht="24" customHeight="1">
      <c r="B56" s="697" t="s">
        <v>269</v>
      </c>
      <c r="C56" s="698" t="str">
        <f>Summary!C63</f>
        <v>Waste - Procurement Timetable Benefits - Avoided Disposal Costs - Projects other than Clyde Valley</v>
      </c>
      <c r="D56" s="728">
        <f>'G1 Wst Proc Time Benefits'!D75</f>
        <v>0.5</v>
      </c>
      <c r="E56" s="270"/>
      <c r="F56" s="712">
        <f>Summary!Q63</f>
        <v>3198.3826484133897</v>
      </c>
      <c r="G56" s="277"/>
      <c r="H56" s="712">
        <v>0</v>
      </c>
      <c r="I56" s="712"/>
      <c r="J56" s="712">
        <f>F56</f>
        <v>3198.3826484133897</v>
      </c>
      <c r="K56" s="712"/>
      <c r="L56" s="712">
        <v>0</v>
      </c>
      <c r="M56" s="712"/>
      <c r="N56" s="712">
        <v>0</v>
      </c>
      <c r="O56" s="712"/>
      <c r="P56" s="712">
        <v>0</v>
      </c>
      <c r="Q56" s="712"/>
      <c r="R56" s="712">
        <v>0</v>
      </c>
      <c r="S56" s="712"/>
      <c r="T56" s="712">
        <v>0</v>
      </c>
      <c r="U56" s="712"/>
      <c r="V56" s="715">
        <f t="shared" si="0"/>
        <v>6396.7652968267794</v>
      </c>
    </row>
    <row r="57" spans="2:22" ht="27.75" customHeight="1">
      <c r="B57" s="697" t="s">
        <v>268</v>
      </c>
      <c r="C57" s="698" t="str">
        <f>Summary!C64</f>
        <v>Waste - Service Cost Benefits (Reduced Gate Fees) - Projects other than Clyde Valley</v>
      </c>
      <c r="D57" s="728">
        <f>'G2 Wst Serv Cost Benefits'!D75</f>
        <v>0.5</v>
      </c>
      <c r="E57" s="270"/>
      <c r="F57" s="712">
        <f>Summary!Q64</f>
        <v>-1011762.7062125041</v>
      </c>
      <c r="G57" s="277"/>
      <c r="H57" s="712">
        <v>0</v>
      </c>
      <c r="I57" s="712"/>
      <c r="J57" s="712">
        <f>F57</f>
        <v>-1011762.7062125041</v>
      </c>
      <c r="K57" s="712"/>
      <c r="L57" s="712">
        <v>0</v>
      </c>
      <c r="M57" s="712"/>
      <c r="N57" s="712">
        <v>0</v>
      </c>
      <c r="O57" s="712"/>
      <c r="P57" s="712">
        <v>0</v>
      </c>
      <c r="Q57" s="712"/>
      <c r="R57" s="712">
        <v>0</v>
      </c>
      <c r="S57" s="712"/>
      <c r="T57" s="712">
        <v>0</v>
      </c>
      <c r="U57" s="712"/>
      <c r="V57" s="715">
        <f t="shared" si="0"/>
        <v>-2023525.4124250081</v>
      </c>
    </row>
    <row r="58" spans="2:22" ht="26.25" customHeight="1">
      <c r="B58" s="697" t="s">
        <v>445</v>
      </c>
      <c r="C58" s="698" t="str">
        <f>Summary!C65</f>
        <v>Waste - Reduced Gate Fees - Clyde Valley</v>
      </c>
      <c r="D58" s="728">
        <f>'G3 Waste Reduced Gate Fees CV'!D75</f>
        <v>0.33300000000000002</v>
      </c>
      <c r="E58" s="270"/>
      <c r="F58" s="712">
        <f>Summary!Q65</f>
        <v>2579913.7340605156</v>
      </c>
      <c r="G58" s="277"/>
      <c r="H58" s="712">
        <v>0</v>
      </c>
      <c r="I58" s="712"/>
      <c r="J58" s="712">
        <f>F58</f>
        <v>2579913.7340605156</v>
      </c>
      <c r="K58" s="712"/>
      <c r="L58" s="712">
        <v>0</v>
      </c>
      <c r="M58" s="712"/>
      <c r="N58" s="712">
        <v>0</v>
      </c>
      <c r="O58" s="712"/>
      <c r="P58" s="712">
        <f>F58</f>
        <v>2579913.7340605156</v>
      </c>
      <c r="Q58" s="712"/>
      <c r="R58" s="712">
        <v>0</v>
      </c>
      <c r="S58" s="712"/>
      <c r="T58" s="712">
        <v>0</v>
      </c>
      <c r="U58" s="712"/>
      <c r="V58" s="715">
        <f t="shared" si="0"/>
        <v>7739741.2021815469</v>
      </c>
    </row>
    <row r="59" spans="2:22" ht="26.25" customHeight="1">
      <c r="B59" s="697" t="s">
        <v>663</v>
      </c>
      <c r="C59" s="698" t="str">
        <f>Summary!C66</f>
        <v>Budget Recast - Initial Benefit Identification</v>
      </c>
      <c r="D59" s="270">
        <f>'G4 Budget Recast Immediate Save'!D75</f>
        <v>0.5</v>
      </c>
      <c r="E59" s="270"/>
      <c r="F59" s="712">
        <f>Summary!Q66</f>
        <v>30422605.868893057</v>
      </c>
      <c r="G59" s="277"/>
      <c r="H59" s="712">
        <f>F59</f>
        <v>30422605.868893057</v>
      </c>
      <c r="I59" s="712"/>
      <c r="J59" s="712">
        <v>0</v>
      </c>
      <c r="K59" s="712"/>
      <c r="L59" s="712">
        <v>0</v>
      </c>
      <c r="M59" s="712"/>
      <c r="N59" s="712">
        <v>0</v>
      </c>
      <c r="O59" s="712"/>
      <c r="P59" s="712">
        <v>0</v>
      </c>
      <c r="Q59" s="712"/>
      <c r="R59" s="712">
        <v>0</v>
      </c>
      <c r="S59" s="712"/>
      <c r="T59" s="712">
        <v>0</v>
      </c>
      <c r="U59" s="712"/>
      <c r="V59" s="715">
        <f t="shared" ref="V59:V61" si="3">SUM(F59:T59)</f>
        <v>60845211.737786114</v>
      </c>
    </row>
    <row r="60" spans="2:22" ht="26.25" customHeight="1">
      <c r="B60" s="697" t="str">
        <f>Summary!B67</f>
        <v>G5</v>
      </c>
      <c r="C60" s="698" t="str">
        <f>Summary!C67</f>
        <v xml:space="preserve">Asset Management </v>
      </c>
      <c r="D60" s="270">
        <f>'G5 Asset Mgt'!D75</f>
        <v>0.5</v>
      </c>
      <c r="E60" s="270"/>
      <c r="F60" s="712">
        <f>Summary!Q67</f>
        <v>7064897.9307950204</v>
      </c>
      <c r="G60" s="277"/>
      <c r="H60" s="712">
        <f>F60</f>
        <v>7064897.9307950204</v>
      </c>
      <c r="I60" s="712"/>
      <c r="J60" s="712">
        <v>0</v>
      </c>
      <c r="K60" s="712"/>
      <c r="L60" s="712">
        <v>0</v>
      </c>
      <c r="M60" s="712"/>
      <c r="N60" s="712">
        <v>0</v>
      </c>
      <c r="O60" s="712"/>
      <c r="P60" s="712">
        <v>0</v>
      </c>
      <c r="Q60" s="712"/>
      <c r="R60" s="712">
        <v>0</v>
      </c>
      <c r="S60" s="712"/>
      <c r="T60" s="712">
        <v>0</v>
      </c>
      <c r="U60" s="712"/>
      <c r="V60" s="715">
        <f t="shared" si="3"/>
        <v>14129795.861590041</v>
      </c>
    </row>
    <row r="61" spans="2:22" ht="26.25" customHeight="1" thickBot="1">
      <c r="B61" s="697" t="str">
        <f>Summary!B68</f>
        <v>G6</v>
      </c>
      <c r="C61" s="698" t="str">
        <f>Summary!C68</f>
        <v xml:space="preserve">NPD Programme - Needs not Wants - Scrutiny &amp; Challenge </v>
      </c>
      <c r="D61" s="728" t="e">
        <f>#REF!</f>
        <v>#REF!</v>
      </c>
      <c r="E61" s="270"/>
      <c r="F61" s="712">
        <f>Summary!Q68</f>
        <v>448626.52849388059</v>
      </c>
      <c r="G61" s="277"/>
      <c r="H61" s="712">
        <f>F61</f>
        <v>448626.52849388059</v>
      </c>
      <c r="I61" s="712"/>
      <c r="J61" s="712">
        <v>0</v>
      </c>
      <c r="K61" s="712"/>
      <c r="L61" s="712">
        <v>0</v>
      </c>
      <c r="M61" s="712"/>
      <c r="N61" s="712">
        <v>0</v>
      </c>
      <c r="O61" s="712"/>
      <c r="P61" s="712">
        <v>0</v>
      </c>
      <c r="Q61" s="712"/>
      <c r="R61" s="712">
        <v>0</v>
      </c>
      <c r="S61" s="712"/>
      <c r="T61" s="712">
        <f>H61</f>
        <v>448626.52849388059</v>
      </c>
      <c r="U61" s="712"/>
      <c r="V61" s="715">
        <f t="shared" si="3"/>
        <v>1345879.5854816418</v>
      </c>
    </row>
    <row r="62" spans="2:22" ht="33" customHeight="1" thickBot="1">
      <c r="B62" s="716" t="s">
        <v>458</v>
      </c>
      <c r="C62" s="172"/>
      <c r="D62" s="172"/>
      <c r="E62" s="172"/>
      <c r="F62" s="775">
        <f>SUM(F8:F61)</f>
        <v>133170537.4388209</v>
      </c>
      <c r="G62" s="776"/>
      <c r="H62" s="777">
        <f>SUM(H8:H61)</f>
        <v>76904230.959267214</v>
      </c>
      <c r="I62" s="777"/>
      <c r="J62" s="777">
        <f>SUM(J8:J61)</f>
        <v>56421257.679856099</v>
      </c>
      <c r="K62" s="777"/>
      <c r="L62" s="777">
        <f>SUM(L8:L61)</f>
        <v>482225.21748537163</v>
      </c>
      <c r="M62" s="777"/>
      <c r="N62" s="777">
        <f>SUM(N8:N61)</f>
        <v>18278089.98245639</v>
      </c>
      <c r="O62" s="777"/>
      <c r="P62" s="777">
        <f>SUM(P8:P61)</f>
        <v>2612702.7688419782</v>
      </c>
      <c r="Q62" s="777"/>
      <c r="R62" s="777">
        <f>SUM(R8:R61)</f>
        <v>9944443.6290355753</v>
      </c>
      <c r="S62" s="777"/>
      <c r="T62" s="777">
        <f>SUM(T8:T61)</f>
        <v>15023124.436258918</v>
      </c>
      <c r="U62" s="240"/>
      <c r="V62" s="778">
        <f>SUM(F62:T62)</f>
        <v>312836612.11202246</v>
      </c>
    </row>
    <row r="63" spans="2:22" ht="18.75" customHeight="1" thickBot="1">
      <c r="B63" s="731"/>
      <c r="C63" s="8"/>
      <c r="D63" s="8"/>
      <c r="E63" s="8"/>
      <c r="F63" s="712"/>
      <c r="G63" s="270"/>
      <c r="H63" s="682"/>
      <c r="I63" s="682"/>
      <c r="J63" s="682"/>
      <c r="K63" s="682"/>
      <c r="L63" s="682"/>
      <c r="M63" s="682"/>
      <c r="N63" s="682"/>
      <c r="O63" s="682"/>
      <c r="P63" s="682"/>
      <c r="Q63" s="682"/>
      <c r="R63" s="682"/>
      <c r="S63" s="682"/>
      <c r="T63" s="682"/>
      <c r="U63" s="139"/>
      <c r="V63" s="682">
        <f>SUM(V8:V61)</f>
        <v>312836612.11202246</v>
      </c>
    </row>
    <row r="64" spans="2:22" ht="17.25" customHeight="1">
      <c r="B64" t="s">
        <v>773</v>
      </c>
      <c r="F64" s="729" t="s">
        <v>771</v>
      </c>
      <c r="G64" s="671"/>
      <c r="H64" s="730" t="s">
        <v>762</v>
      </c>
      <c r="J64" s="729" t="s">
        <v>771</v>
      </c>
      <c r="K64" s="671"/>
      <c r="L64" s="730" t="s">
        <v>762</v>
      </c>
      <c r="V64" s="491"/>
    </row>
    <row r="65" spans="3:22" ht="3" customHeight="1" thickBot="1">
      <c r="F65" s="717"/>
      <c r="G65" s="718"/>
      <c r="H65" s="719"/>
      <c r="J65" s="7"/>
      <c r="K65" s="8"/>
      <c r="L65" s="1026"/>
      <c r="V65" t="s">
        <v>823</v>
      </c>
    </row>
    <row r="66" spans="3:22" ht="15.75" thickBot="1">
      <c r="C66" t="s">
        <v>774</v>
      </c>
      <c r="F66" s="717" t="s">
        <v>763</v>
      </c>
      <c r="G66" s="718"/>
      <c r="H66" s="1023">
        <f>F62/V62</f>
        <v>0.4256871871222489</v>
      </c>
      <c r="J66" s="717" t="s">
        <v>763</v>
      </c>
      <c r="K66" s="8"/>
      <c r="L66" s="1027">
        <f>H66</f>
        <v>0.4256871871222489</v>
      </c>
    </row>
    <row r="67" spans="3:22">
      <c r="C67" t="s">
        <v>777</v>
      </c>
      <c r="F67" s="717" t="s">
        <v>764</v>
      </c>
      <c r="G67" s="718"/>
      <c r="H67" s="1024">
        <f>H62/V62</f>
        <v>0.24582874248660153</v>
      </c>
      <c r="J67" s="717" t="s">
        <v>856</v>
      </c>
      <c r="K67" s="8"/>
      <c r="L67" s="1027">
        <f>H67+H70+H71</f>
        <v>0.31260734813080809</v>
      </c>
    </row>
    <row r="68" spans="3:22">
      <c r="C68" t="s">
        <v>775</v>
      </c>
      <c r="F68" s="717" t="s">
        <v>765</v>
      </c>
      <c r="G68" s="718"/>
      <c r="H68" s="1024">
        <f>J62/V62</f>
        <v>0.18035375494877315</v>
      </c>
      <c r="J68" s="717" t="s">
        <v>857</v>
      </c>
      <c r="K68" s="8"/>
      <c r="L68" s="1027">
        <f>H68+H69+H72+H73</f>
        <v>0.26170546474694295</v>
      </c>
    </row>
    <row r="69" spans="3:22">
      <c r="C69" t="s">
        <v>776</v>
      </c>
      <c r="F69" s="717" t="s">
        <v>127</v>
      </c>
      <c r="G69" s="718"/>
      <c r="H69" s="1024">
        <f>L62/V62</f>
        <v>1.5414602984918321E-3</v>
      </c>
      <c r="J69" s="717"/>
      <c r="K69" s="8"/>
      <c r="L69" s="1027"/>
    </row>
    <row r="70" spans="3:22">
      <c r="C70" t="s">
        <v>699</v>
      </c>
      <c r="F70" s="717" t="s">
        <v>769</v>
      </c>
      <c r="G70" s="718"/>
      <c r="H70" s="1024">
        <f>N62/V62</f>
        <v>5.842695283987815E-2</v>
      </c>
      <c r="J70" s="717"/>
      <c r="K70" s="8"/>
      <c r="L70" s="1027"/>
    </row>
    <row r="71" spans="3:22">
      <c r="C71" t="s">
        <v>106</v>
      </c>
      <c r="F71" s="717" t="s">
        <v>770</v>
      </c>
      <c r="G71" s="718"/>
      <c r="H71" s="1024">
        <f>P62/V62</f>
        <v>8.3516528043284313E-3</v>
      </c>
      <c r="J71" s="717"/>
      <c r="K71" s="8"/>
      <c r="L71" s="1027"/>
    </row>
    <row r="72" spans="3:22" ht="15.75" thickBot="1">
      <c r="F72" s="717" t="s">
        <v>778</v>
      </c>
      <c r="G72" s="718"/>
      <c r="H72" s="1024">
        <f>R62/V62</f>
        <v>3.1787978913013569E-2</v>
      </c>
      <c r="J72" s="11"/>
      <c r="K72" s="12"/>
      <c r="L72" s="1028">
        <f>SUM(L66:L71)</f>
        <v>1</v>
      </c>
    </row>
    <row r="73" spans="3:22">
      <c r="F73" s="717" t="s">
        <v>766</v>
      </c>
      <c r="G73" s="718"/>
      <c r="H73" s="1024">
        <f>T62/V62</f>
        <v>4.8022270586664403E-2</v>
      </c>
    </row>
    <row r="74" spans="3:22" ht="18" customHeight="1" thickBot="1">
      <c r="F74" s="720"/>
      <c r="G74" s="121"/>
      <c r="H74" s="1025">
        <f>SUM(H66:H73)</f>
        <v>1</v>
      </c>
    </row>
    <row r="75" spans="3:22">
      <c r="F75" s="26"/>
      <c r="G75" s="26"/>
      <c r="H75" s="26"/>
    </row>
  </sheetData>
  <sortState ref="B18:E67">
    <sortCondition ref="B18:B67"/>
  </sortState>
  <pageMargins left="0.7" right="0.7" top="0.75" bottom="0.75" header="0.3" footer="0.3"/>
  <pageSetup paperSize="8" scale="32" orientation="landscape" r:id="rId1"/>
  <legacyDrawing r:id="rId2"/>
</worksheet>
</file>

<file path=xl/worksheets/sheet40.xml><?xml version="1.0" encoding="utf-8"?>
<worksheet xmlns="http://schemas.openxmlformats.org/spreadsheetml/2006/main" xmlns:r="http://schemas.openxmlformats.org/officeDocument/2006/relationships">
  <sheetPr>
    <pageSetUpPr fitToPage="1"/>
  </sheetPr>
  <dimension ref="B1:AN130"/>
  <sheetViews>
    <sheetView topLeftCell="A68" zoomScale="75" zoomScaleNormal="75" workbookViewId="0">
      <selection activeCell="B1" sqref="B1:F78"/>
    </sheetView>
  </sheetViews>
  <sheetFormatPr defaultRowHeight="15"/>
  <cols>
    <col min="1" max="2" width="3.7109375" customWidth="1"/>
    <col min="3" max="3" width="61.42578125" bestFit="1" customWidth="1"/>
    <col min="4" max="4" width="42.85546875" style="26" customWidth="1"/>
    <col min="5" max="5" width="4.7109375" customWidth="1"/>
    <col min="6" max="7" width="3.7109375" customWidth="1"/>
    <col min="8" max="8" width="4.28515625" customWidth="1"/>
    <col min="9" max="9" width="4.7109375" customWidth="1"/>
    <col min="10" max="10" width="11.42578125" bestFit="1" customWidth="1"/>
    <col min="11" max="11" width="26.5703125" customWidth="1"/>
    <col min="12" max="12" width="9.140625" customWidth="1"/>
    <col min="13" max="13" width="9.42578125" customWidth="1"/>
    <col min="14" max="14" width="14.85546875" customWidth="1"/>
    <col min="15" max="15" width="36.28515625" bestFit="1" customWidth="1"/>
    <col min="18" max="18" width="9.85546875" customWidth="1"/>
    <col min="19" max="19" width="11.5703125" bestFit="1" customWidth="1"/>
    <col min="20" max="20" width="10.42578125" customWidth="1"/>
    <col min="21" max="21" width="12.140625" customWidth="1"/>
    <col min="22" max="22" width="9.85546875" bestFit="1" customWidth="1"/>
    <col min="23" max="23" width="17.42578125" bestFit="1" customWidth="1"/>
    <col min="24" max="39" width="11.140625" bestFit="1" customWidth="1"/>
    <col min="40" max="40" width="10.42578125" bestFit="1" customWidth="1"/>
  </cols>
  <sheetData>
    <row r="1" spans="2:6" ht="18.75">
      <c r="B1" s="280" t="s">
        <v>60</v>
      </c>
    </row>
    <row r="2" spans="2:6" ht="18.75">
      <c r="B2" s="280" t="s">
        <v>347</v>
      </c>
    </row>
    <row r="3" spans="2:6" ht="18.75">
      <c r="B3" s="280" t="s">
        <v>575</v>
      </c>
    </row>
    <row r="4" spans="2:6" ht="19.5" thickBot="1">
      <c r="B4" s="280"/>
      <c r="C4" s="50"/>
    </row>
    <row r="5" spans="2:6" ht="18.75">
      <c r="B5" s="356"/>
      <c r="C5" s="386" t="s">
        <v>105</v>
      </c>
      <c r="D5" s="358"/>
      <c r="E5" s="359"/>
      <c r="F5" s="360"/>
    </row>
    <row r="6" spans="2:6" ht="18.75">
      <c r="B6" s="361"/>
      <c r="C6" s="489" t="s">
        <v>575</v>
      </c>
      <c r="D6" s="363"/>
      <c r="E6" s="364"/>
      <c r="F6" s="365"/>
    </row>
    <row r="7" spans="2:6" ht="18.75">
      <c r="B7" s="361"/>
      <c r="C7" s="489" t="s">
        <v>104</v>
      </c>
      <c r="D7" s="363"/>
      <c r="E7" s="364"/>
      <c r="F7" s="365"/>
    </row>
    <row r="8" spans="2:6" s="32" customFormat="1">
      <c r="B8" s="366"/>
      <c r="C8" s="367"/>
      <c r="D8" s="368"/>
      <c r="E8" s="369"/>
      <c r="F8" s="370"/>
    </row>
    <row r="9" spans="2:6" s="32" customFormat="1">
      <c r="B9" s="366"/>
      <c r="C9" s="367" t="s">
        <v>576</v>
      </c>
      <c r="D9" s="371" t="s">
        <v>106</v>
      </c>
      <c r="E9" s="369"/>
      <c r="F9" s="370"/>
    </row>
    <row r="10" spans="2:6" s="32" customFormat="1">
      <c r="B10" s="366"/>
      <c r="C10" s="367" t="s">
        <v>577</v>
      </c>
      <c r="D10" s="453" t="s">
        <v>578</v>
      </c>
      <c r="E10" s="369"/>
      <c r="F10" s="370"/>
    </row>
    <row r="11" spans="2:6" s="32" customFormat="1">
      <c r="B11" s="366"/>
      <c r="C11" s="367" t="s">
        <v>579</v>
      </c>
      <c r="D11" s="373">
        <v>40633</v>
      </c>
      <c r="E11" s="369"/>
      <c r="F11" s="370"/>
    </row>
    <row r="12" spans="2:6" s="32" customFormat="1">
      <c r="B12" s="366"/>
      <c r="C12" s="367" t="s">
        <v>580</v>
      </c>
      <c r="D12" s="373">
        <v>40816</v>
      </c>
      <c r="E12" s="369"/>
      <c r="F12" s="370"/>
    </row>
    <row r="13" spans="2:6" s="32" customFormat="1">
      <c r="B13" s="366"/>
      <c r="C13" s="367"/>
      <c r="D13" s="381"/>
      <c r="E13" s="369"/>
      <c r="F13" s="370"/>
    </row>
    <row r="14" spans="2:6">
      <c r="B14" s="361"/>
      <c r="C14" s="367" t="s">
        <v>581</v>
      </c>
      <c r="D14" s="383" t="s">
        <v>99</v>
      </c>
      <c r="E14" s="374"/>
      <c r="F14" s="365"/>
    </row>
    <row r="15" spans="2:6">
      <c r="B15" s="361"/>
      <c r="C15" s="364"/>
      <c r="D15" s="383" t="s">
        <v>98</v>
      </c>
      <c r="E15" s="374"/>
      <c r="F15" s="365"/>
    </row>
    <row r="16" spans="2:6">
      <c r="B16" s="361"/>
      <c r="C16" s="364"/>
      <c r="D16" s="383" t="s">
        <v>97</v>
      </c>
      <c r="E16" s="375" t="s">
        <v>202</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582</v>
      </c>
      <c r="D23" s="382"/>
      <c r="E23" s="364"/>
      <c r="F23" s="365"/>
    </row>
    <row r="24" spans="2:6" hidden="1">
      <c r="B24" s="361"/>
      <c r="C24" s="367"/>
      <c r="D24" s="382"/>
      <c r="E24" s="364"/>
      <c r="F24" s="365"/>
    </row>
    <row r="25" spans="2:6" hidden="1">
      <c r="B25" s="361"/>
      <c r="C25" s="367"/>
      <c r="D25" s="382" t="s">
        <v>93</v>
      </c>
      <c r="E25" s="364"/>
      <c r="F25" s="365"/>
    </row>
    <row r="26" spans="2:6" hidden="1">
      <c r="B26" s="361"/>
      <c r="C26" s="367"/>
      <c r="D26" s="382" t="s">
        <v>58</v>
      </c>
      <c r="E26" s="364"/>
      <c r="F26" s="365"/>
    </row>
    <row r="27" spans="2:6" hidden="1">
      <c r="B27" s="361"/>
      <c r="C27" s="367"/>
      <c r="D27" s="382" t="s">
        <v>92</v>
      </c>
      <c r="E27" s="364"/>
      <c r="F27" s="365"/>
    </row>
    <row r="28" spans="2:6" hidden="1">
      <c r="B28" s="361"/>
      <c r="C28" s="367"/>
      <c r="D28" s="382" t="s">
        <v>91</v>
      </c>
      <c r="E28" s="364"/>
      <c r="F28" s="365"/>
    </row>
    <row r="29" spans="2:6" hidden="1">
      <c r="B29" s="361"/>
      <c r="C29" s="367"/>
      <c r="D29" s="382" t="s">
        <v>90</v>
      </c>
      <c r="E29" s="364"/>
      <c r="F29" s="365"/>
    </row>
    <row r="30" spans="2:6" hidden="1">
      <c r="B30" s="361"/>
      <c r="C30" s="367"/>
      <c r="D30" s="382" t="s">
        <v>89</v>
      </c>
      <c r="E30" s="364"/>
      <c r="F30" s="365"/>
    </row>
    <row r="31" spans="2:6" hidden="1">
      <c r="B31" s="361"/>
      <c r="C31" s="367"/>
      <c r="D31" s="382" t="s">
        <v>88</v>
      </c>
      <c r="E31" s="364"/>
      <c r="F31" s="365"/>
    </row>
    <row r="32" spans="2:6" hidden="1">
      <c r="B32" s="361"/>
      <c r="C32" s="367"/>
      <c r="D32" s="382" t="s">
        <v>87</v>
      </c>
      <c r="E32" s="364"/>
      <c r="F32" s="365"/>
    </row>
    <row r="33" spans="2:40" hidden="1">
      <c r="B33" s="361"/>
      <c r="C33" s="367"/>
      <c r="D33" s="382" t="s">
        <v>86</v>
      </c>
      <c r="E33" s="364"/>
      <c r="F33" s="365"/>
    </row>
    <row r="34" spans="2:40" hidden="1">
      <c r="B34" s="361"/>
      <c r="C34" s="367"/>
      <c r="D34" s="382" t="s">
        <v>85</v>
      </c>
      <c r="E34" s="364"/>
      <c r="F34" s="365"/>
    </row>
    <row r="35" spans="2:40" hidden="1">
      <c r="B35" s="361"/>
      <c r="C35" s="367"/>
      <c r="D35" s="382" t="s">
        <v>84</v>
      </c>
      <c r="E35" s="364"/>
      <c r="F35" s="365"/>
    </row>
    <row r="36" spans="2:40" hidden="1">
      <c r="B36" s="361"/>
      <c r="C36" s="367"/>
      <c r="D36" s="382" t="s">
        <v>83</v>
      </c>
      <c r="E36" s="364"/>
      <c r="F36" s="365"/>
    </row>
    <row r="37" spans="2:40" hidden="1">
      <c r="B37" s="361"/>
      <c r="C37" s="367"/>
      <c r="D37" s="382" t="s">
        <v>82</v>
      </c>
      <c r="E37" s="364"/>
      <c r="F37" s="365"/>
    </row>
    <row r="38" spans="2:40" hidden="1">
      <c r="B38" s="361"/>
      <c r="C38" s="367"/>
      <c r="D38" s="382" t="s">
        <v>81</v>
      </c>
      <c r="E38" s="364"/>
      <c r="F38" s="365"/>
    </row>
    <row r="39" spans="2:40" hidden="1">
      <c r="B39" s="361"/>
      <c r="C39" s="367"/>
      <c r="D39" s="384" t="s">
        <v>66</v>
      </c>
      <c r="E39" s="364"/>
      <c r="F39" s="365"/>
    </row>
    <row r="40" spans="2:40" ht="15.75" thickBot="1">
      <c r="B40" s="361"/>
      <c r="C40" s="367"/>
      <c r="D40" s="380"/>
      <c r="E40" s="364"/>
      <c r="F40" s="365"/>
      <c r="O40" t="s">
        <v>6</v>
      </c>
      <c r="P40" t="s">
        <v>7</v>
      </c>
      <c r="Q40" t="s">
        <v>8</v>
      </c>
      <c r="R40" t="s">
        <v>9</v>
      </c>
      <c r="S40" t="s">
        <v>10</v>
      </c>
      <c r="T40" t="s">
        <v>11</v>
      </c>
      <c r="U40" t="s">
        <v>13</v>
      </c>
      <c r="V40" t="s">
        <v>14</v>
      </c>
      <c r="W40" t="s">
        <v>15</v>
      </c>
      <c r="X40" t="s">
        <v>16</v>
      </c>
      <c r="Y40" t="s">
        <v>557</v>
      </c>
      <c r="Z40" t="s">
        <v>558</v>
      </c>
      <c r="AA40" t="s">
        <v>559</v>
      </c>
      <c r="AB40" t="s">
        <v>560</v>
      </c>
      <c r="AC40" t="s">
        <v>561</v>
      </c>
      <c r="AD40" t="s">
        <v>562</v>
      </c>
      <c r="AE40" t="s">
        <v>563</v>
      </c>
      <c r="AF40" t="s">
        <v>564</v>
      </c>
      <c r="AG40" t="s">
        <v>565</v>
      </c>
      <c r="AH40" t="s">
        <v>566</v>
      </c>
      <c r="AI40" t="s">
        <v>567</v>
      </c>
      <c r="AJ40" t="s">
        <v>568</v>
      </c>
      <c r="AK40" t="s">
        <v>569</v>
      </c>
      <c r="AL40" t="s">
        <v>570</v>
      </c>
      <c r="AM40" t="s">
        <v>571</v>
      </c>
    </row>
    <row r="41" spans="2:40">
      <c r="B41" s="361"/>
      <c r="C41" s="376" t="s">
        <v>65</v>
      </c>
      <c r="D41" s="382"/>
      <c r="E41" s="364"/>
      <c r="F41" s="365"/>
      <c r="N41" t="s">
        <v>592</v>
      </c>
      <c r="O41" s="589">
        <v>0</v>
      </c>
      <c r="P41" s="589">
        <v>0</v>
      </c>
      <c r="Q41" s="589">
        <v>0</v>
      </c>
      <c r="R41" s="589">
        <v>0.25</v>
      </c>
      <c r="S41" s="589">
        <v>0.67</v>
      </c>
      <c r="T41" s="589">
        <v>1</v>
      </c>
      <c r="U41" s="589">
        <v>1</v>
      </c>
      <c r="V41" s="589">
        <f>U41</f>
        <v>1</v>
      </c>
      <c r="W41" s="589">
        <f>V41</f>
        <v>1</v>
      </c>
      <c r="X41" s="589">
        <f>W41</f>
        <v>1</v>
      </c>
      <c r="Y41" s="589">
        <f t="shared" ref="Y41:AM41" si="0">X41</f>
        <v>1</v>
      </c>
      <c r="Z41" s="589">
        <f t="shared" si="0"/>
        <v>1</v>
      </c>
      <c r="AA41" s="589">
        <f t="shared" si="0"/>
        <v>1</v>
      </c>
      <c r="AB41" s="589">
        <f t="shared" si="0"/>
        <v>1</v>
      </c>
      <c r="AC41" s="589">
        <f t="shared" si="0"/>
        <v>1</v>
      </c>
      <c r="AD41" s="589">
        <f t="shared" si="0"/>
        <v>1</v>
      </c>
      <c r="AE41" s="589">
        <f t="shared" si="0"/>
        <v>1</v>
      </c>
      <c r="AF41" s="589">
        <f t="shared" si="0"/>
        <v>1</v>
      </c>
      <c r="AG41" s="589">
        <f t="shared" si="0"/>
        <v>1</v>
      </c>
      <c r="AH41" s="589">
        <f t="shared" si="0"/>
        <v>1</v>
      </c>
      <c r="AI41" s="589">
        <f t="shared" si="0"/>
        <v>1</v>
      </c>
      <c r="AJ41" s="589">
        <f t="shared" si="0"/>
        <v>1</v>
      </c>
      <c r="AK41" s="589">
        <f t="shared" si="0"/>
        <v>1</v>
      </c>
      <c r="AL41" s="589">
        <f t="shared" si="0"/>
        <v>1</v>
      </c>
      <c r="AM41" s="589">
        <f t="shared" si="0"/>
        <v>1</v>
      </c>
      <c r="AN41" s="518" t="s">
        <v>630</v>
      </c>
    </row>
    <row r="42" spans="2:40" ht="15.75" thickBot="1">
      <c r="B42" s="361"/>
      <c r="C42" s="377"/>
      <c r="D42" s="380"/>
      <c r="E42" s="364"/>
      <c r="F42" s="365"/>
      <c r="N42" t="s">
        <v>593</v>
      </c>
      <c r="O42" s="501">
        <f>O41*$L$71*1000000</f>
        <v>0</v>
      </c>
      <c r="P42" s="501">
        <f t="shared" ref="P42:AM42" si="1">P41*$L$71*1000000</f>
        <v>0</v>
      </c>
      <c r="Q42" s="501">
        <f t="shared" si="1"/>
        <v>0</v>
      </c>
      <c r="R42" s="501">
        <f t="shared" si="1"/>
        <v>221388.88888888885</v>
      </c>
      <c r="S42" s="501">
        <f t="shared" si="1"/>
        <v>593322.22222222225</v>
      </c>
      <c r="T42" s="501">
        <f t="shared" si="1"/>
        <v>885555.55555555539</v>
      </c>
      <c r="U42" s="501">
        <f t="shared" si="1"/>
        <v>885555.55555555539</v>
      </c>
      <c r="V42" s="501">
        <f t="shared" si="1"/>
        <v>885555.55555555539</v>
      </c>
      <c r="W42" s="501">
        <f t="shared" si="1"/>
        <v>885555.55555555539</v>
      </c>
      <c r="X42" s="501">
        <f t="shared" si="1"/>
        <v>885555.55555555539</v>
      </c>
      <c r="Y42" s="501">
        <f t="shared" si="1"/>
        <v>885555.55555555539</v>
      </c>
      <c r="Z42" s="501">
        <f t="shared" si="1"/>
        <v>885555.55555555539</v>
      </c>
      <c r="AA42" s="501">
        <f t="shared" si="1"/>
        <v>885555.55555555539</v>
      </c>
      <c r="AB42" s="501">
        <f t="shared" si="1"/>
        <v>885555.55555555539</v>
      </c>
      <c r="AC42" s="501">
        <f t="shared" si="1"/>
        <v>885555.55555555539</v>
      </c>
      <c r="AD42" s="501">
        <f t="shared" si="1"/>
        <v>885555.55555555539</v>
      </c>
      <c r="AE42" s="501">
        <f t="shared" si="1"/>
        <v>885555.55555555539</v>
      </c>
      <c r="AF42" s="501">
        <f t="shared" si="1"/>
        <v>885555.55555555539</v>
      </c>
      <c r="AG42" s="501">
        <f t="shared" si="1"/>
        <v>885555.55555555539</v>
      </c>
      <c r="AH42" s="501">
        <f t="shared" si="1"/>
        <v>885555.55555555539</v>
      </c>
      <c r="AI42" s="501">
        <f t="shared" si="1"/>
        <v>885555.55555555539</v>
      </c>
      <c r="AJ42" s="501">
        <f t="shared" si="1"/>
        <v>885555.55555555539</v>
      </c>
      <c r="AK42" s="501">
        <f t="shared" si="1"/>
        <v>885555.55555555539</v>
      </c>
      <c r="AL42" s="501">
        <f t="shared" si="1"/>
        <v>885555.55555555539</v>
      </c>
      <c r="AM42" s="501">
        <f t="shared" si="1"/>
        <v>885555.55555555539</v>
      </c>
      <c r="AN42" s="519">
        <f>SUM(O42:AM42)</f>
        <v>18525822.222222224</v>
      </c>
    </row>
    <row r="43" spans="2:40" ht="18.75">
      <c r="B43" s="392"/>
      <c r="C43" s="393" t="s">
        <v>80</v>
      </c>
      <c r="D43" s="404"/>
      <c r="E43" s="395"/>
      <c r="F43" s="396"/>
      <c r="N43" t="s">
        <v>594</v>
      </c>
      <c r="O43" s="574">
        <f>NPV(3.5%, O42:X42)</f>
        <v>4058975.3489824096</v>
      </c>
    </row>
    <row r="44" spans="2:40" ht="75">
      <c r="B44" s="392"/>
      <c r="C44" s="391" t="s">
        <v>583</v>
      </c>
      <c r="D44" s="399" t="s">
        <v>584</v>
      </c>
      <c r="E44" s="395"/>
      <c r="F44" s="396"/>
      <c r="N44" t="s">
        <v>595</v>
      </c>
      <c r="O44" s="574">
        <f>0.33*O43</f>
        <v>1339461.8651641952</v>
      </c>
    </row>
    <row r="45" spans="2:40" ht="45">
      <c r="B45" s="392"/>
      <c r="C45" s="391" t="s">
        <v>585</v>
      </c>
      <c r="D45" s="397" t="s">
        <v>586</v>
      </c>
      <c r="E45" s="395"/>
      <c r="F45" s="396"/>
      <c r="N45" t="s">
        <v>596</v>
      </c>
      <c r="O45" s="574">
        <f>0.67*O43</f>
        <v>2719513.4838182144</v>
      </c>
    </row>
    <row r="46" spans="2:40" ht="30">
      <c r="B46" s="392"/>
      <c r="C46" s="398" t="s">
        <v>587</v>
      </c>
      <c r="D46" s="399"/>
      <c r="E46" s="395"/>
      <c r="F46" s="396"/>
    </row>
    <row r="47" spans="2:40" ht="30">
      <c r="B47" s="392"/>
      <c r="C47" s="400" t="s">
        <v>588</v>
      </c>
      <c r="D47" s="399" t="s">
        <v>276</v>
      </c>
      <c r="E47" s="401"/>
      <c r="F47" s="396"/>
    </row>
    <row r="48" spans="2:40" hidden="1">
      <c r="B48" s="392"/>
      <c r="C48" s="400"/>
      <c r="D48" s="402" t="s">
        <v>209</v>
      </c>
      <c r="E48" s="395"/>
      <c r="F48" s="396"/>
    </row>
    <row r="49" spans="2:27" hidden="1">
      <c r="B49" s="392"/>
      <c r="C49" s="400"/>
      <c r="D49" s="402" t="s">
        <v>277</v>
      </c>
      <c r="E49" s="395"/>
      <c r="F49" s="396"/>
    </row>
    <row r="50" spans="2:27" hidden="1">
      <c r="B50" s="392"/>
      <c r="C50" s="400"/>
      <c r="D50" s="402" t="s">
        <v>276</v>
      </c>
      <c r="E50" s="395"/>
      <c r="F50" s="396"/>
    </row>
    <row r="51" spans="2:27" hidden="1">
      <c r="B51" s="392"/>
      <c r="C51" s="400"/>
      <c r="D51" s="402" t="s">
        <v>278</v>
      </c>
      <c r="E51" s="395"/>
      <c r="F51" s="396"/>
    </row>
    <row r="52" spans="2:27">
      <c r="B52" s="392"/>
      <c r="C52" s="403"/>
      <c r="D52" s="404"/>
      <c r="E52" s="395"/>
      <c r="F52" s="396"/>
      <c r="J52" t="s">
        <v>597</v>
      </c>
      <c r="K52" t="s">
        <v>598</v>
      </c>
      <c r="L52" t="s">
        <v>599</v>
      </c>
    </row>
    <row r="53" spans="2:27" ht="18.75">
      <c r="B53" s="346"/>
      <c r="C53" s="347" t="s">
        <v>75</v>
      </c>
      <c r="D53" s="412"/>
      <c r="E53" s="349"/>
      <c r="F53" s="350"/>
      <c r="U53" s="576"/>
      <c r="V53" s="577"/>
      <c r="W53" s="577"/>
      <c r="X53" s="577"/>
      <c r="Y53" s="577"/>
      <c r="Z53" s="577"/>
      <c r="AA53" s="578"/>
    </row>
    <row r="54" spans="2:27">
      <c r="B54" s="346"/>
      <c r="C54" s="351" t="s">
        <v>589</v>
      </c>
      <c r="D54" s="413" t="s">
        <v>72</v>
      </c>
      <c r="E54" s="349"/>
      <c r="F54" s="350"/>
      <c r="I54" t="s">
        <v>600</v>
      </c>
      <c r="J54">
        <v>0</v>
      </c>
      <c r="K54">
        <v>0</v>
      </c>
      <c r="L54">
        <f>J54-K54</f>
        <v>0</v>
      </c>
      <c r="U54" s="135" t="s">
        <v>601</v>
      </c>
      <c r="V54" s="8"/>
      <c r="W54" s="8" t="s">
        <v>602</v>
      </c>
      <c r="X54" s="8" t="s">
        <v>603</v>
      </c>
      <c r="Y54" s="8"/>
      <c r="Z54" s="8"/>
      <c r="AA54" s="580"/>
    </row>
    <row r="55" spans="2:27" hidden="1">
      <c r="B55" s="346"/>
      <c r="C55" s="355"/>
      <c r="D55" s="414"/>
      <c r="E55" s="349"/>
      <c r="F55" s="350"/>
      <c r="U55" s="135"/>
      <c r="V55" s="8"/>
      <c r="W55" s="8"/>
      <c r="X55" s="8"/>
      <c r="Y55" s="8"/>
      <c r="Z55" s="8"/>
      <c r="AA55" s="580"/>
    </row>
    <row r="56" spans="2:27" hidden="1">
      <c r="B56" s="346"/>
      <c r="C56" s="355"/>
      <c r="D56" s="413" t="s">
        <v>73</v>
      </c>
      <c r="E56" s="349"/>
      <c r="F56" s="350"/>
      <c r="U56" s="135"/>
      <c r="V56" s="8"/>
      <c r="W56" s="8"/>
      <c r="X56" s="8"/>
      <c r="Y56" s="8"/>
      <c r="Z56" s="8"/>
      <c r="AA56" s="580"/>
    </row>
    <row r="57" spans="2:27" hidden="1">
      <c r="B57" s="346"/>
      <c r="C57" s="355"/>
      <c r="D57" s="413" t="s">
        <v>72</v>
      </c>
      <c r="E57" s="349"/>
      <c r="F57" s="350"/>
      <c r="U57" s="135"/>
      <c r="V57" s="8"/>
      <c r="W57" s="8"/>
      <c r="X57" s="8"/>
      <c r="Y57" s="8"/>
      <c r="Z57" s="8"/>
      <c r="AA57" s="580"/>
    </row>
    <row r="58" spans="2:27" hidden="1">
      <c r="B58" s="346"/>
      <c r="C58" s="355"/>
      <c r="D58" s="413" t="s">
        <v>71</v>
      </c>
      <c r="E58" s="349"/>
      <c r="F58" s="350"/>
      <c r="U58" s="135"/>
      <c r="V58" s="8"/>
      <c r="W58" s="8"/>
      <c r="X58" s="8"/>
      <c r="Y58" s="8"/>
      <c r="Z58" s="8"/>
      <c r="AA58" s="580"/>
    </row>
    <row r="59" spans="2:27">
      <c r="B59" s="346"/>
      <c r="C59" s="351"/>
      <c r="D59" s="412"/>
      <c r="E59" s="349"/>
      <c r="F59" s="350"/>
      <c r="U59" s="135"/>
      <c r="V59" s="8"/>
      <c r="W59" s="8" t="s">
        <v>604</v>
      </c>
      <c r="X59" s="8" t="s">
        <v>604</v>
      </c>
      <c r="Y59" s="8"/>
      <c r="Z59" s="8"/>
      <c r="AA59" s="580"/>
    </row>
    <row r="60" spans="2:27">
      <c r="B60" s="346"/>
      <c r="C60" s="351" t="s">
        <v>590</v>
      </c>
      <c r="D60" s="413" t="s">
        <v>69</v>
      </c>
      <c r="E60" s="349"/>
      <c r="F60" s="350"/>
      <c r="I60" t="s">
        <v>605</v>
      </c>
      <c r="J60">
        <f>0.2*O79</f>
        <v>1.085</v>
      </c>
      <c r="K60">
        <f>0.1*$P$60*SUM('[1]NPD Cont - Saved Proct Time'!$M$107:$O$107)</f>
        <v>0.42194444444444446</v>
      </c>
      <c r="L60">
        <f>J60-K60</f>
        <v>0.66305555555555551</v>
      </c>
      <c r="N60" t="s">
        <v>606</v>
      </c>
      <c r="P60">
        <f>'[1]NPD - Red Risk Tfr '!O79/9</f>
        <v>0.60277777777777775</v>
      </c>
      <c r="U60" s="135" t="s">
        <v>607</v>
      </c>
      <c r="V60" s="8"/>
      <c r="W60" s="590">
        <v>41653</v>
      </c>
      <c r="X60" s="8">
        <v>84</v>
      </c>
      <c r="Y60" s="591">
        <f>X60/W60</f>
        <v>2.016661464960507E-3</v>
      </c>
      <c r="Z60" s="8"/>
      <c r="AA60" s="580"/>
    </row>
    <row r="61" spans="2:27" hidden="1">
      <c r="B61" s="346"/>
      <c r="C61" s="351"/>
      <c r="D61" s="415" t="s">
        <v>69</v>
      </c>
      <c r="E61" s="411"/>
      <c r="F61" s="350"/>
      <c r="U61" s="135"/>
      <c r="V61" s="8"/>
      <c r="W61" s="590"/>
      <c r="X61" s="8"/>
      <c r="Y61" s="591" t="e">
        <f t="shared" ref="Y61:Y67" si="2">X61/W61</f>
        <v>#DIV/0!</v>
      </c>
      <c r="Z61" s="8"/>
      <c r="AA61" s="580"/>
    </row>
    <row r="62" spans="2:27" hidden="1">
      <c r="B62" s="346"/>
      <c r="C62" s="351"/>
      <c r="D62" s="415" t="s">
        <v>68</v>
      </c>
      <c r="E62" s="411"/>
      <c r="F62" s="350"/>
      <c r="U62" s="135"/>
      <c r="V62" s="8"/>
      <c r="W62" s="590"/>
      <c r="X62" s="8"/>
      <c r="Y62" s="591" t="e">
        <f t="shared" si="2"/>
        <v>#DIV/0!</v>
      </c>
      <c r="Z62" s="8"/>
      <c r="AA62" s="580"/>
    </row>
    <row r="63" spans="2:27" hidden="1">
      <c r="B63" s="346"/>
      <c r="C63" s="351"/>
      <c r="D63" s="415" t="s">
        <v>67</v>
      </c>
      <c r="E63" s="411"/>
      <c r="F63" s="350"/>
      <c r="U63" s="135"/>
      <c r="V63" s="8"/>
      <c r="W63" s="590"/>
      <c r="X63" s="8"/>
      <c r="Y63" s="591" t="e">
        <f t="shared" si="2"/>
        <v>#DIV/0!</v>
      </c>
      <c r="Z63" s="8"/>
      <c r="AA63" s="580"/>
    </row>
    <row r="64" spans="2:27" hidden="1">
      <c r="B64" s="346"/>
      <c r="C64" s="351"/>
      <c r="D64" s="415" t="s">
        <v>66</v>
      </c>
      <c r="E64" s="411"/>
      <c r="F64" s="350"/>
      <c r="U64" s="135"/>
      <c r="V64" s="8"/>
      <c r="W64" s="590"/>
      <c r="X64" s="8"/>
      <c r="Y64" s="591" t="e">
        <f t="shared" si="2"/>
        <v>#DIV/0!</v>
      </c>
      <c r="Z64" s="8"/>
      <c r="AA64" s="580"/>
    </row>
    <row r="65" spans="2:27">
      <c r="B65" s="346"/>
      <c r="C65" s="354" t="s">
        <v>65</v>
      </c>
      <c r="D65" s="413"/>
      <c r="E65" s="349"/>
      <c r="F65" s="350"/>
      <c r="U65" s="135" t="s">
        <v>608</v>
      </c>
      <c r="V65" s="8"/>
      <c r="W65" s="590">
        <v>152500</v>
      </c>
      <c r="X65" s="8">
        <v>531</v>
      </c>
      <c r="Y65" s="591">
        <f t="shared" si="2"/>
        <v>3.481967213114754E-3</v>
      </c>
      <c r="Z65" s="8"/>
      <c r="AA65" s="580"/>
    </row>
    <row r="66" spans="2:27">
      <c r="B66" s="346"/>
      <c r="C66" s="351"/>
      <c r="D66" s="412"/>
      <c r="E66" s="349"/>
      <c r="F66" s="350"/>
      <c r="I66" t="s">
        <v>609</v>
      </c>
      <c r="J66">
        <f>(Z77*Q66)/1000</f>
        <v>0.1575</v>
      </c>
      <c r="K66">
        <f>0.5*J66</f>
        <v>7.8750000000000001E-2</v>
      </c>
      <c r="L66">
        <f>J66-K66</f>
        <v>7.8750000000000001E-2</v>
      </c>
      <c r="N66" s="576"/>
      <c r="O66" s="577"/>
      <c r="P66" s="578"/>
      <c r="Q66" s="592">
        <v>4.4999999999999998E-2</v>
      </c>
      <c r="R66" t="s">
        <v>610</v>
      </c>
      <c r="U66" s="135" t="s">
        <v>611</v>
      </c>
      <c r="V66" s="8"/>
      <c r="W66" s="590">
        <v>292200</v>
      </c>
      <c r="X66" s="8">
        <v>577</v>
      </c>
      <c r="Y66" s="591">
        <f t="shared" si="2"/>
        <v>1.9746748802190279E-3</v>
      </c>
      <c r="Z66" s="8"/>
      <c r="AA66" s="580"/>
    </row>
    <row r="67" spans="2:27" ht="18.75">
      <c r="B67" s="419"/>
      <c r="C67" s="420" t="s">
        <v>64</v>
      </c>
      <c r="D67" s="434"/>
      <c r="E67" s="422"/>
      <c r="F67" s="423"/>
      <c r="N67" s="135" t="s">
        <v>529</v>
      </c>
      <c r="O67" s="8"/>
      <c r="P67" s="580"/>
      <c r="U67" s="135" t="s">
        <v>612</v>
      </c>
      <c r="V67" s="8"/>
      <c r="W67" s="590">
        <v>113320</v>
      </c>
      <c r="X67" s="8">
        <v>375</v>
      </c>
      <c r="Y67" s="591">
        <f t="shared" si="2"/>
        <v>3.3092128485704198E-3</v>
      </c>
      <c r="Z67" s="8"/>
      <c r="AA67" s="580"/>
    </row>
    <row r="68" spans="2:27">
      <c r="B68" s="419"/>
      <c r="C68" s="418" t="s">
        <v>118</v>
      </c>
      <c r="D68" s="437" t="s">
        <v>106</v>
      </c>
      <c r="E68" s="422"/>
      <c r="F68" s="423"/>
      <c r="I68" t="s">
        <v>613</v>
      </c>
      <c r="J68" s="593">
        <f>(W95+W96)/1000000</f>
        <v>0.57499999999999996</v>
      </c>
      <c r="K68" s="82">
        <f>0.75*J68</f>
        <v>0.43124999999999997</v>
      </c>
      <c r="L68">
        <f>J68-K68</f>
        <v>0.14374999999999999</v>
      </c>
      <c r="N68" s="135" t="s">
        <v>614</v>
      </c>
      <c r="O68" s="8" t="s">
        <v>615</v>
      </c>
      <c r="P68" s="580" t="s">
        <v>616</v>
      </c>
      <c r="U68" s="135"/>
      <c r="V68" s="8"/>
      <c r="W68" s="590"/>
      <c r="X68" s="8"/>
      <c r="Y68" s="8"/>
      <c r="Z68" s="8"/>
      <c r="AA68" s="580"/>
    </row>
    <row r="69" spans="2:27">
      <c r="B69" s="419"/>
      <c r="C69" s="418" t="s">
        <v>107</v>
      </c>
      <c r="D69" s="440"/>
      <c r="E69" s="422"/>
      <c r="F69" s="423"/>
      <c r="N69" s="135">
        <v>150</v>
      </c>
      <c r="O69" s="8">
        <f t="shared" ref="O69:O77" si="3">0.0025*N69</f>
        <v>0.375</v>
      </c>
      <c r="P69" s="580" t="s">
        <v>530</v>
      </c>
      <c r="U69" s="135"/>
      <c r="V69" s="8"/>
      <c r="W69" s="590"/>
      <c r="X69" s="8"/>
      <c r="Y69" s="8"/>
      <c r="Z69" s="8"/>
      <c r="AA69" s="580"/>
    </row>
    <row r="70" spans="2:27">
      <c r="B70" s="419"/>
      <c r="C70" s="418" t="s">
        <v>119</v>
      </c>
      <c r="D70" s="424">
        <f>SUM(O42:AM42)</f>
        <v>18525822.222222224</v>
      </c>
      <c r="E70" s="422"/>
      <c r="F70" s="423"/>
      <c r="H70" s="8"/>
      <c r="N70" s="135">
        <v>320</v>
      </c>
      <c r="O70" s="8">
        <f t="shared" si="3"/>
        <v>0.8</v>
      </c>
      <c r="P70" s="580" t="s">
        <v>532</v>
      </c>
      <c r="U70" s="579" t="s">
        <v>617</v>
      </c>
      <c r="V70" s="8"/>
      <c r="W70" s="590"/>
      <c r="X70" s="8"/>
      <c r="Y70" s="8"/>
      <c r="Z70" s="8"/>
      <c r="AA70" s="580"/>
    </row>
    <row r="71" spans="2:27">
      <c r="B71" s="419"/>
      <c r="C71" s="418"/>
      <c r="D71" s="433"/>
      <c r="E71" s="422"/>
      <c r="F71" s="423"/>
      <c r="H71" s="8"/>
      <c r="I71" t="s">
        <v>130</v>
      </c>
      <c r="L71">
        <f>SUM(L54:L68)</f>
        <v>0.88555555555555543</v>
      </c>
      <c r="N71" s="135">
        <v>450</v>
      </c>
      <c r="O71" s="8">
        <f t="shared" si="3"/>
        <v>1.125</v>
      </c>
      <c r="P71" s="580" t="s">
        <v>534</v>
      </c>
      <c r="U71" s="135" t="s">
        <v>618</v>
      </c>
      <c r="V71" s="8"/>
      <c r="W71" s="590">
        <v>150000</v>
      </c>
      <c r="X71" s="594">
        <f>W71/$W$77</f>
        <v>0.10714285714285714</v>
      </c>
      <c r="Y71" s="8"/>
      <c r="Z71" s="8"/>
      <c r="AA71" s="580"/>
    </row>
    <row r="72" spans="2:27" ht="30">
      <c r="B72" s="419"/>
      <c r="C72" s="418" t="s">
        <v>223</v>
      </c>
      <c r="D72" s="426" t="s">
        <v>591</v>
      </c>
      <c r="E72" s="422"/>
      <c r="F72" s="423"/>
      <c r="H72" s="8"/>
      <c r="N72" s="135">
        <v>50</v>
      </c>
      <c r="O72" s="8">
        <f t="shared" si="3"/>
        <v>0.125</v>
      </c>
      <c r="P72" s="580" t="s">
        <v>535</v>
      </c>
      <c r="U72" s="135" t="s">
        <v>540</v>
      </c>
      <c r="V72" s="8"/>
      <c r="W72" s="590">
        <v>200000</v>
      </c>
      <c r="X72" s="594">
        <f>W72/$W$77</f>
        <v>0.14285714285714285</v>
      </c>
      <c r="Y72" s="8"/>
      <c r="Z72" s="8"/>
      <c r="AA72" s="580"/>
    </row>
    <row r="73" spans="2:27">
      <c r="B73" s="419"/>
      <c r="C73" s="418" t="s">
        <v>62</v>
      </c>
      <c r="D73" s="438" t="s">
        <v>629</v>
      </c>
      <c r="E73" s="422"/>
      <c r="F73" s="423"/>
      <c r="H73" s="8"/>
      <c r="N73" s="135">
        <v>50</v>
      </c>
      <c r="O73" s="8">
        <f t="shared" si="3"/>
        <v>0.125</v>
      </c>
      <c r="P73" s="580" t="s">
        <v>536</v>
      </c>
      <c r="U73" s="135" t="s">
        <v>619</v>
      </c>
      <c r="V73" s="8"/>
      <c r="W73" s="590">
        <v>300000</v>
      </c>
      <c r="X73" s="594">
        <f>W73/$W$77</f>
        <v>0.21428571428571427</v>
      </c>
      <c r="Y73" s="8"/>
      <c r="Z73" s="8"/>
      <c r="AA73" s="580"/>
    </row>
    <row r="74" spans="2:27">
      <c r="B74" s="419"/>
      <c r="C74" s="418"/>
      <c r="D74" s="434"/>
      <c r="E74" s="422"/>
      <c r="F74" s="423"/>
      <c r="H74" s="8"/>
      <c r="N74" s="135">
        <v>200</v>
      </c>
      <c r="O74" s="8">
        <f t="shared" si="3"/>
        <v>0.5</v>
      </c>
      <c r="P74" s="580" t="s">
        <v>537</v>
      </c>
      <c r="U74" s="135" t="s">
        <v>620</v>
      </c>
      <c r="V74" s="8"/>
      <c r="W74" s="590">
        <v>300000</v>
      </c>
      <c r="X74" s="594">
        <f>W74/$W$77</f>
        <v>0.21428571428571427</v>
      </c>
      <c r="Y74" s="8"/>
      <c r="Z74" s="8"/>
      <c r="AA74" s="580"/>
    </row>
    <row r="75" spans="2:27">
      <c r="B75" s="419"/>
      <c r="C75" s="418" t="s">
        <v>61</v>
      </c>
      <c r="D75" s="425">
        <v>1</v>
      </c>
      <c r="E75" s="422"/>
      <c r="F75" s="423"/>
      <c r="H75" s="65"/>
      <c r="N75" s="135">
        <v>300</v>
      </c>
      <c r="O75" s="8">
        <f t="shared" si="3"/>
        <v>0.75</v>
      </c>
      <c r="P75" s="580" t="s">
        <v>538</v>
      </c>
      <c r="U75" s="135" t="s">
        <v>58</v>
      </c>
      <c r="V75" s="8"/>
      <c r="W75" s="590">
        <v>450000</v>
      </c>
      <c r="X75" s="594">
        <f>W75/$W$77</f>
        <v>0.32142857142857145</v>
      </c>
      <c r="Y75" s="8"/>
      <c r="Z75" s="8"/>
      <c r="AA75" s="580"/>
    </row>
    <row r="76" spans="2:27">
      <c r="B76" s="419"/>
      <c r="C76" s="418"/>
      <c r="D76" s="433"/>
      <c r="E76" s="422"/>
      <c r="F76" s="423"/>
      <c r="H76" s="65"/>
      <c r="N76" s="135">
        <v>200</v>
      </c>
      <c r="O76" s="65">
        <f t="shared" si="3"/>
        <v>0.5</v>
      </c>
      <c r="P76" s="580" t="s">
        <v>524</v>
      </c>
      <c r="U76" s="135"/>
      <c r="V76" s="8"/>
      <c r="W76" s="590"/>
      <c r="X76" s="8"/>
      <c r="Y76" s="8"/>
      <c r="Z76" s="8"/>
      <c r="AA76" s="580"/>
    </row>
    <row r="77" spans="2:27">
      <c r="B77" s="419"/>
      <c r="C77" s="428"/>
      <c r="D77" s="421"/>
      <c r="E77" s="422"/>
      <c r="F77" s="423"/>
      <c r="H77" s="65"/>
      <c r="N77" s="135">
        <v>450</v>
      </c>
      <c r="O77" s="65">
        <f t="shared" si="3"/>
        <v>1.125</v>
      </c>
      <c r="P77" s="580" t="s">
        <v>715</v>
      </c>
      <c r="U77" s="135"/>
      <c r="V77" s="8"/>
      <c r="W77" s="590">
        <f>SUM(W71:W75)</f>
        <v>1400000</v>
      </c>
      <c r="X77" s="8"/>
      <c r="Y77" s="547">
        <v>2.5000000000000001E-3</v>
      </c>
      <c r="Z77" s="8">
        <f>Y77*W77</f>
        <v>3500</v>
      </c>
      <c r="AA77" s="580"/>
    </row>
    <row r="78" spans="2:27" ht="15.75" thickBot="1">
      <c r="B78" s="429"/>
      <c r="C78" s="430"/>
      <c r="D78" s="431"/>
      <c r="E78" s="430"/>
      <c r="F78" s="432"/>
      <c r="H78" s="8"/>
      <c r="N78" s="135"/>
      <c r="O78" s="8"/>
      <c r="P78" s="580"/>
      <c r="U78" s="135"/>
      <c r="V78" s="8"/>
      <c r="W78" s="590"/>
      <c r="X78" s="8"/>
      <c r="Y78" s="8"/>
      <c r="Z78" s="8"/>
      <c r="AA78" s="580"/>
    </row>
    <row r="79" spans="2:27">
      <c r="H79" s="8"/>
      <c r="N79" s="135"/>
      <c r="O79" s="595">
        <f>SUM(O69:O77)</f>
        <v>5.4249999999999998</v>
      </c>
      <c r="P79" s="580" t="s">
        <v>130</v>
      </c>
      <c r="U79" s="576" t="s">
        <v>621</v>
      </c>
      <c r="V79" s="577"/>
      <c r="W79" s="596">
        <f>(W77/2500)*1000</f>
        <v>560000</v>
      </c>
      <c r="X79" s="8"/>
      <c r="Y79" s="8"/>
      <c r="Z79" s="95"/>
      <c r="AA79" s="580"/>
    </row>
    <row r="80" spans="2:27">
      <c r="H80" s="8"/>
      <c r="N80" s="583"/>
      <c r="O80" s="584"/>
      <c r="P80" s="585"/>
      <c r="U80" s="135" t="s">
        <v>622</v>
      </c>
      <c r="V80" s="8"/>
      <c r="W80" s="580">
        <v>6</v>
      </c>
      <c r="X80" s="8"/>
      <c r="Y80" s="8"/>
      <c r="Z80" s="8"/>
      <c r="AA80" s="580"/>
    </row>
    <row r="81" spans="8:27">
      <c r="H81" s="8"/>
      <c r="U81" s="583" t="s">
        <v>623</v>
      </c>
      <c r="V81" s="584"/>
      <c r="W81" s="597">
        <f>W79*W80</f>
        <v>3360000</v>
      </c>
      <c r="X81" s="584"/>
      <c r="Y81" s="584"/>
      <c r="Z81" s="584"/>
      <c r="AA81" s="585"/>
    </row>
    <row r="82" spans="8:27">
      <c r="H82" s="8"/>
    </row>
    <row r="83" spans="8:27">
      <c r="H83" s="8"/>
    </row>
    <row r="84" spans="8:27">
      <c r="H84" s="8"/>
    </row>
    <row r="85" spans="8:27">
      <c r="H85" s="8"/>
      <c r="U85" t="s">
        <v>613</v>
      </c>
    </row>
    <row r="86" spans="8:27">
      <c r="H86" s="8"/>
    </row>
    <row r="87" spans="8:27">
      <c r="H87" s="8"/>
    </row>
    <row r="89" spans="8:27">
      <c r="U89" t="s">
        <v>621</v>
      </c>
      <c r="W89" s="145">
        <f>W79</f>
        <v>560000</v>
      </c>
    </row>
    <row r="90" spans="8:27">
      <c r="U90" t="s">
        <v>624</v>
      </c>
      <c r="W90">
        <v>25</v>
      </c>
    </row>
    <row r="91" spans="8:27">
      <c r="U91" t="s">
        <v>716</v>
      </c>
      <c r="W91" s="145">
        <f>W89*W90</f>
        <v>14000000</v>
      </c>
    </row>
    <row r="93" spans="8:27">
      <c r="U93" t="s">
        <v>625</v>
      </c>
      <c r="W93" s="592">
        <v>7.4999999999999997E-2</v>
      </c>
    </row>
    <row r="94" spans="8:27">
      <c r="U94" t="s">
        <v>626</v>
      </c>
      <c r="W94" s="592">
        <v>2.5000000000000001E-2</v>
      </c>
    </row>
    <row r="95" spans="8:27">
      <c r="U95" t="s">
        <v>627</v>
      </c>
      <c r="W95" s="145">
        <f>(W75/W77)*W93*W91</f>
        <v>337500</v>
      </c>
      <c r="Y95" t="s">
        <v>717</v>
      </c>
    </row>
    <row r="96" spans="8:27">
      <c r="U96" t="s">
        <v>628</v>
      </c>
      <c r="W96" s="145">
        <f>(SUM(W71:W74)/W77)*W94*W91</f>
        <v>237500.00000000003</v>
      </c>
    </row>
    <row r="102" spans="11:37">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row>
    <row r="103" spans="11:37">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row>
    <row r="104" spans="11:37">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row>
    <row r="105" spans="11:37">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row>
    <row r="106" spans="11:37">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row>
    <row r="107" spans="11:37">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row>
    <row r="108" spans="11:37">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row>
    <row r="109" spans="11:37">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row>
    <row r="110" spans="11:37">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row>
    <row r="111" spans="11:37">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row>
    <row r="112" spans="11:37">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row>
    <row r="113" spans="11:37">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row>
    <row r="114" spans="11:37">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row>
    <row r="115" spans="11:37">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row>
    <row r="116" spans="11:37">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row>
    <row r="117" spans="11:37">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row>
    <row r="118" spans="11:37">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row>
    <row r="119" spans="11:37">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row>
    <row r="120" spans="11:37">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row>
    <row r="121" spans="11:37">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row>
    <row r="122" spans="11:37">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row>
    <row r="123" spans="11:37">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row>
    <row r="124" spans="11:37">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row>
    <row r="125" spans="11:37">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row>
    <row r="126" spans="11:37">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row>
    <row r="127" spans="11:37">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row>
    <row r="128" spans="11:37">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row>
    <row r="129" spans="11:37">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row>
    <row r="130" spans="11:37">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row>
  </sheetData>
  <dataValidations count="7">
    <dataValidation type="list" allowBlank="1" showInputMessage="1" showErrorMessage="1" sqref="D54">
      <formula1>$D$55:$D$58</formula1>
    </dataValidation>
    <dataValidation type="list" allowBlank="1" showInputMessage="1" showErrorMessage="1" sqref="D23">
      <formula1>$D$24:$D$39</formula1>
    </dataValidation>
    <dataValidation type="list" allowBlank="1" showInputMessage="1" showErrorMessage="1" sqref="D47">
      <formula1>$D$48:$D$51</formula1>
    </dataValidation>
    <dataValidation type="list" allowBlank="1" showInputMessage="1" showErrorMessage="1" sqref="E22 D24">
      <formula1>$D$25:$D$39</formula1>
    </dataValidation>
    <dataValidation type="list" allowBlank="1" showInputMessage="1" showErrorMessage="1" sqref="E58">
      <formula1>#REF!</formula1>
    </dataValidation>
    <dataValidation type="list" allowBlank="1" showInputMessage="1" showErrorMessage="1" sqref="E55">
      <formula1>$D$56:$D$57</formula1>
    </dataValidation>
    <dataValidation type="list" allowBlank="1" showInputMessage="1" showErrorMessage="1" sqref="D60:E60">
      <formula1>$D$61:$D$64</formula1>
    </dataValidation>
  </dataValidations>
  <pageMargins left="0.7" right="0.7" top="0.75" bottom="0.75" header="0.3" footer="0.3"/>
  <pageSetup paperSize="9" scale="70" orientation="portrait" copies="2" r:id="rId1"/>
  <legacyDrawing r:id="rId2"/>
</worksheet>
</file>

<file path=xl/worksheets/sheet41.xml><?xml version="1.0" encoding="utf-8"?>
<worksheet xmlns="http://schemas.openxmlformats.org/spreadsheetml/2006/main" xmlns:r="http://schemas.openxmlformats.org/officeDocument/2006/relationships">
  <sheetPr>
    <pageSetUpPr fitToPage="1"/>
  </sheetPr>
  <dimension ref="B1:AK92"/>
  <sheetViews>
    <sheetView topLeftCell="A21" zoomScale="75" zoomScaleNormal="75" workbookViewId="0">
      <selection activeCell="E89" sqref="E89"/>
    </sheetView>
  </sheetViews>
  <sheetFormatPr defaultRowHeight="15"/>
  <cols>
    <col min="1" max="2" width="3.7109375" customWidth="1"/>
    <col min="3" max="3" width="61.42578125" bestFit="1" customWidth="1"/>
    <col min="4" max="4" width="34.28515625" style="26" customWidth="1"/>
    <col min="5" max="5" width="4.7109375" customWidth="1"/>
    <col min="6" max="7" width="3.7109375" customWidth="1"/>
    <col min="9" max="9" width="17.42578125" customWidth="1"/>
    <col min="10" max="11" width="15.7109375" bestFit="1" customWidth="1"/>
    <col min="12" max="12" width="14.42578125" bestFit="1" customWidth="1"/>
    <col min="13" max="13" width="11.85546875" customWidth="1"/>
    <col min="14" max="14" width="10.42578125" customWidth="1"/>
    <col min="16" max="16" width="8.28515625" customWidth="1"/>
  </cols>
  <sheetData>
    <row r="1" spans="2:6" ht="18.75">
      <c r="B1" s="25" t="s">
        <v>60</v>
      </c>
    </row>
    <row r="2" spans="2:6" ht="18.75">
      <c r="B2" s="25" t="s">
        <v>347</v>
      </c>
    </row>
    <row r="3" spans="2:6" ht="18.75">
      <c r="B3" s="280" t="s">
        <v>641</v>
      </c>
    </row>
    <row r="4" spans="2:6" ht="19.5" thickBot="1">
      <c r="B4" s="25"/>
      <c r="C4" s="33"/>
    </row>
    <row r="5" spans="2:6" ht="18.75">
      <c r="B5" s="356"/>
      <c r="C5" s="357" t="s">
        <v>105</v>
      </c>
      <c r="D5" s="358"/>
      <c r="E5" s="359"/>
      <c r="F5" s="360"/>
    </row>
    <row r="6" spans="2:6" ht="18.75">
      <c r="B6" s="361"/>
      <c r="C6" s="498" t="s">
        <v>641</v>
      </c>
      <c r="D6" s="363"/>
      <c r="E6" s="364"/>
      <c r="F6" s="365"/>
    </row>
    <row r="7" spans="2:6" ht="18.75">
      <c r="B7" s="361"/>
      <c r="C7" s="497"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53" t="s">
        <v>642</v>
      </c>
      <c r="E10" s="369"/>
      <c r="F10" s="370"/>
    </row>
    <row r="11" spans="2:6" s="32" customFormat="1">
      <c r="B11" s="366"/>
      <c r="C11" s="367" t="s">
        <v>109</v>
      </c>
      <c r="D11" s="373">
        <v>40632</v>
      </c>
      <c r="E11" s="369"/>
      <c r="F11" s="370"/>
    </row>
    <row r="12" spans="2:6" s="32" customFormat="1">
      <c r="B12" s="366"/>
      <c r="C12" s="367" t="s">
        <v>101</v>
      </c>
      <c r="D12" s="389">
        <v>40816</v>
      </c>
      <c r="E12" s="369"/>
      <c r="F12" s="370"/>
    </row>
    <row r="13" spans="2:6" s="32" customFormat="1">
      <c r="B13" s="366"/>
      <c r="C13" s="367"/>
      <c r="D13" s="368"/>
      <c r="E13" s="369"/>
      <c r="F13" s="370"/>
    </row>
    <row r="14" spans="2:6">
      <c r="B14" s="361"/>
      <c r="C14" s="367" t="s">
        <v>100</v>
      </c>
      <c r="D14" s="374" t="s">
        <v>99</v>
      </c>
      <c r="E14" s="374"/>
      <c r="F14" s="365"/>
    </row>
    <row r="15" spans="2:6">
      <c r="B15" s="361"/>
      <c r="C15" s="364"/>
      <c r="D15" s="374" t="s">
        <v>98</v>
      </c>
      <c r="E15" s="374"/>
      <c r="F15" s="365"/>
    </row>
    <row r="16" spans="2:6">
      <c r="B16" s="361"/>
      <c r="C16" s="364"/>
      <c r="D16" s="374" t="s">
        <v>97</v>
      </c>
      <c r="E16" s="375" t="s">
        <v>96</v>
      </c>
      <c r="F16" s="365"/>
    </row>
    <row r="17" spans="2:6">
      <c r="B17" s="361"/>
      <c r="C17" s="364"/>
      <c r="D17" s="374" t="s">
        <v>45</v>
      </c>
      <c r="E17" s="375"/>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67" t="s">
        <v>94</v>
      </c>
      <c r="D23" s="371" t="s">
        <v>617</v>
      </c>
      <c r="E23" s="364"/>
      <c r="F23" s="365"/>
    </row>
    <row r="24" spans="2:6" hidden="1">
      <c r="B24" s="361"/>
      <c r="C24" s="367"/>
      <c r="D24" s="371"/>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7" hidden="1">
      <c r="B33" s="361"/>
      <c r="C33" s="367"/>
      <c r="D33" s="371" t="s">
        <v>86</v>
      </c>
      <c r="E33" s="364"/>
      <c r="F33" s="365"/>
    </row>
    <row r="34" spans="2:7" hidden="1">
      <c r="B34" s="361"/>
      <c r="C34" s="367"/>
      <c r="D34" s="371" t="s">
        <v>85</v>
      </c>
      <c r="E34" s="364"/>
      <c r="F34" s="365"/>
    </row>
    <row r="35" spans="2:7" hidden="1">
      <c r="B35" s="361"/>
      <c r="C35" s="367"/>
      <c r="D35" s="371" t="s">
        <v>84</v>
      </c>
      <c r="E35" s="364"/>
      <c r="F35" s="365"/>
    </row>
    <row r="36" spans="2:7" hidden="1">
      <c r="B36" s="361"/>
      <c r="C36" s="367"/>
      <c r="D36" s="371" t="s">
        <v>83</v>
      </c>
      <c r="E36" s="364"/>
      <c r="F36" s="365"/>
    </row>
    <row r="37" spans="2:7" hidden="1">
      <c r="B37" s="361"/>
      <c r="C37" s="367"/>
      <c r="D37" s="371" t="s">
        <v>82</v>
      </c>
      <c r="E37" s="364"/>
      <c r="F37" s="365"/>
    </row>
    <row r="38" spans="2:7" hidden="1">
      <c r="B38" s="361"/>
      <c r="C38" s="367"/>
      <c r="D38" s="371" t="s">
        <v>81</v>
      </c>
      <c r="E38" s="364"/>
      <c r="F38" s="365"/>
    </row>
    <row r="39" spans="2:7" hidden="1">
      <c r="B39" s="361"/>
      <c r="C39" s="367"/>
      <c r="D39" s="378" t="s">
        <v>66</v>
      </c>
      <c r="E39" s="364"/>
      <c r="F39" s="365"/>
    </row>
    <row r="40" spans="2:7">
      <c r="B40" s="361"/>
      <c r="C40" s="367"/>
      <c r="D40" s="363"/>
      <c r="E40" s="364"/>
      <c r="F40" s="365"/>
    </row>
    <row r="41" spans="2:7">
      <c r="B41" s="361"/>
      <c r="C41" s="376" t="s">
        <v>65</v>
      </c>
      <c r="D41" s="371"/>
      <c r="E41" s="364"/>
      <c r="F41" s="365"/>
    </row>
    <row r="42" spans="2:7">
      <c r="B42" s="361"/>
      <c r="C42" s="377"/>
      <c r="D42" s="363"/>
      <c r="E42" s="364"/>
      <c r="F42" s="365"/>
    </row>
    <row r="43" spans="2:7" ht="18.75">
      <c r="B43" s="392"/>
      <c r="C43" s="393" t="s">
        <v>80</v>
      </c>
      <c r="D43" s="394"/>
      <c r="E43" s="395"/>
      <c r="F43" s="396"/>
    </row>
    <row r="44" spans="2:7" ht="90" customHeight="1">
      <c r="B44" s="392"/>
      <c r="C44" s="391" t="s">
        <v>79</v>
      </c>
      <c r="D44" s="399" t="s">
        <v>643</v>
      </c>
      <c r="E44" s="395"/>
      <c r="F44" s="396"/>
      <c r="G44" s="65"/>
    </row>
    <row r="45" spans="2:7">
      <c r="B45" s="392"/>
      <c r="C45" s="391" t="s">
        <v>78</v>
      </c>
      <c r="D45" s="399"/>
      <c r="E45" s="395"/>
      <c r="F45" s="396"/>
      <c r="G45" s="65"/>
    </row>
    <row r="46" spans="2:7" ht="30">
      <c r="B46" s="392"/>
      <c r="C46" s="398" t="s">
        <v>77</v>
      </c>
      <c r="D46" s="399"/>
      <c r="E46" s="395"/>
      <c r="F46" s="396"/>
      <c r="G46" s="65"/>
    </row>
    <row r="47" spans="2:7" ht="30">
      <c r="B47" s="392"/>
      <c r="C47" s="400" t="s">
        <v>76</v>
      </c>
      <c r="D47" s="399" t="s">
        <v>278</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3"/>
      <c r="D52" s="404"/>
      <c r="E52" s="395"/>
      <c r="F52" s="396"/>
      <c r="G52" s="65"/>
    </row>
    <row r="53" spans="2:7" ht="18.75">
      <c r="B53" s="346"/>
      <c r="C53" s="347" t="s">
        <v>75</v>
      </c>
      <c r="D53" s="412"/>
      <c r="E53" s="349"/>
      <c r="F53" s="350"/>
      <c r="G53" s="65"/>
    </row>
    <row r="54" spans="2:7">
      <c r="B54" s="346"/>
      <c r="C54" s="351"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351"/>
      <c r="D59" s="412"/>
      <c r="E59" s="349"/>
      <c r="F59" s="350"/>
    </row>
    <row r="60" spans="2:7">
      <c r="B60" s="346"/>
      <c r="C60" s="351" t="s">
        <v>70</v>
      </c>
      <c r="D60" s="413" t="s">
        <v>69</v>
      </c>
      <c r="E60" s="349"/>
      <c r="F60" s="350"/>
    </row>
    <row r="61" spans="2:7" hidden="1">
      <c r="B61" s="346"/>
      <c r="C61" s="351"/>
      <c r="D61" s="415" t="s">
        <v>69</v>
      </c>
      <c r="E61" s="411"/>
      <c r="F61" s="350"/>
    </row>
    <row r="62" spans="2:7" hidden="1">
      <c r="B62" s="346"/>
      <c r="C62" s="351"/>
      <c r="D62" s="415" t="s">
        <v>68</v>
      </c>
      <c r="E62" s="411"/>
      <c r="F62" s="350"/>
    </row>
    <row r="63" spans="2:7" hidden="1">
      <c r="B63" s="346"/>
      <c r="C63" s="351"/>
      <c r="D63" s="415" t="s">
        <v>67</v>
      </c>
      <c r="E63" s="411"/>
      <c r="F63" s="350"/>
    </row>
    <row r="64" spans="2:7" hidden="1">
      <c r="B64" s="346"/>
      <c r="C64" s="351"/>
      <c r="D64" s="415" t="s">
        <v>66</v>
      </c>
      <c r="E64" s="411"/>
      <c r="F64" s="350"/>
    </row>
    <row r="65" spans="2:37">
      <c r="B65" s="346"/>
      <c r="C65" s="354" t="s">
        <v>65</v>
      </c>
      <c r="D65" s="413"/>
      <c r="E65" s="349"/>
      <c r="F65" s="350"/>
    </row>
    <row r="66" spans="2:37">
      <c r="B66" s="346"/>
      <c r="C66" s="351"/>
      <c r="D66" s="412"/>
      <c r="E66" s="349"/>
      <c r="F66" s="350"/>
    </row>
    <row r="67" spans="2:37" ht="18.75">
      <c r="B67" s="419"/>
      <c r="C67" s="420" t="s">
        <v>64</v>
      </c>
      <c r="D67" s="434"/>
      <c r="E67" s="422"/>
      <c r="F67" s="423"/>
    </row>
    <row r="68" spans="2:37">
      <c r="B68" s="419"/>
      <c r="C68" s="418" t="s">
        <v>118</v>
      </c>
      <c r="D68" s="424" t="s">
        <v>106</v>
      </c>
      <c r="E68" s="422"/>
      <c r="F68" s="423"/>
      <c r="J68" t="s">
        <v>644</v>
      </c>
    </row>
    <row r="69" spans="2:37">
      <c r="B69" s="419"/>
      <c r="C69" s="418" t="s">
        <v>107</v>
      </c>
      <c r="D69" s="427"/>
      <c r="E69" s="422"/>
      <c r="F69" s="423"/>
    </row>
    <row r="70" spans="2:37">
      <c r="B70" s="419"/>
      <c r="C70" s="418" t="s">
        <v>119</v>
      </c>
      <c r="D70" s="424">
        <f>H70*1000</f>
        <v>74750000</v>
      </c>
      <c r="E70" s="422"/>
      <c r="F70" s="423"/>
      <c r="H70" s="506">
        <f>SUM(M74:AK74)</f>
        <v>74750</v>
      </c>
    </row>
    <row r="71" spans="2:37">
      <c r="B71" s="419"/>
      <c r="C71" s="418"/>
      <c r="D71" s="433"/>
      <c r="E71" s="422"/>
      <c r="F71" s="423"/>
      <c r="J71" t="s">
        <v>645</v>
      </c>
      <c r="M71" t="s">
        <v>6</v>
      </c>
      <c r="N71" t="s">
        <v>7</v>
      </c>
      <c r="O71" t="s">
        <v>8</v>
      </c>
      <c r="P71" t="s">
        <v>9</v>
      </c>
      <c r="Q71" t="s">
        <v>10</v>
      </c>
      <c r="R71" t="s">
        <v>11</v>
      </c>
      <c r="S71" t="s">
        <v>13</v>
      </c>
      <c r="T71" t="s">
        <v>14</v>
      </c>
      <c r="U71" t="s">
        <v>15</v>
      </c>
      <c r="V71" t="s">
        <v>16</v>
      </c>
      <c r="W71" t="s">
        <v>557</v>
      </c>
      <c r="X71" t="s">
        <v>558</v>
      </c>
      <c r="Y71" t="s">
        <v>559</v>
      </c>
      <c r="Z71" t="s">
        <v>560</v>
      </c>
      <c r="AA71" t="s">
        <v>561</v>
      </c>
      <c r="AB71" t="s">
        <v>562</v>
      </c>
      <c r="AC71" t="s">
        <v>563</v>
      </c>
      <c r="AD71" t="s">
        <v>564</v>
      </c>
      <c r="AE71" t="s">
        <v>565</v>
      </c>
      <c r="AF71" t="s">
        <v>566</v>
      </c>
      <c r="AG71" t="s">
        <v>567</v>
      </c>
      <c r="AH71" t="s">
        <v>568</v>
      </c>
      <c r="AI71" t="s">
        <v>569</v>
      </c>
      <c r="AJ71" t="s">
        <v>570</v>
      </c>
      <c r="AK71" t="s">
        <v>571</v>
      </c>
    </row>
    <row r="72" spans="2:37" ht="30">
      <c r="B72" s="419"/>
      <c r="C72" s="418" t="s">
        <v>223</v>
      </c>
      <c r="D72" s="426" t="s">
        <v>649</v>
      </c>
      <c r="E72" s="422"/>
      <c r="F72" s="423"/>
      <c r="I72" t="s">
        <v>532</v>
      </c>
      <c r="J72" s="548">
        <v>320000</v>
      </c>
      <c r="K72" s="549">
        <v>5.0000000000000001E-3</v>
      </c>
      <c r="R72">
        <f>$K$72*$J$72</f>
        <v>1600</v>
      </c>
      <c r="S72">
        <f>$K$72*$J$72</f>
        <v>1600</v>
      </c>
      <c r="T72">
        <f>$K$72*$J$72</f>
        <v>1600</v>
      </c>
      <c r="U72">
        <f>$K$72*$J$72</f>
        <v>1600</v>
      </c>
      <c r="V72">
        <f>$K$72*$J$72</f>
        <v>1600</v>
      </c>
      <c r="W72">
        <f t="shared" ref="W72:AK72" si="0">$K$72*$J$72</f>
        <v>1600</v>
      </c>
      <c r="X72">
        <f t="shared" si="0"/>
        <v>1600</v>
      </c>
      <c r="Y72">
        <f t="shared" si="0"/>
        <v>1600</v>
      </c>
      <c r="Z72">
        <f t="shared" si="0"/>
        <v>1600</v>
      </c>
      <c r="AA72">
        <f t="shared" si="0"/>
        <v>1600</v>
      </c>
      <c r="AB72">
        <f t="shared" si="0"/>
        <v>1600</v>
      </c>
      <c r="AC72">
        <f t="shared" si="0"/>
        <v>1600</v>
      </c>
      <c r="AD72">
        <f t="shared" si="0"/>
        <v>1600</v>
      </c>
      <c r="AE72">
        <f t="shared" si="0"/>
        <v>1600</v>
      </c>
      <c r="AF72">
        <f t="shared" si="0"/>
        <v>1600</v>
      </c>
      <c r="AG72">
        <f t="shared" si="0"/>
        <v>1600</v>
      </c>
      <c r="AH72">
        <f t="shared" si="0"/>
        <v>1600</v>
      </c>
      <c r="AI72">
        <f t="shared" si="0"/>
        <v>1600</v>
      </c>
      <c r="AJ72">
        <f t="shared" si="0"/>
        <v>1600</v>
      </c>
      <c r="AK72">
        <f t="shared" si="0"/>
        <v>1600</v>
      </c>
    </row>
    <row r="73" spans="2:37" ht="23.25" customHeight="1">
      <c r="B73" s="419"/>
      <c r="C73" s="418" t="s">
        <v>62</v>
      </c>
      <c r="D73" s="426" t="s">
        <v>650</v>
      </c>
      <c r="E73" s="422"/>
      <c r="F73" s="423"/>
      <c r="I73" t="s">
        <v>534</v>
      </c>
      <c r="J73" s="548">
        <v>450000</v>
      </c>
      <c r="S73">
        <f>$K$72*$J$73</f>
        <v>2250</v>
      </c>
      <c r="T73">
        <f>$K$72*$J$73</f>
        <v>2250</v>
      </c>
      <c r="U73">
        <f>$K$72*$J$73</f>
        <v>2250</v>
      </c>
      <c r="V73">
        <f>$K$72*$J$73</f>
        <v>2250</v>
      </c>
      <c r="W73">
        <f t="shared" ref="W73:AK73" si="1">$K$72*$J$73</f>
        <v>2250</v>
      </c>
      <c r="X73">
        <f t="shared" si="1"/>
        <v>2250</v>
      </c>
      <c r="Y73">
        <f t="shared" si="1"/>
        <v>2250</v>
      </c>
      <c r="Z73">
        <f t="shared" si="1"/>
        <v>2250</v>
      </c>
      <c r="AA73">
        <f t="shared" si="1"/>
        <v>2250</v>
      </c>
      <c r="AB73">
        <f t="shared" si="1"/>
        <v>2250</v>
      </c>
      <c r="AC73">
        <f t="shared" si="1"/>
        <v>2250</v>
      </c>
      <c r="AD73">
        <f t="shared" si="1"/>
        <v>2250</v>
      </c>
      <c r="AE73">
        <f t="shared" si="1"/>
        <v>2250</v>
      </c>
      <c r="AF73">
        <f t="shared" si="1"/>
        <v>2250</v>
      </c>
      <c r="AG73">
        <f t="shared" si="1"/>
        <v>2250</v>
      </c>
      <c r="AH73">
        <f t="shared" si="1"/>
        <v>2250</v>
      </c>
      <c r="AI73">
        <f t="shared" si="1"/>
        <v>2250</v>
      </c>
      <c r="AJ73">
        <f t="shared" si="1"/>
        <v>2250</v>
      </c>
      <c r="AK73">
        <f t="shared" si="1"/>
        <v>2250</v>
      </c>
    </row>
    <row r="74" spans="2:37">
      <c r="B74" s="419"/>
      <c r="C74" s="418"/>
      <c r="D74" s="433"/>
      <c r="E74" s="422"/>
      <c r="F74" s="423"/>
      <c r="K74" t="s">
        <v>130</v>
      </c>
      <c r="M74" s="459">
        <f>SUM(M72:M73)</f>
        <v>0</v>
      </c>
      <c r="N74" s="459">
        <f t="shared" ref="N74:AK74" si="2">SUM(N72:N73)</f>
        <v>0</v>
      </c>
      <c r="O74" s="459">
        <f t="shared" si="2"/>
        <v>0</v>
      </c>
      <c r="P74" s="459">
        <f t="shared" si="2"/>
        <v>0</v>
      </c>
      <c r="Q74" s="459">
        <f t="shared" si="2"/>
        <v>0</v>
      </c>
      <c r="R74" s="459">
        <f t="shared" si="2"/>
        <v>1600</v>
      </c>
      <c r="S74" s="459">
        <f t="shared" si="2"/>
        <v>3850</v>
      </c>
      <c r="T74" s="459">
        <f t="shared" si="2"/>
        <v>3850</v>
      </c>
      <c r="U74" s="459">
        <f t="shared" si="2"/>
        <v>3850</v>
      </c>
      <c r="V74" s="459">
        <f t="shared" si="2"/>
        <v>3850</v>
      </c>
      <c r="W74" s="459">
        <f t="shared" si="2"/>
        <v>3850</v>
      </c>
      <c r="X74" s="459">
        <f t="shared" si="2"/>
        <v>3850</v>
      </c>
      <c r="Y74" s="459">
        <f t="shared" si="2"/>
        <v>3850</v>
      </c>
      <c r="Z74" s="459">
        <f t="shared" si="2"/>
        <v>3850</v>
      </c>
      <c r="AA74" s="459">
        <f t="shared" si="2"/>
        <v>3850</v>
      </c>
      <c r="AB74" s="459">
        <f t="shared" si="2"/>
        <v>3850</v>
      </c>
      <c r="AC74" s="459">
        <f t="shared" si="2"/>
        <v>3850</v>
      </c>
      <c r="AD74" s="459">
        <f t="shared" si="2"/>
        <v>3850</v>
      </c>
      <c r="AE74" s="459">
        <f t="shared" si="2"/>
        <v>3850</v>
      </c>
      <c r="AF74" s="459">
        <f t="shared" si="2"/>
        <v>3850</v>
      </c>
      <c r="AG74" s="459">
        <f t="shared" si="2"/>
        <v>3850</v>
      </c>
      <c r="AH74" s="459">
        <f t="shared" si="2"/>
        <v>3850</v>
      </c>
      <c r="AI74" s="459">
        <f t="shared" si="2"/>
        <v>3850</v>
      </c>
      <c r="AJ74" s="459">
        <f t="shared" si="2"/>
        <v>3850</v>
      </c>
      <c r="AK74" s="459">
        <f t="shared" si="2"/>
        <v>3850</v>
      </c>
    </row>
    <row r="75" spans="2:37">
      <c r="B75" s="419"/>
      <c r="C75" s="418" t="s">
        <v>61</v>
      </c>
      <c r="D75" s="427">
        <v>0.5</v>
      </c>
      <c r="E75" s="422"/>
      <c r="F75" s="423"/>
      <c r="K75" t="s">
        <v>594</v>
      </c>
      <c r="L75" s="503">
        <f>NPV(3.5%,M74:AK74)</f>
        <v>44240.503085046563</v>
      </c>
    </row>
    <row r="76" spans="2:37">
      <c r="B76" s="419"/>
      <c r="C76" s="418"/>
      <c r="D76" s="434"/>
      <c r="E76" s="422"/>
      <c r="F76" s="423"/>
    </row>
    <row r="77" spans="2:37">
      <c r="B77" s="419"/>
      <c r="C77" s="428"/>
      <c r="D77" s="434" t="s">
        <v>106</v>
      </c>
      <c r="E77" s="422"/>
      <c r="F77" s="423"/>
      <c r="J77" t="s">
        <v>646</v>
      </c>
      <c r="L77" s="550">
        <v>0.2</v>
      </c>
    </row>
    <row r="78" spans="2:37" ht="15.75" thickBot="1">
      <c r="B78" s="429"/>
      <c r="C78" s="430"/>
      <c r="D78" s="435"/>
      <c r="E78" s="430"/>
      <c r="F78" s="432"/>
      <c r="J78" t="s">
        <v>647</v>
      </c>
      <c r="L78" s="550">
        <v>0.4</v>
      </c>
    </row>
    <row r="79" spans="2:37">
      <c r="J79" t="s">
        <v>648</v>
      </c>
      <c r="L79" s="550">
        <v>0.4</v>
      </c>
    </row>
    <row r="81" spans="9:17">
      <c r="I81" s="139"/>
      <c r="J81" s="263"/>
      <c r="K81" s="122"/>
      <c r="L81" s="122"/>
      <c r="M81" s="8"/>
      <c r="N81" s="545"/>
      <c r="O81" s="264"/>
      <c r="P81" s="8"/>
      <c r="Q81" s="8"/>
    </row>
    <row r="82" spans="9:17">
      <c r="I82" s="139"/>
      <c r="J82" s="263"/>
      <c r="K82" s="265"/>
      <c r="L82" s="122"/>
      <c r="M82" s="8"/>
      <c r="N82" s="545"/>
      <c r="O82" s="8"/>
      <c r="P82" s="8"/>
      <c r="Q82" s="8"/>
    </row>
    <row r="83" spans="9:17">
      <c r="I83" s="139"/>
      <c r="J83" s="263"/>
      <c r="K83" s="265"/>
      <c r="L83" s="122"/>
      <c r="M83" s="8"/>
      <c r="N83" s="545"/>
      <c r="O83" s="8"/>
      <c r="P83" s="8"/>
      <c r="Q83" s="8"/>
    </row>
    <row r="84" spans="9:17">
      <c r="I84" s="139"/>
      <c r="J84" s="270"/>
      <c r="K84" s="139"/>
      <c r="L84" s="139"/>
      <c r="M84" s="8"/>
      <c r="N84" s="545"/>
      <c r="O84" s="8"/>
      <c r="P84" s="8"/>
      <c r="Q84" s="8"/>
    </row>
    <row r="85" spans="9:17">
      <c r="I85" s="139"/>
      <c r="J85" s="266"/>
      <c r="K85" s="267"/>
      <c r="L85" s="122"/>
      <c r="M85" s="8"/>
      <c r="N85" s="545"/>
      <c r="O85" s="8"/>
      <c r="P85" s="8"/>
      <c r="Q85" s="8"/>
    </row>
    <row r="86" spans="9:17">
      <c r="I86" s="139"/>
      <c r="J86" s="266"/>
      <c r="K86" s="267"/>
      <c r="L86" s="122"/>
      <c r="M86" s="8"/>
      <c r="N86" s="122"/>
      <c r="O86" s="8"/>
      <c r="P86" s="8"/>
      <c r="Q86" s="8"/>
    </row>
    <row r="87" spans="9:17">
      <c r="I87" s="139"/>
      <c r="J87" s="268"/>
      <c r="K87" s="265"/>
      <c r="L87" s="122"/>
      <c r="M87" s="8"/>
      <c r="N87" s="122"/>
      <c r="O87" s="8"/>
      <c r="P87" s="8"/>
      <c r="Q87" s="8"/>
    </row>
    <row r="88" spans="9:17">
      <c r="I88" s="139"/>
      <c r="J88" s="270"/>
      <c r="K88" s="139"/>
      <c r="L88" s="139"/>
      <c r="M88" s="8"/>
      <c r="N88" s="122"/>
      <c r="O88" s="8"/>
      <c r="P88" s="8"/>
      <c r="Q88" s="8"/>
    </row>
    <row r="89" spans="9:17">
      <c r="I89" s="8"/>
      <c r="J89" s="8"/>
      <c r="K89" s="8"/>
      <c r="L89" s="8"/>
      <c r="M89" s="8"/>
      <c r="N89" s="122"/>
      <c r="O89" s="8"/>
      <c r="P89" s="8"/>
      <c r="Q89" s="8"/>
    </row>
    <row r="90" spans="9:17">
      <c r="I90" s="8"/>
      <c r="J90" s="8"/>
      <c r="K90" s="8"/>
      <c r="L90" s="8"/>
      <c r="M90" s="8"/>
      <c r="N90" s="122"/>
      <c r="O90" s="8"/>
      <c r="P90" s="8"/>
      <c r="Q90" s="8"/>
    </row>
    <row r="91" spans="9:17">
      <c r="I91" s="8"/>
      <c r="J91" s="8"/>
      <c r="K91" s="8"/>
      <c r="L91" s="547"/>
      <c r="M91" s="8"/>
      <c r="N91" s="122"/>
      <c r="O91" s="8"/>
      <c r="P91" s="8"/>
      <c r="Q91" s="8"/>
    </row>
    <row r="92" spans="9:17">
      <c r="L92" s="271"/>
      <c r="M92" s="267"/>
      <c r="N92" s="269"/>
    </row>
  </sheetData>
  <dataValidations count="3">
    <dataValidation type="list" allowBlank="1" showInputMessage="1" showErrorMessage="1" sqref="D60">
      <formula1>$D$61:$D$64</formula1>
    </dataValidation>
    <dataValidation type="list" allowBlank="1" showInputMessage="1" showErrorMessage="1" sqref="D54">
      <formula1>$D$56:$D$58</formula1>
    </dataValidation>
    <dataValidation type="list" allowBlank="1" showInputMessage="1" showErrorMessage="1" sqref="D47">
      <formula1>$D$48:$D$51</formula1>
    </dataValidation>
  </dataValidations>
  <pageMargins left="0.7" right="0.7" top="0.75" bottom="0.75" header="0.3" footer="0.3"/>
  <pageSetup paperSize="9" scale="20" orientation="portrait" copies="2" r:id="rId1"/>
</worksheet>
</file>

<file path=xl/worksheets/sheet42.xml><?xml version="1.0" encoding="utf-8"?>
<worksheet xmlns="http://schemas.openxmlformats.org/spreadsheetml/2006/main" xmlns:r="http://schemas.openxmlformats.org/officeDocument/2006/relationships">
  <sheetPr>
    <pageSetUpPr fitToPage="1"/>
  </sheetPr>
  <dimension ref="B1:AK92"/>
  <sheetViews>
    <sheetView topLeftCell="A40" zoomScale="75" zoomScaleNormal="75" workbookViewId="0">
      <selection activeCell="I73" sqref="I73"/>
    </sheetView>
  </sheetViews>
  <sheetFormatPr defaultRowHeight="15"/>
  <cols>
    <col min="1" max="2" width="3.7109375" customWidth="1"/>
    <col min="3" max="3" width="61.42578125" bestFit="1" customWidth="1"/>
    <col min="4" max="4" width="34.28515625" style="26" customWidth="1"/>
    <col min="5" max="5" width="4.7109375" customWidth="1"/>
    <col min="6" max="7" width="3.7109375" customWidth="1"/>
    <col min="9" max="9" width="17.42578125" customWidth="1"/>
    <col min="10" max="11" width="15.7109375" bestFit="1" customWidth="1"/>
    <col min="12" max="12" width="14.42578125" bestFit="1" customWidth="1"/>
    <col min="13" max="13" width="11.85546875" customWidth="1"/>
    <col min="14" max="14" width="13.28515625" customWidth="1"/>
    <col min="16" max="16" width="8.28515625" customWidth="1"/>
  </cols>
  <sheetData>
    <row r="1" spans="2:7" ht="18.75">
      <c r="B1" s="25" t="s">
        <v>60</v>
      </c>
    </row>
    <row r="2" spans="2:7" ht="18.75">
      <c r="B2" s="25" t="s">
        <v>347</v>
      </c>
    </row>
    <row r="3" spans="2:7" ht="18.75">
      <c r="B3" s="280" t="s">
        <v>675</v>
      </c>
    </row>
    <row r="4" spans="2:7" ht="19.5" thickBot="1">
      <c r="B4" s="25"/>
      <c r="C4" s="33"/>
    </row>
    <row r="5" spans="2:7" ht="18.75">
      <c r="B5" s="356"/>
      <c r="C5" s="357" t="s">
        <v>105</v>
      </c>
      <c r="D5" s="358"/>
      <c r="E5" s="359"/>
      <c r="F5" s="360"/>
    </row>
    <row r="6" spans="2:7" ht="18.75">
      <c r="B6" s="361"/>
      <c r="C6" s="564" t="s">
        <v>675</v>
      </c>
      <c r="D6" s="363"/>
      <c r="E6" s="364"/>
      <c r="F6" s="365"/>
    </row>
    <row r="7" spans="2:7" ht="18.75">
      <c r="B7" s="361"/>
      <c r="C7" s="563" t="s">
        <v>104</v>
      </c>
      <c r="D7" s="363"/>
      <c r="E7" s="364"/>
      <c r="F7" s="365"/>
    </row>
    <row r="8" spans="2:7" s="32" customFormat="1">
      <c r="B8" s="366"/>
      <c r="C8" s="367"/>
      <c r="D8" s="368"/>
      <c r="E8" s="369"/>
      <c r="F8" s="370"/>
    </row>
    <row r="9" spans="2:7" s="32" customFormat="1">
      <c r="B9" s="366"/>
      <c r="C9" s="367" t="s">
        <v>103</v>
      </c>
      <c r="D9" s="371"/>
      <c r="E9" s="369"/>
      <c r="F9" s="370"/>
    </row>
    <row r="10" spans="2:7" s="32" customFormat="1">
      <c r="B10" s="366"/>
      <c r="C10" s="367" t="s">
        <v>102</v>
      </c>
      <c r="D10" s="453" t="s">
        <v>674</v>
      </c>
      <c r="E10" s="369"/>
      <c r="F10" s="370"/>
    </row>
    <row r="11" spans="2:7" s="32" customFormat="1">
      <c r="B11" s="366"/>
      <c r="C11" s="367" t="s">
        <v>109</v>
      </c>
      <c r="D11" s="373">
        <v>40632</v>
      </c>
      <c r="E11" s="369"/>
      <c r="F11" s="370"/>
    </row>
    <row r="12" spans="2:7" s="32" customFormat="1">
      <c r="B12" s="366"/>
      <c r="C12" s="367" t="s">
        <v>101</v>
      </c>
      <c r="D12" s="389">
        <v>40816</v>
      </c>
      <c r="E12" s="369"/>
      <c r="F12" s="370"/>
    </row>
    <row r="13" spans="2:7" s="32" customFormat="1">
      <c r="B13" s="366"/>
      <c r="C13" s="367"/>
      <c r="D13" s="368"/>
      <c r="E13" s="369"/>
      <c r="F13" s="370"/>
    </row>
    <row r="14" spans="2:7">
      <c r="B14" s="361"/>
      <c r="C14" s="367" t="s">
        <v>100</v>
      </c>
      <c r="D14" s="383" t="s">
        <v>99</v>
      </c>
      <c r="E14" s="374"/>
      <c r="F14" s="365"/>
      <c r="G14" s="65"/>
    </row>
    <row r="15" spans="2:7">
      <c r="B15" s="361"/>
      <c r="C15" s="364"/>
      <c r="D15" s="383" t="s">
        <v>98</v>
      </c>
      <c r="E15" s="374"/>
      <c r="F15" s="365"/>
      <c r="G15" s="65"/>
    </row>
    <row r="16" spans="2:7">
      <c r="B16" s="361"/>
      <c r="C16" s="364"/>
      <c r="D16" s="383" t="s">
        <v>97</v>
      </c>
      <c r="E16" s="375" t="s">
        <v>202</v>
      </c>
      <c r="F16" s="365"/>
      <c r="G16" s="65"/>
    </row>
    <row r="17" spans="2:7">
      <c r="B17" s="361"/>
      <c r="C17" s="364"/>
      <c r="D17" s="383" t="s">
        <v>45</v>
      </c>
      <c r="E17" s="374"/>
      <c r="F17" s="365"/>
      <c r="G17" s="65"/>
    </row>
    <row r="18" spans="2:7">
      <c r="B18" s="361"/>
      <c r="C18" s="364"/>
      <c r="D18" s="383" t="s">
        <v>95</v>
      </c>
      <c r="E18" s="374"/>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67" t="s">
        <v>94</v>
      </c>
      <c r="D23" s="382" t="s">
        <v>93</v>
      </c>
      <c r="E23" s="364"/>
      <c r="F23" s="365"/>
      <c r="G23" s="65"/>
    </row>
    <row r="24" spans="2:7" hidden="1">
      <c r="B24" s="361"/>
      <c r="C24" s="367"/>
      <c r="D24" s="382"/>
      <c r="E24" s="364"/>
      <c r="F24" s="365"/>
      <c r="G24" s="65"/>
    </row>
    <row r="25" spans="2:7" hidden="1">
      <c r="B25" s="361"/>
      <c r="C25" s="367"/>
      <c r="D25" s="371" t="s">
        <v>93</v>
      </c>
      <c r="E25" s="364"/>
      <c r="F25" s="365"/>
      <c r="G25" s="65"/>
    </row>
    <row r="26" spans="2:7" hidden="1">
      <c r="B26" s="361"/>
      <c r="C26" s="367"/>
      <c r="D26" s="371" t="s">
        <v>58</v>
      </c>
      <c r="E26" s="364"/>
      <c r="F26" s="365"/>
      <c r="G26" s="65"/>
    </row>
    <row r="27" spans="2:7" hidden="1">
      <c r="B27" s="361"/>
      <c r="C27" s="367"/>
      <c r="D27" s="371" t="s">
        <v>92</v>
      </c>
      <c r="E27" s="364"/>
      <c r="F27" s="365"/>
      <c r="G27" s="65"/>
    </row>
    <row r="28" spans="2:7" hidden="1">
      <c r="B28" s="361"/>
      <c r="C28" s="367"/>
      <c r="D28" s="371" t="s">
        <v>91</v>
      </c>
      <c r="E28" s="364"/>
      <c r="F28" s="365"/>
      <c r="G28" s="65"/>
    </row>
    <row r="29" spans="2:7" hidden="1">
      <c r="B29" s="361"/>
      <c r="C29" s="367"/>
      <c r="D29" s="371" t="s">
        <v>90</v>
      </c>
      <c r="E29" s="364"/>
      <c r="F29" s="365"/>
      <c r="G29" s="65"/>
    </row>
    <row r="30" spans="2:7" hidden="1">
      <c r="B30" s="361"/>
      <c r="C30" s="367"/>
      <c r="D30" s="371" t="s">
        <v>89</v>
      </c>
      <c r="E30" s="364"/>
      <c r="F30" s="365"/>
      <c r="G30" s="65"/>
    </row>
    <row r="31" spans="2:7" hidden="1">
      <c r="B31" s="361"/>
      <c r="C31" s="367"/>
      <c r="D31" s="371" t="s">
        <v>88</v>
      </c>
      <c r="E31" s="364"/>
      <c r="F31" s="365"/>
      <c r="G31" s="65"/>
    </row>
    <row r="32" spans="2:7" hidden="1">
      <c r="B32" s="361"/>
      <c r="C32" s="367"/>
      <c r="D32" s="371" t="s">
        <v>87</v>
      </c>
      <c r="E32" s="364"/>
      <c r="F32" s="365"/>
      <c r="G32" s="65"/>
    </row>
    <row r="33" spans="2:7" hidden="1">
      <c r="B33" s="361"/>
      <c r="C33" s="367"/>
      <c r="D33" s="371" t="s">
        <v>86</v>
      </c>
      <c r="E33" s="364"/>
      <c r="F33" s="365"/>
      <c r="G33" s="65"/>
    </row>
    <row r="34" spans="2:7" hidden="1">
      <c r="B34" s="361"/>
      <c r="C34" s="367"/>
      <c r="D34" s="371" t="s">
        <v>85</v>
      </c>
      <c r="E34" s="364"/>
      <c r="F34" s="365"/>
      <c r="G34" s="65"/>
    </row>
    <row r="35" spans="2:7" hidden="1">
      <c r="B35" s="361"/>
      <c r="C35" s="367"/>
      <c r="D35" s="371" t="s">
        <v>84</v>
      </c>
      <c r="E35" s="364"/>
      <c r="F35" s="365"/>
      <c r="G35" s="65"/>
    </row>
    <row r="36" spans="2:7" hidden="1">
      <c r="B36" s="361"/>
      <c r="C36" s="367"/>
      <c r="D36" s="371" t="s">
        <v>83</v>
      </c>
      <c r="E36" s="364"/>
      <c r="F36" s="365"/>
      <c r="G36" s="65"/>
    </row>
    <row r="37" spans="2:7" hidden="1">
      <c r="B37" s="361"/>
      <c r="C37" s="367"/>
      <c r="D37" s="371" t="s">
        <v>82</v>
      </c>
      <c r="E37" s="364"/>
      <c r="F37" s="365"/>
      <c r="G37" s="65"/>
    </row>
    <row r="38" spans="2:7" hidden="1">
      <c r="B38" s="361"/>
      <c r="C38" s="367"/>
      <c r="D38" s="371" t="s">
        <v>81</v>
      </c>
      <c r="E38" s="364"/>
      <c r="F38" s="365"/>
      <c r="G38" s="65"/>
    </row>
    <row r="39" spans="2:7" hidden="1">
      <c r="B39" s="361"/>
      <c r="C39" s="367"/>
      <c r="D39" s="378" t="s">
        <v>66</v>
      </c>
      <c r="E39" s="364"/>
      <c r="F39" s="365"/>
      <c r="G39" s="65"/>
    </row>
    <row r="40" spans="2:7">
      <c r="B40" s="361"/>
      <c r="C40" s="367"/>
      <c r="D40" s="380"/>
      <c r="E40" s="364"/>
      <c r="F40" s="365"/>
      <c r="G40" s="65"/>
    </row>
    <row r="41" spans="2:7">
      <c r="B41" s="361"/>
      <c r="C41" s="376" t="s">
        <v>65</v>
      </c>
      <c r="D41" s="382"/>
      <c r="E41" s="364"/>
      <c r="F41" s="365"/>
      <c r="G41" s="65"/>
    </row>
    <row r="42" spans="2:7">
      <c r="B42" s="361"/>
      <c r="C42" s="377"/>
      <c r="D42" s="380"/>
      <c r="E42" s="364"/>
      <c r="F42" s="365"/>
      <c r="G42" s="65"/>
    </row>
    <row r="43" spans="2:7" ht="18.75">
      <c r="B43" s="392"/>
      <c r="C43" s="393" t="s">
        <v>80</v>
      </c>
      <c r="D43" s="404"/>
      <c r="E43" s="395"/>
      <c r="F43" s="396"/>
      <c r="G43" s="65"/>
    </row>
    <row r="44" spans="2:7" ht="90" customHeight="1">
      <c r="B44" s="392"/>
      <c r="C44" s="391" t="s">
        <v>79</v>
      </c>
      <c r="D44" s="567" t="s">
        <v>676</v>
      </c>
      <c r="E44" s="395"/>
      <c r="F44" s="396"/>
      <c r="G44" s="65"/>
    </row>
    <row r="45" spans="2:7">
      <c r="B45" s="392"/>
      <c r="C45" s="391" t="s">
        <v>78</v>
      </c>
      <c r="D45" s="399"/>
      <c r="E45" s="395"/>
      <c r="F45" s="396"/>
      <c r="G45" s="65"/>
    </row>
    <row r="46" spans="2:7" ht="30">
      <c r="B46" s="392"/>
      <c r="C46" s="398" t="s">
        <v>77</v>
      </c>
      <c r="D46" s="399"/>
      <c r="E46" s="395"/>
      <c r="F46" s="396"/>
      <c r="G46" s="65"/>
    </row>
    <row r="47" spans="2:7" ht="30">
      <c r="B47" s="392"/>
      <c r="C47" s="400" t="s">
        <v>76</v>
      </c>
      <c r="D47" s="399" t="s">
        <v>277</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3"/>
      <c r="D52" s="404"/>
      <c r="E52" s="395"/>
      <c r="F52" s="396"/>
      <c r="G52" s="65"/>
    </row>
    <row r="53" spans="2:7" ht="18.75">
      <c r="B53" s="346"/>
      <c r="C53" s="347" t="s">
        <v>75</v>
      </c>
      <c r="D53" s="412"/>
      <c r="E53" s="349"/>
      <c r="F53" s="350"/>
      <c r="G53" s="65"/>
    </row>
    <row r="54" spans="2:7">
      <c r="B54" s="346"/>
      <c r="C54" s="351"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351"/>
      <c r="D59" s="412"/>
      <c r="E59" s="349"/>
      <c r="F59" s="350"/>
    </row>
    <row r="60" spans="2:7">
      <c r="B60" s="346"/>
      <c r="C60" s="351" t="s">
        <v>70</v>
      </c>
      <c r="D60" s="413"/>
      <c r="E60" s="349"/>
      <c r="F60" s="350"/>
    </row>
    <row r="61" spans="2:7" hidden="1">
      <c r="B61" s="346"/>
      <c r="C61" s="351"/>
      <c r="D61" s="415" t="s">
        <v>69</v>
      </c>
      <c r="E61" s="411"/>
      <c r="F61" s="350"/>
    </row>
    <row r="62" spans="2:7" hidden="1">
      <c r="B62" s="346"/>
      <c r="C62" s="351"/>
      <c r="D62" s="415" t="s">
        <v>68</v>
      </c>
      <c r="E62" s="411"/>
      <c r="F62" s="350"/>
    </row>
    <row r="63" spans="2:7" hidden="1">
      <c r="B63" s="346"/>
      <c r="C63" s="351"/>
      <c r="D63" s="415" t="s">
        <v>67</v>
      </c>
      <c r="E63" s="411"/>
      <c r="F63" s="350"/>
    </row>
    <row r="64" spans="2:7" hidden="1">
      <c r="B64" s="346"/>
      <c r="C64" s="351"/>
      <c r="D64" s="415" t="s">
        <v>66</v>
      </c>
      <c r="E64" s="411"/>
      <c r="F64" s="350"/>
    </row>
    <row r="65" spans="2:37">
      <c r="B65" s="346"/>
      <c r="C65" s="354" t="s">
        <v>65</v>
      </c>
      <c r="D65" s="413" t="s">
        <v>677</v>
      </c>
      <c r="E65" s="349"/>
      <c r="F65" s="350"/>
    </row>
    <row r="66" spans="2:37">
      <c r="B66" s="346"/>
      <c r="C66" s="351"/>
      <c r="D66" s="412"/>
      <c r="E66" s="349"/>
      <c r="F66" s="350"/>
      <c r="I66" s="592">
        <v>4.4999999999999998E-2</v>
      </c>
      <c r="J66" s="550">
        <v>0.05</v>
      </c>
    </row>
    <row r="67" spans="2:37" ht="18.75">
      <c r="B67" s="419"/>
      <c r="C67" s="420" t="s">
        <v>64</v>
      </c>
      <c r="D67" s="434"/>
      <c r="E67" s="422"/>
      <c r="F67" s="423"/>
      <c r="I67">
        <f>400000*0.045</f>
        <v>18000</v>
      </c>
      <c r="J67">
        <f>400000*0.05</f>
        <v>20000</v>
      </c>
      <c r="K67" s="571">
        <f>SUM(I67:J67)</f>
        <v>38000</v>
      </c>
    </row>
    <row r="68" spans="2:37">
      <c r="B68" s="419"/>
      <c r="C68" s="418" t="s">
        <v>118</v>
      </c>
      <c r="D68" s="424" t="s">
        <v>106</v>
      </c>
      <c r="E68" s="422"/>
      <c r="F68" s="423"/>
    </row>
    <row r="69" spans="2:37">
      <c r="B69" s="419"/>
      <c r="C69" s="418" t="s">
        <v>107</v>
      </c>
      <c r="D69" s="427"/>
      <c r="E69" s="422"/>
      <c r="F69" s="423"/>
    </row>
    <row r="70" spans="2:37">
      <c r="B70" s="419"/>
      <c r="C70" s="418" t="s">
        <v>119</v>
      </c>
      <c r="D70" s="606" t="s">
        <v>732</v>
      </c>
      <c r="E70" s="422"/>
      <c r="F70" s="423"/>
      <c r="I70" s="571">
        <f>K67</f>
        <v>38000</v>
      </c>
    </row>
    <row r="71" spans="2:37">
      <c r="B71" s="419"/>
      <c r="C71" s="418"/>
      <c r="D71" s="433"/>
      <c r="E71" s="422"/>
      <c r="F71" s="423"/>
      <c r="J71" s="39"/>
      <c r="K71" s="39"/>
    </row>
    <row r="72" spans="2:37">
      <c r="B72" s="419"/>
      <c r="C72" s="418" t="s">
        <v>223</v>
      </c>
      <c r="D72" s="426" t="s">
        <v>679</v>
      </c>
      <c r="E72" s="422"/>
      <c r="F72" s="423"/>
      <c r="I72" t="s">
        <v>5</v>
      </c>
      <c r="J72" t="s">
        <v>6</v>
      </c>
      <c r="K72" t="s">
        <v>7</v>
      </c>
      <c r="L72" t="s">
        <v>8</v>
      </c>
      <c r="M72" t="s">
        <v>9</v>
      </c>
      <c r="N72" t="s">
        <v>10</v>
      </c>
    </row>
    <row r="73" spans="2:37" ht="23.25" customHeight="1">
      <c r="B73" s="419"/>
      <c r="C73" s="418" t="s">
        <v>62</v>
      </c>
      <c r="D73" s="426" t="s">
        <v>678</v>
      </c>
      <c r="E73" s="422"/>
      <c r="F73" s="423"/>
      <c r="H73" s="571">
        <f>SUM(I73:N73)</f>
        <v>38000</v>
      </c>
      <c r="I73" s="507">
        <f>$I70/6</f>
        <v>6333.333333333333</v>
      </c>
      <c r="J73" s="507">
        <f t="shared" ref="J73:N73" si="0">$I70/6</f>
        <v>6333.333333333333</v>
      </c>
      <c r="K73" s="507">
        <f t="shared" si="0"/>
        <v>6333.333333333333</v>
      </c>
      <c r="L73" s="507">
        <f t="shared" si="0"/>
        <v>6333.333333333333</v>
      </c>
      <c r="M73" s="507">
        <f t="shared" si="0"/>
        <v>6333.333333333333</v>
      </c>
      <c r="N73" s="507">
        <f t="shared" si="0"/>
        <v>6333.333333333333</v>
      </c>
    </row>
    <row r="74" spans="2:37">
      <c r="B74" s="419"/>
      <c r="C74" s="418"/>
      <c r="D74" s="433"/>
      <c r="E74" s="422"/>
      <c r="F74" s="423"/>
      <c r="J74" s="39"/>
      <c r="K74" s="3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row>
    <row r="75" spans="2:37">
      <c r="B75" s="419"/>
      <c r="C75" s="418" t="s">
        <v>61</v>
      </c>
      <c r="D75" s="427">
        <v>0.5</v>
      </c>
      <c r="E75" s="422"/>
      <c r="F75" s="423"/>
      <c r="J75" s="39"/>
      <c r="K75" s="39"/>
      <c r="L75" s="503"/>
    </row>
    <row r="76" spans="2:37">
      <c r="B76" s="419"/>
      <c r="C76" s="418"/>
      <c r="D76" s="434"/>
      <c r="E76" s="422"/>
      <c r="F76" s="423"/>
    </row>
    <row r="77" spans="2:37">
      <c r="B77" s="419"/>
      <c r="C77" s="428"/>
      <c r="D77" s="434"/>
      <c r="E77" s="422"/>
      <c r="F77" s="423"/>
      <c r="L77" s="550"/>
    </row>
    <row r="78" spans="2:37" ht="15.75" thickBot="1">
      <c r="B78" s="429"/>
      <c r="C78" s="430"/>
      <c r="D78" s="435"/>
      <c r="E78" s="430"/>
      <c r="F78" s="432"/>
      <c r="L78" s="550"/>
    </row>
    <row r="79" spans="2:37">
      <c r="L79" s="550"/>
    </row>
    <row r="81" spans="9:17">
      <c r="I81" s="139"/>
      <c r="J81" s="263"/>
      <c r="K81" s="122"/>
      <c r="L81" s="122"/>
      <c r="M81" s="8"/>
      <c r="N81" s="545"/>
      <c r="O81" s="264"/>
      <c r="P81" s="8"/>
      <c r="Q81" s="8"/>
    </row>
    <row r="82" spans="9:17">
      <c r="I82" s="139"/>
      <c r="J82" s="263"/>
      <c r="K82" s="265"/>
      <c r="L82" s="122"/>
      <c r="M82" s="8"/>
      <c r="N82" s="545"/>
      <c r="O82" s="8"/>
      <c r="P82" s="8"/>
      <c r="Q82" s="8"/>
    </row>
    <row r="83" spans="9:17">
      <c r="I83" s="139"/>
      <c r="J83" s="263"/>
      <c r="K83" s="265"/>
      <c r="L83" s="122"/>
      <c r="M83" s="8"/>
      <c r="N83" s="545"/>
      <c r="O83" s="8"/>
      <c r="P83" s="8"/>
      <c r="Q83" s="8"/>
    </row>
    <row r="84" spans="9:17">
      <c r="I84" s="139"/>
      <c r="J84" s="270"/>
      <c r="K84" s="139"/>
      <c r="L84" s="139"/>
      <c r="M84" s="8"/>
      <c r="N84" s="545"/>
      <c r="O84" s="8"/>
      <c r="P84" s="8"/>
      <c r="Q84" s="8"/>
    </row>
    <row r="85" spans="9:17">
      <c r="I85" s="139"/>
      <c r="J85" s="266"/>
      <c r="K85" s="267"/>
      <c r="L85" s="122"/>
      <c r="M85" s="8"/>
      <c r="N85" s="545"/>
      <c r="O85" s="8"/>
      <c r="P85" s="8"/>
      <c r="Q85" s="8"/>
    </row>
    <row r="86" spans="9:17">
      <c r="I86" s="139"/>
      <c r="J86" s="266"/>
      <c r="K86" s="267"/>
      <c r="L86" s="122"/>
      <c r="M86" s="8"/>
      <c r="N86" s="122"/>
      <c r="O86" s="8"/>
      <c r="P86" s="8"/>
      <c r="Q86" s="8"/>
    </row>
    <row r="87" spans="9:17">
      <c r="I87" s="139"/>
      <c r="J87" s="268"/>
      <c r="K87" s="265"/>
      <c r="L87" s="122"/>
      <c r="M87" s="8"/>
      <c r="N87" s="122"/>
      <c r="O87" s="8"/>
      <c r="P87" s="8"/>
      <c r="Q87" s="8"/>
    </row>
    <row r="88" spans="9:17">
      <c r="I88" s="139"/>
      <c r="J88" s="270"/>
      <c r="K88" s="139"/>
      <c r="L88" s="139"/>
      <c r="M88" s="8"/>
      <c r="N88" s="122"/>
      <c r="O88" s="8"/>
      <c r="P88" s="8"/>
      <c r="Q88" s="8"/>
    </row>
    <row r="89" spans="9:17">
      <c r="I89" s="8"/>
      <c r="J89" s="8"/>
      <c r="K89" s="8"/>
      <c r="L89" s="8"/>
      <c r="M89" s="8"/>
      <c r="N89" s="122"/>
      <c r="O89" s="8"/>
      <c r="P89" s="8"/>
      <c r="Q89" s="8"/>
    </row>
    <row r="90" spans="9:17">
      <c r="I90" s="8"/>
      <c r="J90" s="8"/>
      <c r="K90" s="8"/>
      <c r="L90" s="8"/>
      <c r="M90" s="8"/>
      <c r="N90" s="122"/>
      <c r="O90" s="8"/>
      <c r="P90" s="8"/>
      <c r="Q90" s="8"/>
    </row>
    <row r="91" spans="9:17">
      <c r="I91" s="8"/>
      <c r="J91" s="8"/>
      <c r="K91" s="8"/>
      <c r="L91" s="547"/>
      <c r="M91" s="8"/>
      <c r="N91" s="122"/>
      <c r="O91" s="8"/>
      <c r="P91" s="8"/>
      <c r="Q91" s="8"/>
    </row>
    <row r="92" spans="9:17">
      <c r="L92" s="271"/>
      <c r="M92" s="267"/>
      <c r="N92" s="269"/>
    </row>
  </sheetData>
  <dataValidations count="7">
    <dataValidation type="list" allowBlank="1" showInputMessage="1" showErrorMessage="1" sqref="D47">
      <formula1>$D$48:$D$51</formula1>
    </dataValidation>
    <dataValidation type="list" allowBlank="1" showInputMessage="1" showErrorMessage="1" sqref="D54">
      <formula1>$D$56:$D$58</formula1>
    </dataValidation>
    <dataValidation type="list" allowBlank="1" showInputMessage="1" showErrorMessage="1" sqref="D60">
      <formula1>$D$61:$D$64</formula1>
    </dataValidation>
    <dataValidation type="list" allowBlank="1" showInputMessage="1" showErrorMessage="1" sqref="D23">
      <formula1>$D$25:$D$39</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41" orientation="portrait" copies="2" r:id="rId1"/>
</worksheet>
</file>

<file path=xl/worksheets/sheet43.xml><?xml version="1.0" encoding="utf-8"?>
<worksheet xmlns="http://schemas.openxmlformats.org/spreadsheetml/2006/main" xmlns:r="http://schemas.openxmlformats.org/officeDocument/2006/relationships">
  <sheetPr>
    <pageSetUpPr fitToPage="1"/>
  </sheetPr>
  <dimension ref="B1:H80"/>
  <sheetViews>
    <sheetView topLeftCell="A46" zoomScale="75" zoomScaleNormal="75" workbookViewId="0">
      <selection activeCell="L44" sqref="L44"/>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 min="8" max="9" width="10.42578125" bestFit="1" customWidth="1"/>
  </cols>
  <sheetData>
    <row r="1" spans="2:6" ht="18.75">
      <c r="B1" s="25" t="s">
        <v>60</v>
      </c>
    </row>
    <row r="2" spans="2:6" ht="18.75">
      <c r="B2" s="25" t="s">
        <v>347</v>
      </c>
    </row>
    <row r="3" spans="2:6" ht="18.75">
      <c r="B3" s="25" t="s">
        <v>293</v>
      </c>
      <c r="D3" s="117"/>
    </row>
    <row r="4" spans="2:6" ht="19.5" thickBot="1">
      <c r="B4" s="25"/>
      <c r="C4" s="50"/>
    </row>
    <row r="5" spans="2:6" ht="18.75">
      <c r="B5" s="356"/>
      <c r="C5" s="386" t="s">
        <v>105</v>
      </c>
      <c r="D5" s="358"/>
      <c r="E5" s="359"/>
      <c r="F5" s="360"/>
    </row>
    <row r="6" spans="2:6" ht="18.75">
      <c r="B6" s="361"/>
      <c r="C6" s="387" t="s">
        <v>293</v>
      </c>
      <c r="D6" s="363"/>
      <c r="E6" s="364"/>
      <c r="F6" s="365"/>
    </row>
    <row r="7" spans="2:6" ht="18.75">
      <c r="B7" s="361"/>
      <c r="C7" s="387" t="s">
        <v>104</v>
      </c>
      <c r="D7" s="363"/>
      <c r="E7" s="364"/>
      <c r="F7" s="365"/>
    </row>
    <row r="8" spans="2:6" s="32" customFormat="1">
      <c r="B8" s="366"/>
      <c r="C8" s="388"/>
      <c r="D8" s="368"/>
      <c r="E8" s="369"/>
      <c r="F8" s="370"/>
    </row>
    <row r="9" spans="2:6" s="32" customFormat="1">
      <c r="B9" s="366"/>
      <c r="C9" s="388" t="s">
        <v>103</v>
      </c>
      <c r="D9" s="371"/>
      <c r="E9" s="369"/>
      <c r="F9" s="370"/>
    </row>
    <row r="10" spans="2:6" s="32" customFormat="1">
      <c r="B10" s="366"/>
      <c r="C10" s="388" t="s">
        <v>102</v>
      </c>
      <c r="D10" s="470" t="s">
        <v>215</v>
      </c>
      <c r="E10" s="369"/>
      <c r="F10" s="370"/>
    </row>
    <row r="11" spans="2:6" s="32" customFormat="1">
      <c r="B11" s="366"/>
      <c r="C11" s="367" t="s">
        <v>109</v>
      </c>
      <c r="D11" s="373">
        <v>40228</v>
      </c>
      <c r="E11" s="369"/>
      <c r="F11" s="370"/>
    </row>
    <row r="12" spans="2:6" s="32" customFormat="1">
      <c r="B12" s="366"/>
      <c r="C12" s="388" t="s">
        <v>101</v>
      </c>
      <c r="D12" s="373">
        <v>40816</v>
      </c>
      <c r="E12" s="369"/>
      <c r="F12" s="370"/>
    </row>
    <row r="13" spans="2:6" s="32" customFormat="1">
      <c r="B13" s="366"/>
      <c r="C13" s="388"/>
      <c r="D13" s="368"/>
      <c r="E13" s="369"/>
      <c r="F13" s="370"/>
    </row>
    <row r="14" spans="2:6">
      <c r="B14" s="361"/>
      <c r="C14" s="388" t="s">
        <v>100</v>
      </c>
      <c r="D14" s="374" t="s">
        <v>99</v>
      </c>
      <c r="E14" s="375" t="s">
        <v>96</v>
      </c>
      <c r="F14" s="365"/>
    </row>
    <row r="15" spans="2:6">
      <c r="B15" s="361"/>
      <c r="C15" s="364"/>
      <c r="D15" s="374" t="s">
        <v>98</v>
      </c>
      <c r="E15" s="374"/>
      <c r="F15" s="365"/>
    </row>
    <row r="16" spans="2:6">
      <c r="B16" s="361"/>
      <c r="C16" s="364"/>
      <c r="D16" s="374" t="s">
        <v>97</v>
      </c>
      <c r="E16" s="374"/>
      <c r="F16" s="365"/>
    </row>
    <row r="17" spans="2:6">
      <c r="B17" s="361"/>
      <c r="C17" s="364"/>
      <c r="D17" s="374" t="s">
        <v>45</v>
      </c>
      <c r="E17" s="374"/>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88" t="s">
        <v>94</v>
      </c>
      <c r="D23" s="371" t="s">
        <v>93</v>
      </c>
      <c r="E23" s="364"/>
      <c r="F23" s="365"/>
    </row>
    <row r="24" spans="2:6" hidden="1">
      <c r="B24" s="361"/>
      <c r="C24" s="388"/>
      <c r="D24" s="371"/>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63"/>
      <c r="E40" s="364"/>
      <c r="F40" s="365"/>
    </row>
    <row r="41" spans="2:6">
      <c r="B41" s="361"/>
      <c r="C41" s="376" t="s">
        <v>65</v>
      </c>
      <c r="D41" s="371"/>
      <c r="E41" s="364"/>
      <c r="F41" s="365"/>
    </row>
    <row r="42" spans="2:6">
      <c r="B42" s="361"/>
      <c r="C42" s="377"/>
      <c r="D42" s="363"/>
      <c r="E42" s="364"/>
      <c r="F42" s="365"/>
    </row>
    <row r="43" spans="2:6" ht="18.75">
      <c r="B43" s="392"/>
      <c r="C43" s="405" t="s">
        <v>80</v>
      </c>
      <c r="D43" s="394"/>
      <c r="E43" s="395"/>
      <c r="F43" s="396"/>
    </row>
    <row r="44" spans="2:6" ht="120">
      <c r="B44" s="392"/>
      <c r="C44" s="406" t="s">
        <v>79</v>
      </c>
      <c r="D44" s="397" t="s">
        <v>328</v>
      </c>
      <c r="E44" s="395"/>
      <c r="F44" s="396"/>
    </row>
    <row r="45" spans="2:6" ht="105">
      <c r="B45" s="392"/>
      <c r="C45" s="406" t="s">
        <v>78</v>
      </c>
      <c r="D45" s="397" t="s">
        <v>357</v>
      </c>
      <c r="E45" s="395"/>
      <c r="F45" s="396"/>
    </row>
    <row r="46" spans="2:6" ht="105">
      <c r="B46" s="392"/>
      <c r="C46" s="407" t="s">
        <v>77</v>
      </c>
      <c r="D46" s="397" t="s">
        <v>239</v>
      </c>
      <c r="E46" s="395"/>
      <c r="F46" s="396"/>
    </row>
    <row r="47" spans="2:6" ht="30">
      <c r="B47" s="392"/>
      <c r="C47" s="400" t="s">
        <v>76</v>
      </c>
      <c r="D47" s="397" t="s">
        <v>277</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394"/>
      <c r="E52" s="395"/>
      <c r="F52" s="396"/>
    </row>
    <row r="53" spans="2:6" ht="18.75">
      <c r="B53" s="52"/>
      <c r="C53" s="57" t="s">
        <v>75</v>
      </c>
      <c r="D53" s="54"/>
      <c r="E53" s="55"/>
      <c r="F53" s="56"/>
    </row>
    <row r="54" spans="2:6">
      <c r="B54" s="52"/>
      <c r="C54" s="53" t="s">
        <v>74</v>
      </c>
      <c r="D54" s="58" t="s">
        <v>73</v>
      </c>
      <c r="E54" s="55"/>
      <c r="F54" s="56"/>
    </row>
    <row r="55" spans="2:6" hidden="1">
      <c r="B55" s="52"/>
      <c r="C55" s="61"/>
      <c r="D55" s="63"/>
      <c r="E55" s="55"/>
      <c r="F55" s="56"/>
    </row>
    <row r="56" spans="2:6" hidden="1">
      <c r="B56" s="52"/>
      <c r="C56" s="61"/>
      <c r="D56" s="64" t="s">
        <v>73</v>
      </c>
      <c r="E56" s="55"/>
      <c r="F56" s="56"/>
    </row>
    <row r="57" spans="2:6" hidden="1">
      <c r="B57" s="52"/>
      <c r="C57" s="61"/>
      <c r="D57" s="64" t="s">
        <v>72</v>
      </c>
      <c r="E57" s="55"/>
      <c r="F57" s="56"/>
    </row>
    <row r="58" spans="2:6" hidden="1">
      <c r="B58" s="52"/>
      <c r="C58" s="61"/>
      <c r="D58" s="64" t="s">
        <v>71</v>
      </c>
      <c r="E58" s="55"/>
      <c r="F58" s="56"/>
    </row>
    <row r="59" spans="2:6">
      <c r="B59" s="52"/>
      <c r="C59" s="53"/>
      <c r="D59" s="54"/>
      <c r="E59" s="55"/>
      <c r="F59" s="56"/>
    </row>
    <row r="60" spans="2:6">
      <c r="B60" s="52"/>
      <c r="C60" s="53" t="s">
        <v>70</v>
      </c>
      <c r="D60" s="58" t="s">
        <v>66</v>
      </c>
      <c r="E60" s="55"/>
      <c r="F60" s="56"/>
    </row>
    <row r="61" spans="2:6" hidden="1">
      <c r="B61" s="52"/>
      <c r="C61" s="53"/>
      <c r="D61" s="59" t="s">
        <v>69</v>
      </c>
      <c r="E61" s="62"/>
      <c r="F61" s="56"/>
    </row>
    <row r="62" spans="2:6" hidden="1">
      <c r="B62" s="52"/>
      <c r="C62" s="53"/>
      <c r="D62" s="59" t="s">
        <v>68</v>
      </c>
      <c r="E62" s="62"/>
      <c r="F62" s="56"/>
    </row>
    <row r="63" spans="2:6" hidden="1">
      <c r="B63" s="52"/>
      <c r="C63" s="53"/>
      <c r="D63" s="59" t="s">
        <v>67</v>
      </c>
      <c r="E63" s="62"/>
      <c r="F63" s="56"/>
    </row>
    <row r="64" spans="2:6" hidden="1">
      <c r="B64" s="52"/>
      <c r="C64" s="53"/>
      <c r="D64" s="59" t="s">
        <v>66</v>
      </c>
      <c r="E64" s="62"/>
      <c r="F64" s="56"/>
    </row>
    <row r="65" spans="2:8">
      <c r="B65" s="52"/>
      <c r="C65" s="60" t="s">
        <v>65</v>
      </c>
      <c r="D65" s="58" t="s">
        <v>126</v>
      </c>
      <c r="E65" s="55"/>
      <c r="F65" s="56"/>
    </row>
    <row r="66" spans="2:8">
      <c r="B66" s="52"/>
      <c r="C66" s="53"/>
      <c r="D66" s="54"/>
      <c r="E66" s="55"/>
      <c r="F66" s="56"/>
    </row>
    <row r="67" spans="2:8" ht="18.75">
      <c r="B67" s="419"/>
      <c r="C67" s="443" t="s">
        <v>64</v>
      </c>
      <c r="D67" s="421"/>
      <c r="E67" s="422"/>
      <c r="F67" s="423"/>
    </row>
    <row r="68" spans="2:8">
      <c r="B68" s="419"/>
      <c r="C68" s="444" t="s">
        <v>63</v>
      </c>
      <c r="D68" s="445" t="s">
        <v>680</v>
      </c>
      <c r="E68" s="422"/>
      <c r="F68" s="423"/>
    </row>
    <row r="69" spans="2:8">
      <c r="B69" s="419"/>
      <c r="C69" s="418" t="s">
        <v>107</v>
      </c>
      <c r="D69" s="445" t="s">
        <v>354</v>
      </c>
      <c r="E69" s="422"/>
      <c r="F69" s="423"/>
    </row>
    <row r="70" spans="2:8">
      <c r="B70" s="419"/>
      <c r="C70" s="418" t="s">
        <v>119</v>
      </c>
      <c r="D70" s="445">
        <v>46260000</v>
      </c>
      <c r="E70" s="520"/>
      <c r="F70" s="423"/>
    </row>
    <row r="71" spans="2:8">
      <c r="B71" s="419"/>
      <c r="C71" s="444"/>
      <c r="D71" s="421"/>
      <c r="E71" s="422"/>
      <c r="F71" s="423"/>
    </row>
    <row r="72" spans="2:8" ht="30">
      <c r="B72" s="419"/>
      <c r="C72" s="418" t="s">
        <v>223</v>
      </c>
      <c r="D72" s="445" t="s">
        <v>355</v>
      </c>
      <c r="E72" s="422"/>
      <c r="F72" s="423"/>
    </row>
    <row r="73" spans="2:8" ht="30">
      <c r="B73" s="419"/>
      <c r="C73" s="444" t="s">
        <v>62</v>
      </c>
      <c r="D73" s="445" t="s">
        <v>356</v>
      </c>
      <c r="E73" s="422"/>
      <c r="F73" s="423"/>
      <c r="H73" t="s">
        <v>692</v>
      </c>
    </row>
    <row r="74" spans="2:8">
      <c r="B74" s="419"/>
      <c r="C74" s="444"/>
      <c r="D74" s="421"/>
      <c r="E74" s="422"/>
      <c r="F74" s="423"/>
    </row>
    <row r="75" spans="2:8">
      <c r="B75" s="419"/>
      <c r="C75" s="444" t="s">
        <v>61</v>
      </c>
      <c r="D75" s="427">
        <v>0.5</v>
      </c>
      <c r="E75" s="422"/>
      <c r="F75" s="423"/>
    </row>
    <row r="76" spans="2:8">
      <c r="B76" s="419"/>
      <c r="C76" s="444"/>
      <c r="D76" s="433" t="s">
        <v>353</v>
      </c>
      <c r="E76" s="422"/>
      <c r="F76" s="423"/>
    </row>
    <row r="77" spans="2:8">
      <c r="B77" s="419"/>
      <c r="C77" s="446"/>
      <c r="D77" s="421"/>
      <c r="E77" s="422"/>
      <c r="F77" s="423"/>
    </row>
    <row r="78" spans="2:8" ht="15.75" thickBot="1">
      <c r="B78" s="429"/>
      <c r="C78" s="430"/>
      <c r="D78" s="431"/>
      <c r="E78" s="430"/>
      <c r="F78" s="432"/>
    </row>
    <row r="80" spans="2:8">
      <c r="B80" t="s">
        <v>365</v>
      </c>
    </row>
  </sheetData>
  <phoneticPr fontId="19" type="noConversion"/>
  <pageMargins left="0.7" right="0.7" top="0.75" bottom="0.75" header="0.3" footer="0.3"/>
  <pageSetup paperSize="9" scale="56" orientation="portrait" copies="2" r:id="rId1"/>
</worksheet>
</file>

<file path=xl/worksheets/sheet44.xml><?xml version="1.0" encoding="utf-8"?>
<worksheet xmlns="http://schemas.openxmlformats.org/spreadsheetml/2006/main" xmlns:r="http://schemas.openxmlformats.org/officeDocument/2006/relationships">
  <sheetPr>
    <pageSetUpPr fitToPage="1"/>
  </sheetPr>
  <dimension ref="B1:H80"/>
  <sheetViews>
    <sheetView topLeftCell="A40" zoomScale="75" zoomScaleNormal="75" workbookViewId="0">
      <selection activeCell="J82" sqref="J82"/>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row>
    <row r="2" spans="2:6" ht="18.75">
      <c r="B2" s="25" t="s">
        <v>347</v>
      </c>
    </row>
    <row r="3" spans="2:6" ht="18.75">
      <c r="B3" s="25" t="s">
        <v>294</v>
      </c>
      <c r="D3" s="117"/>
    </row>
    <row r="4" spans="2:6" ht="19.5" thickBot="1">
      <c r="B4" s="25"/>
      <c r="C4" s="50"/>
    </row>
    <row r="5" spans="2:6" ht="18.75">
      <c r="B5" s="356"/>
      <c r="C5" s="386" t="s">
        <v>105</v>
      </c>
      <c r="D5" s="358"/>
      <c r="E5" s="359"/>
      <c r="F5" s="360"/>
    </row>
    <row r="6" spans="2:6" ht="15.75">
      <c r="B6" s="361"/>
      <c r="C6" s="1071" t="s">
        <v>294</v>
      </c>
      <c r="D6" s="1070"/>
      <c r="E6" s="364"/>
      <c r="F6" s="365"/>
    </row>
    <row r="7" spans="2:6" ht="18.75">
      <c r="B7" s="361"/>
      <c r="C7" s="387" t="s">
        <v>104</v>
      </c>
      <c r="D7" s="363"/>
      <c r="E7" s="364"/>
      <c r="F7" s="365"/>
    </row>
    <row r="8" spans="2:6" s="32" customFormat="1">
      <c r="B8" s="366"/>
      <c r="C8" s="388"/>
      <c r="D8" s="368"/>
      <c r="E8" s="369"/>
      <c r="F8" s="370"/>
    </row>
    <row r="9" spans="2:6" s="32" customFormat="1">
      <c r="B9" s="366"/>
      <c r="C9" s="388" t="s">
        <v>103</v>
      </c>
      <c r="D9" s="371"/>
      <c r="E9" s="369"/>
      <c r="F9" s="370"/>
    </row>
    <row r="10" spans="2:6" s="32" customFormat="1">
      <c r="B10" s="366"/>
      <c r="C10" s="388" t="s">
        <v>102</v>
      </c>
      <c r="D10" s="470" t="s">
        <v>216</v>
      </c>
      <c r="E10" s="369"/>
      <c r="F10" s="370"/>
    </row>
    <row r="11" spans="2:6" s="32" customFormat="1">
      <c r="B11" s="366"/>
      <c r="C11" s="367" t="s">
        <v>109</v>
      </c>
      <c r="D11" s="373">
        <v>40228</v>
      </c>
      <c r="E11" s="369"/>
      <c r="F11" s="370"/>
    </row>
    <row r="12" spans="2:6" s="32" customFormat="1">
      <c r="B12" s="366"/>
      <c r="C12" s="388" t="s">
        <v>101</v>
      </c>
      <c r="D12" s="373">
        <v>40816</v>
      </c>
      <c r="E12" s="369"/>
      <c r="F12" s="370"/>
    </row>
    <row r="13" spans="2:6" s="32" customFormat="1">
      <c r="B13" s="366"/>
      <c r="C13" s="388"/>
      <c r="D13" s="368"/>
      <c r="E13" s="369"/>
      <c r="F13" s="370"/>
    </row>
    <row r="14" spans="2:6">
      <c r="B14" s="361"/>
      <c r="C14" s="388" t="s">
        <v>100</v>
      </c>
      <c r="D14" s="374" t="s">
        <v>99</v>
      </c>
      <c r="E14" s="375" t="s">
        <v>96</v>
      </c>
      <c r="F14" s="365"/>
    </row>
    <row r="15" spans="2:6">
      <c r="B15" s="361"/>
      <c r="C15" s="364"/>
      <c r="D15" s="374" t="s">
        <v>98</v>
      </c>
      <c r="E15" s="374"/>
      <c r="F15" s="365"/>
    </row>
    <row r="16" spans="2:6">
      <c r="B16" s="361"/>
      <c r="C16" s="364"/>
      <c r="D16" s="374" t="s">
        <v>97</v>
      </c>
      <c r="E16" s="374"/>
      <c r="F16" s="365"/>
    </row>
    <row r="17" spans="2:6">
      <c r="B17" s="361"/>
      <c r="C17" s="364"/>
      <c r="D17" s="374" t="s">
        <v>45</v>
      </c>
      <c r="E17" s="374"/>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88" t="s">
        <v>94</v>
      </c>
      <c r="D23" s="371" t="s">
        <v>93</v>
      </c>
      <c r="E23" s="364"/>
      <c r="F23" s="365"/>
    </row>
    <row r="24" spans="2:6" hidden="1">
      <c r="B24" s="361"/>
      <c r="C24" s="388"/>
      <c r="D24" s="371"/>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63"/>
      <c r="E40" s="364"/>
      <c r="F40" s="365"/>
    </row>
    <row r="41" spans="2:6">
      <c r="B41" s="361"/>
      <c r="C41" s="376" t="s">
        <v>65</v>
      </c>
      <c r="D41" s="371"/>
      <c r="E41" s="364"/>
      <c r="F41" s="365"/>
    </row>
    <row r="42" spans="2:6">
      <c r="B42" s="361"/>
      <c r="C42" s="377"/>
      <c r="D42" s="363"/>
      <c r="E42" s="364"/>
      <c r="F42" s="365"/>
    </row>
    <row r="43" spans="2:6" ht="18.75">
      <c r="B43" s="392"/>
      <c r="C43" s="405" t="s">
        <v>80</v>
      </c>
      <c r="D43" s="394"/>
      <c r="E43" s="395"/>
      <c r="F43" s="396"/>
    </row>
    <row r="44" spans="2:6" ht="198.75" customHeight="1">
      <c r="B44" s="392"/>
      <c r="C44" s="406" t="s">
        <v>79</v>
      </c>
      <c r="D44" s="397" t="s">
        <v>327</v>
      </c>
      <c r="E44" s="395"/>
      <c r="F44" s="396"/>
    </row>
    <row r="45" spans="2:6" ht="75">
      <c r="B45" s="392"/>
      <c r="C45" s="406" t="s">
        <v>78</v>
      </c>
      <c r="D45" s="397" t="s">
        <v>241</v>
      </c>
      <c r="E45" s="395"/>
      <c r="F45" s="396"/>
    </row>
    <row r="46" spans="2:6" ht="60">
      <c r="B46" s="392"/>
      <c r="C46" s="407" t="s">
        <v>77</v>
      </c>
      <c r="D46" s="397" t="s">
        <v>240</v>
      </c>
      <c r="E46" s="395"/>
      <c r="F46" s="396"/>
    </row>
    <row r="47" spans="2:6" ht="27.75" customHeight="1">
      <c r="B47" s="392"/>
      <c r="C47" s="400" t="s">
        <v>76</v>
      </c>
      <c r="D47" s="397" t="s">
        <v>276</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394"/>
      <c r="E52" s="395"/>
      <c r="F52" s="396"/>
    </row>
    <row r="53" spans="2:6" ht="18.75">
      <c r="B53" s="52"/>
      <c r="C53" s="57" t="s">
        <v>75</v>
      </c>
      <c r="D53" s="54"/>
      <c r="E53" s="55"/>
      <c r="F53" s="56"/>
    </row>
    <row r="54" spans="2:6">
      <c r="B54" s="52"/>
      <c r="C54" s="53" t="s">
        <v>74</v>
      </c>
      <c r="D54" s="58" t="s">
        <v>72</v>
      </c>
      <c r="E54" s="55"/>
      <c r="F54" s="56"/>
    </row>
    <row r="55" spans="2:6" hidden="1">
      <c r="B55" s="52"/>
      <c r="C55" s="61"/>
      <c r="D55" s="63"/>
      <c r="E55" s="55"/>
      <c r="F55" s="56"/>
    </row>
    <row r="56" spans="2:6" hidden="1">
      <c r="B56" s="52"/>
      <c r="C56" s="61"/>
      <c r="D56" s="64" t="s">
        <v>73</v>
      </c>
      <c r="E56" s="55"/>
      <c r="F56" s="56"/>
    </row>
    <row r="57" spans="2:6" hidden="1">
      <c r="B57" s="52"/>
      <c r="C57" s="61"/>
      <c r="D57" s="64" t="s">
        <v>72</v>
      </c>
      <c r="E57" s="55"/>
      <c r="F57" s="56"/>
    </row>
    <row r="58" spans="2:6" hidden="1">
      <c r="B58" s="52"/>
      <c r="C58" s="61"/>
      <c r="D58" s="64" t="s">
        <v>71</v>
      </c>
      <c r="E58" s="55"/>
      <c r="F58" s="56"/>
    </row>
    <row r="59" spans="2:6">
      <c r="B59" s="52"/>
      <c r="C59" s="53"/>
      <c r="D59" s="54"/>
      <c r="E59" s="55"/>
      <c r="F59" s="56"/>
    </row>
    <row r="60" spans="2:6">
      <c r="B60" s="52"/>
      <c r="C60" s="53" t="s">
        <v>70</v>
      </c>
      <c r="D60" s="58" t="s">
        <v>68</v>
      </c>
      <c r="E60" s="55"/>
      <c r="F60" s="56"/>
    </row>
    <row r="61" spans="2:6" hidden="1">
      <c r="B61" s="52"/>
      <c r="C61" s="53"/>
      <c r="D61" s="59" t="s">
        <v>69</v>
      </c>
      <c r="E61" s="62"/>
      <c r="F61" s="56"/>
    </row>
    <row r="62" spans="2:6" hidden="1">
      <c r="B62" s="52"/>
      <c r="C62" s="53"/>
      <c r="D62" s="59" t="s">
        <v>68</v>
      </c>
      <c r="E62" s="62"/>
      <c r="F62" s="56"/>
    </row>
    <row r="63" spans="2:6" hidden="1">
      <c r="B63" s="52"/>
      <c r="C63" s="53"/>
      <c r="D63" s="59" t="s">
        <v>67</v>
      </c>
      <c r="E63" s="62"/>
      <c r="F63" s="56"/>
    </row>
    <row r="64" spans="2:6" hidden="1">
      <c r="B64" s="52"/>
      <c r="C64" s="53"/>
      <c r="D64" s="59" t="s">
        <v>66</v>
      </c>
      <c r="E64" s="62"/>
      <c r="F64" s="56"/>
    </row>
    <row r="65" spans="2:8">
      <c r="B65" s="52"/>
      <c r="C65" s="60" t="s">
        <v>65</v>
      </c>
      <c r="D65" s="58" t="s">
        <v>127</v>
      </c>
      <c r="E65" s="55"/>
      <c r="F65" s="56"/>
    </row>
    <row r="66" spans="2:8">
      <c r="B66" s="52"/>
      <c r="C66" s="53"/>
      <c r="D66" s="54"/>
      <c r="E66" s="55"/>
      <c r="F66" s="56"/>
    </row>
    <row r="67" spans="2:8" ht="18.75">
      <c r="B67" s="419"/>
      <c r="C67" s="443" t="s">
        <v>64</v>
      </c>
      <c r="D67" s="421"/>
      <c r="E67" s="422"/>
      <c r="F67" s="423"/>
    </row>
    <row r="68" spans="2:8">
      <c r="B68" s="419"/>
      <c r="C68" s="444" t="s">
        <v>63</v>
      </c>
      <c r="D68" s="445" t="s">
        <v>681</v>
      </c>
      <c r="E68" s="422"/>
      <c r="F68" s="423"/>
    </row>
    <row r="69" spans="2:8">
      <c r="B69" s="419"/>
      <c r="C69" s="418" t="s">
        <v>107</v>
      </c>
      <c r="D69" s="445" t="s">
        <v>358</v>
      </c>
      <c r="E69" s="422"/>
      <c r="F69" s="423"/>
    </row>
    <row r="70" spans="2:8">
      <c r="B70" s="419"/>
      <c r="C70" s="418" t="s">
        <v>119</v>
      </c>
      <c r="D70" s="445">
        <v>79480000</v>
      </c>
      <c r="E70" s="422"/>
      <c r="F70" s="423"/>
    </row>
    <row r="71" spans="2:8">
      <c r="B71" s="419"/>
      <c r="C71" s="444"/>
      <c r="D71" s="421"/>
      <c r="E71" s="422"/>
      <c r="F71" s="423"/>
    </row>
    <row r="72" spans="2:8" ht="30">
      <c r="B72" s="419"/>
      <c r="C72" s="418" t="s">
        <v>223</v>
      </c>
      <c r="D72" s="445" t="s">
        <v>355</v>
      </c>
      <c r="E72" s="422"/>
      <c r="F72" s="423"/>
    </row>
    <row r="73" spans="2:8" ht="30">
      <c r="B73" s="419"/>
      <c r="C73" s="444" t="s">
        <v>62</v>
      </c>
      <c r="D73" s="445" t="s">
        <v>356</v>
      </c>
      <c r="E73" s="422"/>
      <c r="F73" s="423"/>
      <c r="H73" t="s">
        <v>692</v>
      </c>
    </row>
    <row r="74" spans="2:8">
      <c r="B74" s="419"/>
      <c r="C74" s="444"/>
      <c r="D74" s="421"/>
      <c r="E74" s="422"/>
      <c r="F74" s="423"/>
    </row>
    <row r="75" spans="2:8">
      <c r="B75" s="419"/>
      <c r="C75" s="444" t="s">
        <v>61</v>
      </c>
      <c r="D75" s="427">
        <v>0.5</v>
      </c>
      <c r="E75" s="422"/>
      <c r="F75" s="423"/>
    </row>
    <row r="76" spans="2:8">
      <c r="B76" s="419"/>
      <c r="C76" s="444"/>
      <c r="D76" s="433" t="s">
        <v>353</v>
      </c>
      <c r="E76" s="422"/>
      <c r="F76" s="423"/>
    </row>
    <row r="77" spans="2:8">
      <c r="B77" s="419"/>
      <c r="C77" s="446"/>
      <c r="D77" s="421"/>
      <c r="E77" s="422"/>
      <c r="F77" s="423"/>
    </row>
    <row r="78" spans="2:8" ht="15.75" thickBot="1">
      <c r="B78" s="429"/>
      <c r="C78" s="430"/>
      <c r="D78" s="431"/>
      <c r="E78" s="430"/>
      <c r="F78" s="432"/>
    </row>
    <row r="80" spans="2:8">
      <c r="B80" t="s">
        <v>365</v>
      </c>
    </row>
  </sheetData>
  <mergeCells count="1">
    <mergeCell ref="C6:D6"/>
  </mergeCells>
  <phoneticPr fontId="19" type="noConversion"/>
  <pageMargins left="0.7" right="0.7" top="0.75" bottom="0.75" header="0.3" footer="0.3"/>
  <pageSetup paperSize="9" scale="57" orientation="portrait" copies="2" r:id="rId1"/>
</worksheet>
</file>

<file path=xl/worksheets/sheet45.xml><?xml version="1.0" encoding="utf-8"?>
<worksheet xmlns="http://schemas.openxmlformats.org/spreadsheetml/2006/main" xmlns:r="http://schemas.openxmlformats.org/officeDocument/2006/relationships">
  <sheetPr>
    <pageSetUpPr fitToPage="1"/>
  </sheetPr>
  <dimension ref="B1:H80"/>
  <sheetViews>
    <sheetView topLeftCell="A47" zoomScale="75" zoomScaleNormal="75" workbookViewId="0">
      <selection activeCell="L80" sqref="A1:L80"/>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row>
    <row r="2" spans="2:6" ht="18.75">
      <c r="B2" s="25" t="s">
        <v>347</v>
      </c>
    </row>
    <row r="3" spans="2:6" ht="18.75">
      <c r="B3" s="25" t="s">
        <v>308</v>
      </c>
      <c r="D3" s="117"/>
    </row>
    <row r="4" spans="2:6" ht="19.5" thickBot="1">
      <c r="B4" s="25"/>
      <c r="C4" s="50"/>
    </row>
    <row r="5" spans="2:6" ht="18.75">
      <c r="B5" s="356"/>
      <c r="C5" s="386" t="s">
        <v>105</v>
      </c>
      <c r="D5" s="358"/>
      <c r="E5" s="359"/>
      <c r="F5" s="360"/>
    </row>
    <row r="6" spans="2:6" ht="18.75">
      <c r="B6" s="361"/>
      <c r="C6" s="387" t="s">
        <v>308</v>
      </c>
      <c r="D6" s="363"/>
      <c r="E6" s="364"/>
      <c r="F6" s="365"/>
    </row>
    <row r="7" spans="2:6" ht="18.75">
      <c r="B7" s="361"/>
      <c r="C7" s="387" t="s">
        <v>104</v>
      </c>
      <c r="D7" s="363"/>
      <c r="E7" s="364"/>
      <c r="F7" s="365"/>
    </row>
    <row r="8" spans="2:6" s="32" customFormat="1">
      <c r="B8" s="366"/>
      <c r="C8" s="388"/>
      <c r="D8" s="368"/>
      <c r="E8" s="369"/>
      <c r="F8" s="370"/>
    </row>
    <row r="9" spans="2:6" s="32" customFormat="1">
      <c r="B9" s="366"/>
      <c r="C9" s="388" t="s">
        <v>103</v>
      </c>
      <c r="D9" s="371"/>
      <c r="E9" s="369"/>
      <c r="F9" s="370"/>
    </row>
    <row r="10" spans="2:6" s="32" customFormat="1">
      <c r="B10" s="366"/>
      <c r="C10" s="388" t="s">
        <v>102</v>
      </c>
      <c r="D10" s="470" t="s">
        <v>259</v>
      </c>
      <c r="E10" s="369"/>
      <c r="F10" s="370"/>
    </row>
    <row r="11" spans="2:6" s="32" customFormat="1">
      <c r="B11" s="366"/>
      <c r="C11" s="367" t="s">
        <v>109</v>
      </c>
      <c r="D11" s="373">
        <v>40228</v>
      </c>
      <c r="E11" s="369"/>
      <c r="F11" s="370"/>
    </row>
    <row r="12" spans="2:6" s="32" customFormat="1">
      <c r="B12" s="366"/>
      <c r="C12" s="388" t="s">
        <v>101</v>
      </c>
      <c r="D12" s="373">
        <v>40816</v>
      </c>
      <c r="E12" s="369"/>
      <c r="F12" s="370"/>
    </row>
    <row r="13" spans="2:6" s="32" customFormat="1">
      <c r="B13" s="366"/>
      <c r="C13" s="388"/>
      <c r="D13" s="368"/>
      <c r="E13" s="369"/>
      <c r="F13" s="370"/>
    </row>
    <row r="14" spans="2:6">
      <c r="B14" s="361"/>
      <c r="C14" s="388" t="s">
        <v>100</v>
      </c>
      <c r="D14" s="374" t="s">
        <v>99</v>
      </c>
      <c r="E14" s="375" t="s">
        <v>96</v>
      </c>
      <c r="F14" s="365"/>
    </row>
    <row r="15" spans="2:6">
      <c r="B15" s="361"/>
      <c r="C15" s="364"/>
      <c r="D15" s="374" t="s">
        <v>98</v>
      </c>
      <c r="E15" s="374"/>
      <c r="F15" s="365"/>
    </row>
    <row r="16" spans="2:6">
      <c r="B16" s="361"/>
      <c r="C16" s="364"/>
      <c r="D16" s="374" t="s">
        <v>97</v>
      </c>
      <c r="E16" s="374"/>
      <c r="F16" s="365"/>
    </row>
    <row r="17" spans="2:6">
      <c r="B17" s="361"/>
      <c r="C17" s="364"/>
      <c r="D17" s="374" t="s">
        <v>45</v>
      </c>
      <c r="E17" s="374"/>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88" t="s">
        <v>94</v>
      </c>
      <c r="D23" s="371" t="s">
        <v>93</v>
      </c>
      <c r="E23" s="364"/>
      <c r="F23" s="365"/>
    </row>
    <row r="24" spans="2:6" hidden="1">
      <c r="B24" s="361"/>
      <c r="C24" s="388"/>
      <c r="D24" s="371"/>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63"/>
      <c r="E40" s="364"/>
      <c r="F40" s="365"/>
    </row>
    <row r="41" spans="2:6">
      <c r="B41" s="361"/>
      <c r="C41" s="376" t="s">
        <v>65</v>
      </c>
      <c r="D41" s="371"/>
      <c r="E41" s="364"/>
      <c r="F41" s="365"/>
    </row>
    <row r="42" spans="2:6">
      <c r="B42" s="361"/>
      <c r="C42" s="377"/>
      <c r="D42" s="363"/>
      <c r="E42" s="364"/>
      <c r="F42" s="365"/>
    </row>
    <row r="43" spans="2:6" ht="18.75">
      <c r="B43" s="392"/>
      <c r="C43" s="405" t="s">
        <v>80</v>
      </c>
      <c r="D43" s="394"/>
      <c r="E43" s="395"/>
      <c r="F43" s="396"/>
    </row>
    <row r="44" spans="2:6" ht="167.25" customHeight="1">
      <c r="B44" s="392"/>
      <c r="C44" s="406" t="s">
        <v>79</v>
      </c>
      <c r="D44" s="397" t="s">
        <v>300</v>
      </c>
      <c r="E44" s="395"/>
      <c r="F44" s="396"/>
    </row>
    <row r="45" spans="2:6" ht="120">
      <c r="B45" s="392"/>
      <c r="C45" s="406" t="s">
        <v>78</v>
      </c>
      <c r="D45" s="397" t="s">
        <v>301</v>
      </c>
      <c r="E45" s="395"/>
      <c r="F45" s="396"/>
    </row>
    <row r="46" spans="2:6" ht="30">
      <c r="B46" s="392"/>
      <c r="C46" s="407" t="s">
        <v>77</v>
      </c>
      <c r="D46" s="397"/>
      <c r="E46" s="395"/>
      <c r="F46" s="396"/>
    </row>
    <row r="47" spans="2:6" ht="30">
      <c r="B47" s="392"/>
      <c r="C47" s="400" t="s">
        <v>76</v>
      </c>
      <c r="D47" s="397" t="s">
        <v>277</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394"/>
      <c r="E52" s="395"/>
      <c r="F52" s="396"/>
    </row>
    <row r="53" spans="2:6" ht="18.75">
      <c r="B53" s="52"/>
      <c r="C53" s="57" t="s">
        <v>75</v>
      </c>
      <c r="D53" s="54"/>
      <c r="E53" s="55"/>
      <c r="F53" s="56"/>
    </row>
    <row r="54" spans="2:6">
      <c r="B54" s="52"/>
      <c r="C54" s="53" t="s">
        <v>74</v>
      </c>
      <c r="D54" s="58" t="s">
        <v>72</v>
      </c>
      <c r="E54" s="55"/>
      <c r="F54" s="56"/>
    </row>
    <row r="55" spans="2:6" hidden="1">
      <c r="B55" s="52"/>
      <c r="C55" s="61"/>
      <c r="D55" s="63"/>
      <c r="E55" s="55"/>
      <c r="F55" s="56"/>
    </row>
    <row r="56" spans="2:6" hidden="1">
      <c r="B56" s="52"/>
      <c r="C56" s="61"/>
      <c r="D56" s="64" t="s">
        <v>73</v>
      </c>
      <c r="E56" s="55"/>
      <c r="F56" s="56"/>
    </row>
    <row r="57" spans="2:6" hidden="1">
      <c r="B57" s="52"/>
      <c r="C57" s="61"/>
      <c r="D57" s="64" t="s">
        <v>72</v>
      </c>
      <c r="E57" s="55"/>
      <c r="F57" s="56"/>
    </row>
    <row r="58" spans="2:6" hidden="1">
      <c r="B58" s="52"/>
      <c r="C58" s="61"/>
      <c r="D58" s="64" t="s">
        <v>71</v>
      </c>
      <c r="E58" s="55"/>
      <c r="F58" s="56"/>
    </row>
    <row r="59" spans="2:6">
      <c r="B59" s="52"/>
      <c r="C59" s="53"/>
      <c r="D59" s="54"/>
      <c r="E59" s="55"/>
      <c r="F59" s="56"/>
    </row>
    <row r="60" spans="2:6">
      <c r="B60" s="52"/>
      <c r="C60" s="53" t="s">
        <v>70</v>
      </c>
      <c r="D60" s="58" t="s">
        <v>68</v>
      </c>
      <c r="E60" s="55"/>
      <c r="F60" s="56"/>
    </row>
    <row r="61" spans="2:6" hidden="1">
      <c r="B61" s="52"/>
      <c r="C61" s="53"/>
      <c r="D61" s="59" t="s">
        <v>69</v>
      </c>
      <c r="E61" s="62"/>
      <c r="F61" s="56"/>
    </row>
    <row r="62" spans="2:6" hidden="1">
      <c r="B62" s="52"/>
      <c r="C62" s="53"/>
      <c r="D62" s="59" t="s">
        <v>68</v>
      </c>
      <c r="E62" s="62"/>
      <c r="F62" s="56"/>
    </row>
    <row r="63" spans="2:6" hidden="1">
      <c r="B63" s="52"/>
      <c r="C63" s="53"/>
      <c r="D63" s="59" t="s">
        <v>67</v>
      </c>
      <c r="E63" s="62"/>
      <c r="F63" s="56"/>
    </row>
    <row r="64" spans="2:6" hidden="1">
      <c r="B64" s="52"/>
      <c r="C64" s="53"/>
      <c r="D64" s="59" t="s">
        <v>66</v>
      </c>
      <c r="E64" s="62"/>
      <c r="F64" s="56"/>
    </row>
    <row r="65" spans="2:8">
      <c r="B65" s="52"/>
      <c r="C65" s="60" t="s">
        <v>65</v>
      </c>
      <c r="D65" s="58" t="s">
        <v>127</v>
      </c>
      <c r="E65" s="55"/>
      <c r="F65" s="56"/>
    </row>
    <row r="66" spans="2:8">
      <c r="B66" s="52"/>
      <c r="C66" s="53"/>
      <c r="D66" s="54"/>
      <c r="E66" s="55"/>
      <c r="F66" s="56"/>
    </row>
    <row r="67" spans="2:8" ht="18.75">
      <c r="B67" s="419"/>
      <c r="C67" s="443" t="s">
        <v>64</v>
      </c>
      <c r="D67" s="421"/>
      <c r="E67" s="422"/>
      <c r="F67" s="423"/>
    </row>
    <row r="68" spans="2:8">
      <c r="B68" s="419"/>
      <c r="C68" s="444" t="s">
        <v>63</v>
      </c>
      <c r="D68" s="445" t="s">
        <v>680</v>
      </c>
      <c r="E68" s="422"/>
      <c r="F68" s="423"/>
    </row>
    <row r="69" spans="2:8">
      <c r="B69" s="419"/>
      <c r="C69" s="418" t="s">
        <v>107</v>
      </c>
      <c r="D69" s="445"/>
      <c r="E69" s="422"/>
      <c r="F69" s="423"/>
    </row>
    <row r="70" spans="2:8">
      <c r="B70" s="419"/>
      <c r="C70" s="418" t="s">
        <v>119</v>
      </c>
      <c r="D70" s="445">
        <v>60940000</v>
      </c>
      <c r="E70" s="422"/>
      <c r="F70" s="423"/>
    </row>
    <row r="71" spans="2:8">
      <c r="B71" s="419"/>
      <c r="C71" s="444"/>
      <c r="D71" s="421"/>
      <c r="E71" s="422"/>
      <c r="F71" s="423"/>
    </row>
    <row r="72" spans="2:8" ht="30">
      <c r="B72" s="419"/>
      <c r="C72" s="418" t="s">
        <v>223</v>
      </c>
      <c r="D72" s="445" t="s">
        <v>355</v>
      </c>
      <c r="E72" s="422"/>
      <c r="F72" s="423"/>
    </row>
    <row r="73" spans="2:8" ht="30">
      <c r="B73" s="419"/>
      <c r="C73" s="444" t="s">
        <v>62</v>
      </c>
      <c r="D73" s="445" t="s">
        <v>356</v>
      </c>
      <c r="E73" s="422"/>
      <c r="F73" s="423"/>
      <c r="H73" t="s">
        <v>692</v>
      </c>
    </row>
    <row r="74" spans="2:8">
      <c r="B74" s="419"/>
      <c r="C74" s="444"/>
      <c r="D74" s="421"/>
      <c r="E74" s="422"/>
      <c r="F74" s="423"/>
    </row>
    <row r="75" spans="2:8">
      <c r="B75" s="419"/>
      <c r="C75" s="444" t="s">
        <v>61</v>
      </c>
      <c r="D75" s="427">
        <v>0.5</v>
      </c>
      <c r="E75" s="422"/>
      <c r="F75" s="423"/>
    </row>
    <row r="76" spans="2:8">
      <c r="B76" s="419"/>
      <c r="C76" s="444"/>
      <c r="D76" s="433" t="s">
        <v>353</v>
      </c>
      <c r="E76" s="422"/>
      <c r="F76" s="423"/>
    </row>
    <row r="77" spans="2:8">
      <c r="B77" s="419"/>
      <c r="C77" s="446"/>
      <c r="D77" s="421"/>
      <c r="E77" s="422"/>
      <c r="F77" s="423"/>
    </row>
    <row r="78" spans="2:8" ht="15.75" thickBot="1">
      <c r="B78" s="429"/>
      <c r="C78" s="430"/>
      <c r="D78" s="431"/>
      <c r="E78" s="430"/>
      <c r="F78" s="432"/>
    </row>
    <row r="80" spans="2:8">
      <c r="B80" t="s">
        <v>365</v>
      </c>
    </row>
  </sheetData>
  <phoneticPr fontId="19" type="noConversion"/>
  <dataValidations count="1">
    <dataValidation type="list" allowBlank="1" showInputMessage="1" showErrorMessage="1" sqref="D47">
      <formula1>$D$48:$D$51</formula1>
    </dataValidation>
  </dataValidations>
  <pageMargins left="0.7" right="0.7" top="0.75" bottom="0.75" header="0.3" footer="0.3"/>
  <pageSetup paperSize="9" scale="57" orientation="portrait" copies="2" r:id="rId1"/>
</worksheet>
</file>

<file path=xl/worksheets/sheet46.xml><?xml version="1.0" encoding="utf-8"?>
<worksheet xmlns="http://schemas.openxmlformats.org/spreadsheetml/2006/main" xmlns:r="http://schemas.openxmlformats.org/officeDocument/2006/relationships">
  <sheetPr>
    <pageSetUpPr fitToPage="1"/>
  </sheetPr>
  <dimension ref="B1:H80"/>
  <sheetViews>
    <sheetView topLeftCell="A45" zoomScale="75" zoomScaleNormal="75" workbookViewId="0">
      <selection activeCell="I18" sqref="I18"/>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row>
    <row r="2" spans="2:6" ht="18.75">
      <c r="B2" s="25" t="s">
        <v>347</v>
      </c>
    </row>
    <row r="3" spans="2:6" ht="18.75">
      <c r="B3" s="25" t="s">
        <v>295</v>
      </c>
      <c r="D3" s="117"/>
    </row>
    <row r="4" spans="2:6" ht="19.5" thickBot="1">
      <c r="B4" s="25"/>
      <c r="C4" s="50"/>
    </row>
    <row r="5" spans="2:6" ht="18.75">
      <c r="B5" s="356"/>
      <c r="C5" s="386" t="s">
        <v>105</v>
      </c>
      <c r="D5" s="358"/>
      <c r="E5" s="359"/>
      <c r="F5" s="360"/>
    </row>
    <row r="6" spans="2:6" ht="18.75">
      <c r="B6" s="361"/>
      <c r="C6" s="387" t="s">
        <v>295</v>
      </c>
      <c r="D6" s="363"/>
      <c r="E6" s="364"/>
      <c r="F6" s="365"/>
    </row>
    <row r="7" spans="2:6" ht="18.75">
      <c r="B7" s="361"/>
      <c r="C7" s="387" t="s">
        <v>104</v>
      </c>
      <c r="D7" s="363"/>
      <c r="E7" s="364"/>
      <c r="F7" s="365"/>
    </row>
    <row r="8" spans="2:6" s="32" customFormat="1">
      <c r="B8" s="366"/>
      <c r="C8" s="388"/>
      <c r="D8" s="368"/>
      <c r="E8" s="369"/>
      <c r="F8" s="370"/>
    </row>
    <row r="9" spans="2:6" s="32" customFormat="1">
      <c r="B9" s="366"/>
      <c r="C9" s="388" t="s">
        <v>103</v>
      </c>
      <c r="D9" s="371"/>
      <c r="E9" s="369"/>
      <c r="F9" s="370"/>
    </row>
    <row r="10" spans="2:6" s="32" customFormat="1">
      <c r="B10" s="366"/>
      <c r="C10" s="388" t="s">
        <v>102</v>
      </c>
      <c r="D10" s="470" t="s">
        <v>260</v>
      </c>
      <c r="E10" s="369"/>
      <c r="F10" s="370"/>
    </row>
    <row r="11" spans="2:6" s="32" customFormat="1">
      <c r="B11" s="366"/>
      <c r="C11" s="367" t="s">
        <v>109</v>
      </c>
      <c r="D11" s="373">
        <v>40228</v>
      </c>
      <c r="E11" s="369"/>
      <c r="F11" s="370"/>
    </row>
    <row r="12" spans="2:6" s="32" customFormat="1">
      <c r="B12" s="366"/>
      <c r="C12" s="388" t="s">
        <v>101</v>
      </c>
      <c r="D12" s="373">
        <v>40816</v>
      </c>
      <c r="E12" s="369"/>
      <c r="F12" s="370"/>
    </row>
    <row r="13" spans="2:6" s="32" customFormat="1">
      <c r="B13" s="366"/>
      <c r="C13" s="388"/>
      <c r="D13" s="368"/>
      <c r="E13" s="369"/>
      <c r="F13" s="370"/>
    </row>
    <row r="14" spans="2:6">
      <c r="B14" s="361"/>
      <c r="C14" s="388" t="s">
        <v>100</v>
      </c>
      <c r="D14" s="374" t="s">
        <v>99</v>
      </c>
      <c r="E14" s="375" t="s">
        <v>96</v>
      </c>
      <c r="F14" s="365"/>
    </row>
    <row r="15" spans="2:6">
      <c r="B15" s="361"/>
      <c r="C15" s="364"/>
      <c r="D15" s="374" t="s">
        <v>98</v>
      </c>
      <c r="E15" s="374"/>
      <c r="F15" s="365"/>
    </row>
    <row r="16" spans="2:6">
      <c r="B16" s="361"/>
      <c r="C16" s="364"/>
      <c r="D16" s="374" t="s">
        <v>97</v>
      </c>
      <c r="E16" s="374"/>
      <c r="F16" s="365"/>
    </row>
    <row r="17" spans="2:6">
      <c r="B17" s="361"/>
      <c r="C17" s="364"/>
      <c r="D17" s="374" t="s">
        <v>45</v>
      </c>
      <c r="E17" s="374"/>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88" t="s">
        <v>94</v>
      </c>
      <c r="D23" s="371" t="s">
        <v>93</v>
      </c>
      <c r="E23" s="364"/>
      <c r="F23" s="365"/>
    </row>
    <row r="24" spans="2:6" hidden="1">
      <c r="B24" s="361"/>
      <c r="C24" s="388"/>
      <c r="D24" s="371"/>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63"/>
      <c r="E40" s="364"/>
      <c r="F40" s="365"/>
    </row>
    <row r="41" spans="2:6">
      <c r="B41" s="361"/>
      <c r="C41" s="376" t="s">
        <v>65</v>
      </c>
      <c r="D41" s="371"/>
      <c r="E41" s="364"/>
      <c r="F41" s="365"/>
    </row>
    <row r="42" spans="2:6">
      <c r="B42" s="361"/>
      <c r="C42" s="377"/>
      <c r="D42" s="363"/>
      <c r="E42" s="364"/>
      <c r="F42" s="365"/>
    </row>
    <row r="43" spans="2:6" ht="18.75">
      <c r="B43" s="392"/>
      <c r="C43" s="405" t="s">
        <v>80</v>
      </c>
      <c r="D43" s="394"/>
      <c r="E43" s="395"/>
      <c r="F43" s="396"/>
    </row>
    <row r="44" spans="2:6" ht="180">
      <c r="B44" s="392"/>
      <c r="C44" s="406" t="s">
        <v>79</v>
      </c>
      <c r="D44" s="397" t="s">
        <v>326</v>
      </c>
      <c r="E44" s="395"/>
      <c r="F44" s="396"/>
    </row>
    <row r="45" spans="2:6" ht="165">
      <c r="B45" s="392"/>
      <c r="C45" s="406" t="s">
        <v>78</v>
      </c>
      <c r="D45" s="397" t="s">
        <v>367</v>
      </c>
      <c r="E45" s="395"/>
      <c r="F45" s="396"/>
    </row>
    <row r="46" spans="2:6" ht="45">
      <c r="B46" s="392"/>
      <c r="C46" s="407" t="s">
        <v>77</v>
      </c>
      <c r="D46" s="397" t="s">
        <v>242</v>
      </c>
      <c r="E46" s="395"/>
      <c r="F46" s="396"/>
    </row>
    <row r="47" spans="2:6" ht="30">
      <c r="B47" s="392"/>
      <c r="C47" s="400" t="s">
        <v>76</v>
      </c>
      <c r="D47" s="397" t="s">
        <v>276</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394"/>
      <c r="E52" s="395"/>
      <c r="F52" s="396"/>
    </row>
    <row r="53" spans="2:6" ht="18.75">
      <c r="B53" s="52"/>
      <c r="C53" s="57" t="s">
        <v>75</v>
      </c>
      <c r="D53" s="54"/>
      <c r="E53" s="55"/>
      <c r="F53" s="56"/>
    </row>
    <row r="54" spans="2:6">
      <c r="B54" s="52"/>
      <c r="C54" s="53" t="s">
        <v>74</v>
      </c>
      <c r="D54" s="58" t="s">
        <v>72</v>
      </c>
      <c r="E54" s="55"/>
      <c r="F54" s="56"/>
    </row>
    <row r="55" spans="2:6" hidden="1">
      <c r="B55" s="52"/>
      <c r="C55" s="61"/>
      <c r="D55" s="63"/>
      <c r="E55" s="55"/>
      <c r="F55" s="56"/>
    </row>
    <row r="56" spans="2:6" hidden="1">
      <c r="B56" s="52"/>
      <c r="C56" s="61"/>
      <c r="D56" s="64" t="s">
        <v>73</v>
      </c>
      <c r="E56" s="55"/>
      <c r="F56" s="56"/>
    </row>
    <row r="57" spans="2:6" hidden="1">
      <c r="B57" s="52"/>
      <c r="C57" s="61"/>
      <c r="D57" s="64" t="s">
        <v>72</v>
      </c>
      <c r="E57" s="55"/>
      <c r="F57" s="56"/>
    </row>
    <row r="58" spans="2:6" hidden="1">
      <c r="B58" s="52"/>
      <c r="C58" s="61"/>
      <c r="D58" s="64" t="s">
        <v>71</v>
      </c>
      <c r="E58" s="55"/>
      <c r="F58" s="56"/>
    </row>
    <row r="59" spans="2:6">
      <c r="B59" s="52"/>
      <c r="C59" s="53"/>
      <c r="D59" s="54"/>
      <c r="E59" s="55"/>
      <c r="F59" s="56"/>
    </row>
    <row r="60" spans="2:6">
      <c r="B60" s="52"/>
      <c r="C60" s="53" t="s">
        <v>70</v>
      </c>
      <c r="D60" s="58" t="s">
        <v>68</v>
      </c>
      <c r="E60" s="55"/>
      <c r="F60" s="56"/>
    </row>
    <row r="61" spans="2:6" hidden="1">
      <c r="B61" s="52"/>
      <c r="C61" s="53"/>
      <c r="D61" s="59" t="s">
        <v>69</v>
      </c>
      <c r="E61" s="62"/>
      <c r="F61" s="56"/>
    </row>
    <row r="62" spans="2:6" hidden="1">
      <c r="B62" s="52"/>
      <c r="C62" s="53"/>
      <c r="D62" s="59" t="s">
        <v>68</v>
      </c>
      <c r="E62" s="62"/>
      <c r="F62" s="56"/>
    </row>
    <row r="63" spans="2:6" hidden="1">
      <c r="B63" s="52"/>
      <c r="C63" s="53"/>
      <c r="D63" s="59" t="s">
        <v>67</v>
      </c>
      <c r="E63" s="62"/>
      <c r="F63" s="56"/>
    </row>
    <row r="64" spans="2:6" hidden="1">
      <c r="B64" s="52"/>
      <c r="C64" s="53"/>
      <c r="D64" s="59" t="s">
        <v>66</v>
      </c>
      <c r="E64" s="62"/>
      <c r="F64" s="56"/>
    </row>
    <row r="65" spans="2:8">
      <c r="B65" s="52"/>
      <c r="C65" s="60" t="s">
        <v>65</v>
      </c>
      <c r="D65" s="58" t="s">
        <v>127</v>
      </c>
      <c r="E65" s="55"/>
      <c r="F65" s="56"/>
    </row>
    <row r="66" spans="2:8">
      <c r="B66" s="52"/>
      <c r="C66" s="53"/>
      <c r="D66" s="54"/>
      <c r="E66" s="55"/>
      <c r="F66" s="56"/>
    </row>
    <row r="67" spans="2:8" ht="18.75">
      <c r="B67" s="419"/>
      <c r="C67" s="443" t="s">
        <v>64</v>
      </c>
      <c r="D67" s="421"/>
      <c r="E67" s="422"/>
      <c r="F67" s="423"/>
    </row>
    <row r="68" spans="2:8">
      <c r="B68" s="419"/>
      <c r="C68" s="444" t="s">
        <v>63</v>
      </c>
      <c r="D68" s="445" t="s">
        <v>681</v>
      </c>
      <c r="E68" s="422"/>
      <c r="F68" s="423"/>
    </row>
    <row r="69" spans="2:8">
      <c r="B69" s="419"/>
      <c r="C69" s="418" t="s">
        <v>107</v>
      </c>
      <c r="D69" s="445"/>
      <c r="E69" s="422"/>
      <c r="F69" s="423"/>
    </row>
    <row r="70" spans="2:8">
      <c r="B70" s="419"/>
      <c r="C70" s="418" t="s">
        <v>119</v>
      </c>
      <c r="D70" s="538">
        <v>32730000</v>
      </c>
      <c r="E70" s="422"/>
      <c r="F70" s="423"/>
    </row>
    <row r="71" spans="2:8">
      <c r="B71" s="419"/>
      <c r="C71" s="444"/>
      <c r="D71" s="421"/>
      <c r="E71" s="422"/>
      <c r="F71" s="423"/>
    </row>
    <row r="72" spans="2:8" ht="30">
      <c r="B72" s="419"/>
      <c r="C72" s="418" t="s">
        <v>223</v>
      </c>
      <c r="D72" s="445" t="s">
        <v>355</v>
      </c>
      <c r="E72" s="422"/>
      <c r="F72" s="423"/>
    </row>
    <row r="73" spans="2:8" ht="30">
      <c r="B73" s="419"/>
      <c r="C73" s="444" t="s">
        <v>62</v>
      </c>
      <c r="D73" s="445" t="s">
        <v>356</v>
      </c>
      <c r="E73" s="422"/>
      <c r="F73" s="423"/>
      <c r="H73" t="s">
        <v>692</v>
      </c>
    </row>
    <row r="74" spans="2:8">
      <c r="B74" s="419"/>
      <c r="C74" s="444"/>
      <c r="D74" s="421"/>
      <c r="E74" s="422"/>
      <c r="F74" s="423"/>
    </row>
    <row r="75" spans="2:8">
      <c r="B75" s="419"/>
      <c r="C75" s="444" t="s">
        <v>61</v>
      </c>
      <c r="D75" s="427">
        <v>0.5</v>
      </c>
      <c r="E75" s="422"/>
      <c r="F75" s="423"/>
    </row>
    <row r="76" spans="2:8">
      <c r="B76" s="419"/>
      <c r="C76" s="444"/>
      <c r="D76" s="433" t="s">
        <v>353</v>
      </c>
      <c r="E76" s="422"/>
      <c r="F76" s="423"/>
    </row>
    <row r="77" spans="2:8">
      <c r="B77" s="419"/>
      <c r="C77" s="446"/>
      <c r="D77" s="421"/>
      <c r="E77" s="422"/>
      <c r="F77" s="423"/>
    </row>
    <row r="78" spans="2:8" ht="15.75" thickBot="1">
      <c r="B78" s="429"/>
      <c r="C78" s="430"/>
      <c r="D78" s="431"/>
      <c r="E78" s="430"/>
      <c r="F78" s="432"/>
    </row>
    <row r="80" spans="2:8">
      <c r="B80" t="s">
        <v>365</v>
      </c>
    </row>
  </sheetData>
  <phoneticPr fontId="19" type="noConversion"/>
  <dataValidations count="1">
    <dataValidation type="list" allowBlank="1" showInputMessage="1" showErrorMessage="1" sqref="D47">
      <formula1>$D$48:$D$51</formula1>
    </dataValidation>
  </dataValidations>
  <pageMargins left="0.7" right="0.7" top="0.75" bottom="0.75" header="0.3" footer="0.3"/>
  <pageSetup paperSize="9" scale="57" orientation="portrait" copies="2" r:id="rId1"/>
</worksheet>
</file>

<file path=xl/worksheets/sheet47.xml><?xml version="1.0" encoding="utf-8"?>
<worksheet xmlns="http://schemas.openxmlformats.org/spreadsheetml/2006/main" xmlns:r="http://schemas.openxmlformats.org/officeDocument/2006/relationships">
  <sheetPr>
    <pageSetUpPr fitToPage="1"/>
  </sheetPr>
  <dimension ref="B1:H80"/>
  <sheetViews>
    <sheetView topLeftCell="A69" zoomScale="75" zoomScaleNormal="75" workbookViewId="0">
      <selection activeCell="K80" sqref="B1:K80"/>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c r="D1" s="80"/>
    </row>
    <row r="2" spans="2:6" ht="18.75">
      <c r="B2" s="25" t="s">
        <v>347</v>
      </c>
      <c r="D2" s="80"/>
    </row>
    <row r="3" spans="2:6" ht="18.75">
      <c r="B3" s="25" t="s">
        <v>296</v>
      </c>
    </row>
    <row r="4" spans="2:6" ht="19.5" thickBot="1">
      <c r="B4" s="38"/>
      <c r="C4" s="50"/>
    </row>
    <row r="5" spans="2:6" ht="18.75">
      <c r="B5" s="356"/>
      <c r="C5" s="386" t="s">
        <v>105</v>
      </c>
      <c r="D5" s="358"/>
      <c r="E5" s="359"/>
      <c r="F5" s="360"/>
    </row>
    <row r="6" spans="2:6" ht="18.75">
      <c r="B6" s="361"/>
      <c r="C6" s="387" t="s">
        <v>296</v>
      </c>
      <c r="D6" s="363"/>
      <c r="E6" s="364"/>
      <c r="F6" s="365"/>
    </row>
    <row r="7" spans="2:6" ht="18.75">
      <c r="B7" s="361"/>
      <c r="C7" s="387" t="s">
        <v>104</v>
      </c>
      <c r="D7" s="363"/>
      <c r="E7" s="364"/>
      <c r="F7" s="365"/>
    </row>
    <row r="8" spans="2:6" s="32" customFormat="1">
      <c r="B8" s="366"/>
      <c r="C8" s="388"/>
      <c r="D8" s="368"/>
      <c r="E8" s="369"/>
      <c r="F8" s="370"/>
    </row>
    <row r="9" spans="2:6" s="32" customFormat="1">
      <c r="B9" s="366"/>
      <c r="C9" s="388" t="s">
        <v>103</v>
      </c>
      <c r="D9" s="371"/>
      <c r="E9" s="369"/>
      <c r="F9" s="370"/>
    </row>
    <row r="10" spans="2:6" s="32" customFormat="1">
      <c r="B10" s="366"/>
      <c r="C10" s="388" t="s">
        <v>102</v>
      </c>
      <c r="D10" s="470" t="s">
        <v>261</v>
      </c>
      <c r="E10" s="369"/>
      <c r="F10" s="370"/>
    </row>
    <row r="11" spans="2:6" s="32" customFormat="1">
      <c r="B11" s="366"/>
      <c r="C11" s="367" t="s">
        <v>109</v>
      </c>
      <c r="D11" s="373">
        <v>40228</v>
      </c>
      <c r="E11" s="369"/>
      <c r="F11" s="370"/>
    </row>
    <row r="12" spans="2:6" s="32" customFormat="1">
      <c r="B12" s="366"/>
      <c r="C12" s="388" t="s">
        <v>101</v>
      </c>
      <c r="D12" s="373">
        <v>40816</v>
      </c>
      <c r="E12" s="369"/>
      <c r="F12" s="370"/>
    </row>
    <row r="13" spans="2:6" s="32" customFormat="1">
      <c r="B13" s="366"/>
      <c r="C13" s="388"/>
      <c r="D13" s="368"/>
      <c r="E13" s="369"/>
      <c r="F13" s="370"/>
    </row>
    <row r="14" spans="2:6">
      <c r="B14" s="361"/>
      <c r="C14" s="388" t="s">
        <v>100</v>
      </c>
      <c r="D14" s="374" t="s">
        <v>99</v>
      </c>
      <c r="E14" s="374"/>
      <c r="F14" s="365"/>
    </row>
    <row r="15" spans="2:6">
      <c r="B15" s="361"/>
      <c r="C15" s="364"/>
      <c r="D15" s="374" t="s">
        <v>98</v>
      </c>
      <c r="E15" s="374"/>
      <c r="F15" s="365"/>
    </row>
    <row r="16" spans="2:6">
      <c r="B16" s="361"/>
      <c r="C16" s="364"/>
      <c r="D16" s="374" t="s">
        <v>97</v>
      </c>
      <c r="E16" s="375" t="s">
        <v>96</v>
      </c>
      <c r="F16" s="365"/>
    </row>
    <row r="17" spans="2:6">
      <c r="B17" s="361"/>
      <c r="C17" s="364"/>
      <c r="D17" s="374" t="s">
        <v>45</v>
      </c>
      <c r="E17" s="374"/>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88" t="s">
        <v>94</v>
      </c>
      <c r="D23" s="371" t="s">
        <v>93</v>
      </c>
      <c r="E23" s="364"/>
      <c r="F23" s="365"/>
    </row>
    <row r="24" spans="2:6" hidden="1">
      <c r="B24" s="361"/>
      <c r="C24" s="388"/>
      <c r="D24" s="371"/>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63"/>
      <c r="E40" s="364"/>
      <c r="F40" s="365"/>
    </row>
    <row r="41" spans="2:6">
      <c r="B41" s="361"/>
      <c r="C41" s="376" t="s">
        <v>65</v>
      </c>
      <c r="D41" s="371"/>
      <c r="E41" s="364"/>
      <c r="F41" s="365"/>
    </row>
    <row r="42" spans="2:6">
      <c r="B42" s="361"/>
      <c r="C42" s="377"/>
      <c r="D42" s="363"/>
      <c r="E42" s="364"/>
      <c r="F42" s="365"/>
    </row>
    <row r="43" spans="2:6" ht="18.75">
      <c r="B43" s="392"/>
      <c r="C43" s="405" t="s">
        <v>80</v>
      </c>
      <c r="D43" s="394"/>
      <c r="E43" s="395"/>
      <c r="F43" s="396"/>
    </row>
    <row r="44" spans="2:6" ht="75">
      <c r="B44" s="392"/>
      <c r="C44" s="406" t="s">
        <v>79</v>
      </c>
      <c r="D44" s="397" t="s">
        <v>366</v>
      </c>
      <c r="E44" s="395"/>
      <c r="F44" s="396"/>
    </row>
    <row r="45" spans="2:6">
      <c r="B45" s="392"/>
      <c r="C45" s="406" t="s">
        <v>78</v>
      </c>
      <c r="D45" s="397"/>
      <c r="E45" s="395"/>
      <c r="F45" s="396"/>
    </row>
    <row r="46" spans="2:6" ht="45">
      <c r="B46" s="392"/>
      <c r="C46" s="407" t="s">
        <v>77</v>
      </c>
      <c r="D46" s="397" t="s">
        <v>199</v>
      </c>
      <c r="E46" s="395"/>
      <c r="F46" s="396"/>
    </row>
    <row r="47" spans="2:6" ht="27.75" customHeight="1">
      <c r="B47" s="392"/>
      <c r="C47" s="400" t="s">
        <v>76</v>
      </c>
      <c r="D47" s="397" t="s">
        <v>277</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394"/>
      <c r="E52" s="395"/>
      <c r="F52" s="396"/>
    </row>
    <row r="53" spans="2:6" ht="18.75">
      <c r="B53" s="346"/>
      <c r="C53" s="416" t="s">
        <v>75</v>
      </c>
      <c r="D53" s="348"/>
      <c r="E53" s="349"/>
      <c r="F53" s="350"/>
    </row>
    <row r="54" spans="2:6">
      <c r="B54" s="346"/>
      <c r="C54" s="417" t="s">
        <v>74</v>
      </c>
      <c r="D54" s="352" t="s">
        <v>71</v>
      </c>
      <c r="E54" s="349"/>
      <c r="F54" s="350"/>
    </row>
    <row r="55" spans="2:6" hidden="1">
      <c r="B55" s="346"/>
      <c r="C55" s="355"/>
      <c r="D55" s="409"/>
      <c r="E55" s="349"/>
      <c r="F55" s="350"/>
    </row>
    <row r="56" spans="2:6" hidden="1">
      <c r="B56" s="346"/>
      <c r="C56" s="355"/>
      <c r="D56" s="410" t="s">
        <v>73</v>
      </c>
      <c r="E56" s="349"/>
      <c r="F56" s="350"/>
    </row>
    <row r="57" spans="2:6" hidden="1">
      <c r="B57" s="346"/>
      <c r="C57" s="355"/>
      <c r="D57" s="410" t="s">
        <v>72</v>
      </c>
      <c r="E57" s="349"/>
      <c r="F57" s="350"/>
    </row>
    <row r="58" spans="2:6" hidden="1">
      <c r="B58" s="346"/>
      <c r="C58" s="355"/>
      <c r="D58" s="410" t="s">
        <v>71</v>
      </c>
      <c r="E58" s="349"/>
      <c r="F58" s="350"/>
    </row>
    <row r="59" spans="2:6">
      <c r="B59" s="346"/>
      <c r="C59" s="417"/>
      <c r="D59" s="348"/>
      <c r="E59" s="349"/>
      <c r="F59" s="350"/>
    </row>
    <row r="60" spans="2:6">
      <c r="B60" s="346"/>
      <c r="C60" s="417" t="s">
        <v>70</v>
      </c>
      <c r="D60" s="352" t="s">
        <v>66</v>
      </c>
      <c r="E60" s="349"/>
      <c r="F60" s="350"/>
    </row>
    <row r="61" spans="2:6" hidden="1">
      <c r="B61" s="346"/>
      <c r="C61" s="417"/>
      <c r="D61" s="353" t="s">
        <v>69</v>
      </c>
      <c r="E61" s="411"/>
      <c r="F61" s="350"/>
    </row>
    <row r="62" spans="2:6" hidden="1">
      <c r="B62" s="346"/>
      <c r="C62" s="417"/>
      <c r="D62" s="353" t="s">
        <v>68</v>
      </c>
      <c r="E62" s="411"/>
      <c r="F62" s="350"/>
    </row>
    <row r="63" spans="2:6" hidden="1">
      <c r="B63" s="346"/>
      <c r="C63" s="417"/>
      <c r="D63" s="353" t="s">
        <v>67</v>
      </c>
      <c r="E63" s="411"/>
      <c r="F63" s="350"/>
    </row>
    <row r="64" spans="2:6" hidden="1">
      <c r="B64" s="346"/>
      <c r="C64" s="417"/>
      <c r="D64" s="353" t="s">
        <v>66</v>
      </c>
      <c r="E64" s="411"/>
      <c r="F64" s="350"/>
    </row>
    <row r="65" spans="2:8">
      <c r="B65" s="346"/>
      <c r="C65" s="354" t="s">
        <v>65</v>
      </c>
      <c r="D65" s="352" t="s">
        <v>125</v>
      </c>
      <c r="E65" s="349"/>
      <c r="F65" s="350"/>
    </row>
    <row r="66" spans="2:8">
      <c r="B66" s="346"/>
      <c r="C66" s="417"/>
      <c r="D66" s="348"/>
      <c r="E66" s="349"/>
      <c r="F66" s="350"/>
    </row>
    <row r="67" spans="2:8" ht="18.75">
      <c r="B67" s="419"/>
      <c r="C67" s="443" t="s">
        <v>64</v>
      </c>
      <c r="D67" s="421"/>
      <c r="E67" s="422"/>
      <c r="F67" s="423"/>
    </row>
    <row r="68" spans="2:8">
      <c r="B68" s="419"/>
      <c r="C68" s="444" t="s">
        <v>63</v>
      </c>
      <c r="D68" s="445" t="s">
        <v>680</v>
      </c>
      <c r="E68" s="422"/>
      <c r="F68" s="423"/>
    </row>
    <row r="69" spans="2:8">
      <c r="B69" s="419"/>
      <c r="C69" s="418" t="s">
        <v>107</v>
      </c>
      <c r="D69" s="445"/>
      <c r="E69" s="422"/>
      <c r="F69" s="423"/>
    </row>
    <row r="70" spans="2:8">
      <c r="B70" s="419"/>
      <c r="C70" s="418" t="s">
        <v>119</v>
      </c>
      <c r="D70" s="445">
        <v>62790000</v>
      </c>
      <c r="E70" s="422"/>
      <c r="F70" s="423"/>
    </row>
    <row r="71" spans="2:8">
      <c r="B71" s="419"/>
      <c r="C71" s="444"/>
      <c r="D71" s="421"/>
      <c r="E71" s="422"/>
      <c r="F71" s="423"/>
    </row>
    <row r="72" spans="2:8" ht="30">
      <c r="B72" s="419"/>
      <c r="C72" s="418" t="s">
        <v>223</v>
      </c>
      <c r="D72" s="445" t="s">
        <v>355</v>
      </c>
      <c r="E72" s="422"/>
      <c r="F72" s="423"/>
    </row>
    <row r="73" spans="2:8" ht="30">
      <c r="B73" s="419"/>
      <c r="C73" s="444" t="s">
        <v>62</v>
      </c>
      <c r="D73" s="445" t="s">
        <v>356</v>
      </c>
      <c r="E73" s="422"/>
      <c r="F73" s="423"/>
      <c r="H73" t="s">
        <v>692</v>
      </c>
    </row>
    <row r="74" spans="2:8">
      <c r="B74" s="419"/>
      <c r="C74" s="444"/>
      <c r="D74" s="421"/>
      <c r="E74" s="422"/>
      <c r="F74" s="423"/>
    </row>
    <row r="75" spans="2:8">
      <c r="B75" s="419"/>
      <c r="C75" s="444" t="s">
        <v>61</v>
      </c>
      <c r="D75" s="427">
        <v>0.5</v>
      </c>
      <c r="E75" s="422"/>
      <c r="F75" s="423"/>
    </row>
    <row r="76" spans="2:8">
      <c r="B76" s="419"/>
      <c r="C76" s="444"/>
      <c r="D76" s="433" t="s">
        <v>353</v>
      </c>
      <c r="E76" s="422"/>
      <c r="F76" s="423"/>
    </row>
    <row r="77" spans="2:8">
      <c r="B77" s="419"/>
      <c r="C77" s="446"/>
      <c r="D77" s="421"/>
      <c r="E77" s="422"/>
      <c r="F77" s="423"/>
    </row>
    <row r="78" spans="2:8" ht="15.75" thickBot="1">
      <c r="B78" s="429"/>
      <c r="C78" s="430"/>
      <c r="D78" s="431"/>
      <c r="E78" s="430"/>
      <c r="F78" s="432"/>
    </row>
    <row r="80" spans="2:8">
      <c r="B80" t="s">
        <v>365</v>
      </c>
    </row>
  </sheetData>
  <phoneticPr fontId="19" type="noConversion"/>
  <pageMargins left="0.7" right="0.7" top="0.75" bottom="0.75" header="0.3" footer="0.3"/>
  <pageSetup paperSize="9" scale="57" orientation="portrait" copies="2" r:id="rId1"/>
</worksheet>
</file>

<file path=xl/worksheets/sheet48.xml><?xml version="1.0" encoding="utf-8"?>
<worksheet xmlns="http://schemas.openxmlformats.org/spreadsheetml/2006/main" xmlns:r="http://schemas.openxmlformats.org/officeDocument/2006/relationships">
  <sheetPr>
    <pageSetUpPr fitToPage="1"/>
  </sheetPr>
  <dimension ref="B1:AQ31"/>
  <sheetViews>
    <sheetView zoomScale="75" zoomScaleNormal="75" workbookViewId="0">
      <selection activeCell="D16" sqref="D16"/>
    </sheetView>
  </sheetViews>
  <sheetFormatPr defaultRowHeight="15"/>
  <cols>
    <col min="1" max="1" width="2.7109375" customWidth="1"/>
    <col min="3" max="3" width="47.5703125" bestFit="1" customWidth="1"/>
    <col min="4" max="4" width="12.7109375" bestFit="1" customWidth="1"/>
    <col min="8" max="9" width="9.85546875" bestFit="1" customWidth="1"/>
  </cols>
  <sheetData>
    <row r="1" spans="2:43" ht="18.75">
      <c r="B1" s="280" t="s">
        <v>60</v>
      </c>
    </row>
    <row r="2" spans="2:43" ht="18.75">
      <c r="B2" s="280" t="s">
        <v>347</v>
      </c>
      <c r="H2" s="506" t="s">
        <v>632</v>
      </c>
      <c r="I2" s="506"/>
      <c r="J2" s="506"/>
      <c r="K2" s="506"/>
      <c r="L2" s="506"/>
      <c r="M2" s="506"/>
      <c r="N2" s="506"/>
      <c r="O2" s="506"/>
      <c r="P2" s="506"/>
      <c r="Q2" s="506"/>
      <c r="R2" s="506"/>
      <c r="S2" s="506"/>
    </row>
    <row r="3" spans="2:43" ht="18.75">
      <c r="B3" s="280" t="s">
        <v>297</v>
      </c>
    </row>
    <row r="4" spans="2:43" ht="18.75">
      <c r="B4" s="280"/>
    </row>
    <row r="5" spans="2:43">
      <c r="D5" s="521" t="s">
        <v>149</v>
      </c>
      <c r="E5" s="522" t="s">
        <v>3</v>
      </c>
      <c r="F5" s="522" t="s">
        <v>5</v>
      </c>
      <c r="G5" s="522" t="s">
        <v>6</v>
      </c>
      <c r="H5" s="522" t="s">
        <v>7</v>
      </c>
      <c r="I5" s="522" t="s">
        <v>8</v>
      </c>
      <c r="J5" s="522" t="s">
        <v>9</v>
      </c>
      <c r="K5" s="522" t="s">
        <v>10</v>
      </c>
      <c r="L5" s="522" t="s">
        <v>11</v>
      </c>
      <c r="M5" s="522" t="s">
        <v>13</v>
      </c>
      <c r="N5" s="522" t="s">
        <v>14</v>
      </c>
      <c r="O5" s="522" t="s">
        <v>15</v>
      </c>
      <c r="P5" s="522" t="s">
        <v>16</v>
      </c>
      <c r="Q5" s="522" t="s">
        <v>17</v>
      </c>
      <c r="R5" s="522" t="s">
        <v>18</v>
      </c>
      <c r="S5" s="522" t="s">
        <v>19</v>
      </c>
      <c r="T5" s="522" t="s">
        <v>20</v>
      </c>
      <c r="U5" s="522" t="s">
        <v>21</v>
      </c>
      <c r="V5" s="522" t="s">
        <v>22</v>
      </c>
      <c r="W5" s="522" t="s">
        <v>23</v>
      </c>
      <c r="X5" s="522" t="s">
        <v>24</v>
      </c>
      <c r="Y5" s="522" t="s">
        <v>25</v>
      </c>
      <c r="Z5" s="522" t="s">
        <v>26</v>
      </c>
      <c r="AA5" s="522" t="s">
        <v>27</v>
      </c>
      <c r="AB5" s="522" t="s">
        <v>28</v>
      </c>
      <c r="AC5" s="522" t="s">
        <v>29</v>
      </c>
      <c r="AD5" s="522" t="s">
        <v>46</v>
      </c>
      <c r="AE5" s="522" t="s">
        <v>47</v>
      </c>
      <c r="AF5" s="522" t="s">
        <v>48</v>
      </c>
      <c r="AG5" s="522" t="s">
        <v>49</v>
      </c>
      <c r="AH5" s="522" t="s">
        <v>50</v>
      </c>
      <c r="AI5" s="522" t="s">
        <v>51</v>
      </c>
      <c r="AJ5" s="522" t="s">
        <v>52</v>
      </c>
      <c r="AK5" s="522" t="s">
        <v>53</v>
      </c>
      <c r="AL5" s="522" t="s">
        <v>54</v>
      </c>
      <c r="AM5" s="522" t="s">
        <v>55</v>
      </c>
      <c r="AN5" s="522" t="s">
        <v>56</v>
      </c>
      <c r="AO5" s="522" t="s">
        <v>57</v>
      </c>
      <c r="AP5" s="522" t="s">
        <v>279</v>
      </c>
      <c r="AQ5" s="522" t="s">
        <v>280</v>
      </c>
    </row>
    <row r="6" spans="2:43" s="1" customFormat="1">
      <c r="C6" s="569"/>
      <c r="D6" s="521" t="s">
        <v>148</v>
      </c>
      <c r="E6" s="521"/>
      <c r="F6" s="521"/>
      <c r="G6" s="521">
        <v>1</v>
      </c>
      <c r="H6" s="521">
        <v>2</v>
      </c>
      <c r="I6" s="521">
        <v>3</v>
      </c>
      <c r="J6" s="521">
        <v>4</v>
      </c>
      <c r="K6" s="521">
        <v>5</v>
      </c>
      <c r="L6" s="521">
        <v>6</v>
      </c>
      <c r="M6" s="521">
        <v>7</v>
      </c>
      <c r="N6" s="521">
        <v>8</v>
      </c>
      <c r="O6" s="521">
        <v>9</v>
      </c>
      <c r="P6" s="521">
        <v>10</v>
      </c>
      <c r="Q6" s="521">
        <v>11</v>
      </c>
      <c r="R6" s="521">
        <v>12</v>
      </c>
      <c r="S6" s="521">
        <v>13</v>
      </c>
      <c r="T6" s="521">
        <v>14</v>
      </c>
      <c r="U6" s="521">
        <v>15</v>
      </c>
      <c r="V6" s="521">
        <v>16</v>
      </c>
      <c r="W6" s="521">
        <v>17</v>
      </c>
      <c r="X6" s="521">
        <v>18</v>
      </c>
      <c r="Y6" s="521">
        <v>19</v>
      </c>
      <c r="Z6" s="521">
        <v>20</v>
      </c>
      <c r="AA6" s="521">
        <v>21</v>
      </c>
      <c r="AB6" s="521">
        <v>22</v>
      </c>
      <c r="AC6" s="521">
        <v>23</v>
      </c>
      <c r="AD6" s="521">
        <v>24</v>
      </c>
      <c r="AE6" s="521">
        <v>25</v>
      </c>
      <c r="AF6" s="521">
        <v>26</v>
      </c>
      <c r="AG6" s="521">
        <v>27</v>
      </c>
      <c r="AH6" s="521">
        <v>28</v>
      </c>
      <c r="AI6" s="521">
        <v>29</v>
      </c>
      <c r="AJ6" s="521">
        <v>30</v>
      </c>
      <c r="AK6" s="521">
        <v>31</v>
      </c>
      <c r="AL6" s="521">
        <v>32</v>
      </c>
      <c r="AM6" s="521">
        <v>33</v>
      </c>
      <c r="AN6" s="521">
        <v>34</v>
      </c>
      <c r="AO6" s="521">
        <v>35</v>
      </c>
      <c r="AP6" s="521">
        <v>36</v>
      </c>
      <c r="AQ6" s="521">
        <v>37</v>
      </c>
    </row>
    <row r="7" spans="2:43">
      <c r="B7" s="532" t="s">
        <v>201</v>
      </c>
      <c r="D7" s="533" t="s">
        <v>130</v>
      </c>
      <c r="E7" s="477"/>
      <c r="F7" s="477"/>
    </row>
    <row r="8" spans="2:43">
      <c r="B8" s="532" t="str">
        <f>'[2]D1 Reduced Proc Time'!D10</f>
        <v>D1</v>
      </c>
      <c r="C8" t="s">
        <v>150</v>
      </c>
      <c r="D8" s="109">
        <f>SUM(G8:AQ8)</f>
        <v>23.12766666666667</v>
      </c>
      <c r="E8" s="108">
        <v>0</v>
      </c>
      <c r="F8" s="108">
        <v>0</v>
      </c>
      <c r="G8" s="100">
        <f>'[2]D1-D5 hub Benefit Assumptions'!F56</f>
        <v>0.66</v>
      </c>
      <c r="H8" s="100">
        <f>'[2]D1-D5 hub Benefit Assumptions'!G56</f>
        <v>0.85699999999999987</v>
      </c>
      <c r="I8" s="100">
        <f>'[2]D1-D5 hub Benefit Assumptions'!H56</f>
        <v>0.59070833333333339</v>
      </c>
      <c r="J8" s="100">
        <f>'[2]D1-D5 hub Benefit Assumptions'!I56</f>
        <v>0.73245833333333343</v>
      </c>
      <c r="K8" s="100">
        <f>'[2]D1-D5 hub Benefit Assumptions'!J56</f>
        <v>0.79325000000000001</v>
      </c>
      <c r="L8" s="100">
        <f>'[2]D1-D5 hub Benefit Assumptions'!K56</f>
        <v>0.85404166666666681</v>
      </c>
      <c r="M8" s="100">
        <f>'[2]D1-D5 hub Benefit Assumptions'!L56</f>
        <v>0.91483333333333339</v>
      </c>
      <c r="N8" s="100">
        <f>'[2]D1-D5 hub Benefit Assumptions'!M56</f>
        <v>0.97562500000000019</v>
      </c>
      <c r="O8" s="100">
        <f>'[2]D1-D5 hub Benefit Assumptions'!N56</f>
        <v>1.0364166666666668</v>
      </c>
      <c r="P8" s="100">
        <f>'[2]D1-D5 hub Benefit Assumptions'!O56</f>
        <v>1.0972083333333336</v>
      </c>
      <c r="Q8" s="100">
        <f>'[2]D1-D5 hub Benefit Assumptions'!P56</f>
        <v>0.63687500000000008</v>
      </c>
      <c r="R8" s="100">
        <f>'[2]D1-D5 hub Benefit Assumptions'!Q56</f>
        <v>0.69766666666666677</v>
      </c>
      <c r="S8" s="100">
        <f>'[2]D1-D5 hub Benefit Assumptions'!R56</f>
        <v>0.69766666666666677</v>
      </c>
      <c r="T8" s="100">
        <f>'[2]D1-D5 hub Benefit Assumptions'!S56</f>
        <v>0.69766666666666677</v>
      </c>
      <c r="U8" s="100">
        <f>'[2]D1-D5 hub Benefit Assumptions'!T56</f>
        <v>0.69766666666666677</v>
      </c>
      <c r="V8" s="100">
        <f>'[2]D1-D5 hub Benefit Assumptions'!U56</f>
        <v>0.69766666666666677</v>
      </c>
      <c r="W8" s="100">
        <f>'[2]D1-D5 hub Benefit Assumptions'!V56</f>
        <v>0.69766666666666677</v>
      </c>
      <c r="X8" s="100">
        <f>'[2]D1-D5 hub Benefit Assumptions'!W56</f>
        <v>0.69766666666666677</v>
      </c>
      <c r="Y8" s="100">
        <f>'[2]D1-D5 hub Benefit Assumptions'!X56</f>
        <v>0.69766666666666677</v>
      </c>
      <c r="Z8" s="100">
        <f>'[2]D1-D5 hub Benefit Assumptions'!Y56</f>
        <v>0.69766666666666677</v>
      </c>
      <c r="AA8" s="100">
        <f>'[2]D1-D5 hub Benefit Assumptions'!Z56</f>
        <v>0.69766666666666677</v>
      </c>
      <c r="AB8" s="100">
        <f>'[2]D1-D5 hub Benefit Assumptions'!AA56</f>
        <v>0.69766666666666677</v>
      </c>
      <c r="AC8" s="100">
        <f>'[2]D1-D5 hub Benefit Assumptions'!AB56</f>
        <v>0.69766666666666677</v>
      </c>
      <c r="AD8" s="100">
        <f>'[2]D1-D5 hub Benefit Assumptions'!AC56</f>
        <v>0.69766666666666677</v>
      </c>
      <c r="AE8" s="100">
        <f>'[2]D1-D5 hub Benefit Assumptions'!AD56</f>
        <v>0.69766666666666677</v>
      </c>
      <c r="AF8" s="100">
        <f>'[2]D1-D5 hub Benefit Assumptions'!AE56</f>
        <v>0.69766666666666677</v>
      </c>
      <c r="AG8" s="100">
        <f>'[2]D1-D5 hub Benefit Assumptions'!AF56</f>
        <v>0.69766666666666677</v>
      </c>
      <c r="AH8" s="100">
        <f>'[2]D1-D5 hub Benefit Assumptions'!AG56</f>
        <v>0.62808333333333344</v>
      </c>
      <c r="AI8" s="100">
        <f>'[2]D1-D5 hub Benefit Assumptions'!AH56</f>
        <v>0.4863333333333334</v>
      </c>
      <c r="AJ8" s="100">
        <f>'[2]D1-D5 hub Benefit Assumptions'!AI56</f>
        <v>0.42554166666666671</v>
      </c>
      <c r="AK8" s="100">
        <f>'[2]D1-D5 hub Benefit Assumptions'!AJ56</f>
        <v>0.36475000000000002</v>
      </c>
      <c r="AL8" s="100">
        <f>'[2]D1-D5 hub Benefit Assumptions'!AK56</f>
        <v>0.30395833333333333</v>
      </c>
      <c r="AM8" s="100">
        <f>'[2]D1-D5 hub Benefit Assumptions'!AL56</f>
        <v>0.24316666666666667</v>
      </c>
      <c r="AN8" s="100">
        <f>'[2]D1-D5 hub Benefit Assumptions'!AM56</f>
        <v>0.18237500000000001</v>
      </c>
      <c r="AO8" s="100">
        <f>'[2]D1-D5 hub Benefit Assumptions'!AN56</f>
        <v>0.12158333333333333</v>
      </c>
      <c r="AP8" s="100">
        <f>'[2]D1-D5 hub Benefit Assumptions'!AO56</f>
        <v>6.0791666666666667E-2</v>
      </c>
      <c r="AQ8" s="100">
        <f>'[2]D1-D5 hub Benefit Assumptions'!AP56</f>
        <v>0</v>
      </c>
    </row>
    <row r="9" spans="2:43">
      <c r="B9" s="532"/>
      <c r="D9" s="109"/>
      <c r="E9" s="108"/>
      <c r="F9" s="108"/>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row>
    <row r="10" spans="2:43">
      <c r="B10" s="532" t="str">
        <f>'[2]D2 Cont Improvement'!D10</f>
        <v>D2</v>
      </c>
      <c r="C10" t="s">
        <v>147</v>
      </c>
      <c r="D10" s="109">
        <f>SUM(G10:AQ10)</f>
        <v>39.739812500000021</v>
      </c>
      <c r="E10" s="108">
        <v>0</v>
      </c>
      <c r="F10" s="108">
        <v>0</v>
      </c>
      <c r="G10" s="97">
        <f>'[2]D1-D5 hub Benefit Assumptions'!F87</f>
        <v>0</v>
      </c>
      <c r="H10" s="97">
        <f>'[2]D1-D5 hub Benefit Assumptions'!G87</f>
        <v>0.20750000000000002</v>
      </c>
      <c r="I10" s="97">
        <f>'[2]D1-D5 hub Benefit Assumptions'!H87</f>
        <v>0.41750000000000004</v>
      </c>
      <c r="J10" s="97">
        <f>'[2]D1-D5 hub Benefit Assumptions'!I87</f>
        <v>0.71320000000000006</v>
      </c>
      <c r="K10" s="97">
        <f>'[2]D1-D5 hub Benefit Assumptions'!J87</f>
        <v>1.01810625</v>
      </c>
      <c r="L10" s="97">
        <f>'[2]D1-D5 hub Benefit Assumptions'!K87</f>
        <v>1.3503687500000001</v>
      </c>
      <c r="M10" s="97">
        <f>'[2]D1-D5 hub Benefit Assumptions'!L87</f>
        <v>1.7099875</v>
      </c>
      <c r="N10" s="97">
        <f>'[2]D1-D5 hub Benefit Assumptions'!M87</f>
        <v>2.0969625000000005</v>
      </c>
      <c r="O10" s="97">
        <f>'[2]D1-D5 hub Benefit Assumptions'!N87</f>
        <v>2.5112937500000001</v>
      </c>
      <c r="P10" s="97">
        <f>'[2]D1-D5 hub Benefit Assumptions'!O87</f>
        <v>2.9529812499999997</v>
      </c>
      <c r="Q10" s="97">
        <f>'[2]D1-D5 hub Benefit Assumptions'!P87</f>
        <v>0.92002499999999998</v>
      </c>
      <c r="R10" s="97">
        <f>'[2]D1-D5 hub Benefit Assumptions'!Q87</f>
        <v>1.1558625</v>
      </c>
      <c r="S10" s="97">
        <f>'[2]D1-D5 hub Benefit Assumptions'!R87</f>
        <v>1.1558625</v>
      </c>
      <c r="T10" s="97">
        <f>'[2]D1-D5 hub Benefit Assumptions'!S87</f>
        <v>1.1558625</v>
      </c>
      <c r="U10" s="97">
        <f>'[2]D1-D5 hub Benefit Assumptions'!T87</f>
        <v>1.1558625</v>
      </c>
      <c r="V10" s="97">
        <f>'[2]D1-D5 hub Benefit Assumptions'!U87</f>
        <v>1.1558625</v>
      </c>
      <c r="W10" s="97">
        <f>'[2]D1-D5 hub Benefit Assumptions'!V87</f>
        <v>1.1558625</v>
      </c>
      <c r="X10" s="97">
        <f>'[2]D1-D5 hub Benefit Assumptions'!W87</f>
        <v>1.1558625</v>
      </c>
      <c r="Y10" s="97">
        <f>'[2]D1-D5 hub Benefit Assumptions'!X87</f>
        <v>1.1558625</v>
      </c>
      <c r="Z10" s="97">
        <f>'[2]D1-D5 hub Benefit Assumptions'!Y87</f>
        <v>1.1558625</v>
      </c>
      <c r="AA10" s="97">
        <f>'[2]D1-D5 hub Benefit Assumptions'!Z87</f>
        <v>1.1558625</v>
      </c>
      <c r="AB10" s="97">
        <f>'[2]D1-D5 hub Benefit Assumptions'!AA87</f>
        <v>1.1558625</v>
      </c>
      <c r="AC10" s="97">
        <f>'[2]D1-D5 hub Benefit Assumptions'!AB87</f>
        <v>1.1558625</v>
      </c>
      <c r="AD10" s="97">
        <f>'[2]D1-D5 hub Benefit Assumptions'!AC87</f>
        <v>1.1558625</v>
      </c>
      <c r="AE10" s="97">
        <f>'[2]D1-D5 hub Benefit Assumptions'!AD87</f>
        <v>1.1558625</v>
      </c>
      <c r="AF10" s="97">
        <f>'[2]D1-D5 hub Benefit Assumptions'!AE87</f>
        <v>1.1558625</v>
      </c>
      <c r="AG10" s="97">
        <f>'[2]D1-D5 hub Benefit Assumptions'!AF87</f>
        <v>1.1558625</v>
      </c>
      <c r="AH10" s="97">
        <f>'[2]D1-D5 hub Benefit Assumptions'!AG87</f>
        <v>1.1558625</v>
      </c>
      <c r="AI10" s="97">
        <f>'[2]D1-D5 hub Benefit Assumptions'!AH87</f>
        <v>1.1207250000000002</v>
      </c>
      <c r="AJ10" s="97">
        <f>'[2]D1-D5 hub Benefit Assumptions'!AI87</f>
        <v>1.0763812500000001</v>
      </c>
      <c r="AK10" s="97">
        <f>'[2]D1-D5 hub Benefit Assumptions'!AJ87</f>
        <v>1.0046812500000002</v>
      </c>
      <c r="AL10" s="97">
        <f>'[2]D1-D5 hub Benefit Assumptions'!AK87</f>
        <v>0.90562500000000012</v>
      </c>
      <c r="AM10" s="97">
        <f>'[2]D1-D5 hub Benefit Assumptions'!AL87</f>
        <v>0.77921250000000009</v>
      </c>
      <c r="AN10" s="97">
        <f>'[2]D1-D5 hub Benefit Assumptions'!AM87</f>
        <v>0.62544375000000008</v>
      </c>
      <c r="AO10" s="97">
        <f>'[2]D1-D5 hub Benefit Assumptions'!AN87</f>
        <v>0.44431874999999998</v>
      </c>
      <c r="AP10" s="97">
        <f>'[2]D1-D5 hub Benefit Assumptions'!AO87</f>
        <v>0.23583749999999998</v>
      </c>
      <c r="AQ10" s="97">
        <f>'[2]D1-D5 hub Benefit Assumptions'!AP87</f>
        <v>0</v>
      </c>
    </row>
    <row r="11" spans="2:43">
      <c r="B11" s="532"/>
      <c r="D11" s="109"/>
      <c r="E11" s="108"/>
      <c r="F11" s="108"/>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row>
    <row r="12" spans="2:43">
      <c r="B12" s="532" t="str">
        <f>'[2]D3 Savings in Bid Costs'!D10</f>
        <v>D3</v>
      </c>
      <c r="C12" t="s">
        <v>283</v>
      </c>
      <c r="D12" s="109">
        <f>SUM(G12:AQ12)</f>
        <v>30.46875</v>
      </c>
      <c r="E12" s="108">
        <v>0</v>
      </c>
      <c r="F12" s="108">
        <v>0</v>
      </c>
      <c r="G12" s="97">
        <f>'[2]D1-D5 hub Benefit Assumptions'!F117</f>
        <v>0</v>
      </c>
      <c r="H12" s="97">
        <f>'[2]D1-D5 hub Benefit Assumptions'!G117</f>
        <v>0</v>
      </c>
      <c r="I12" s="97">
        <f>'[2]D1-D5 hub Benefit Assumptions'!H117</f>
        <v>0.140625</v>
      </c>
      <c r="J12" s="97">
        <f>'[2]D1-D5 hub Benefit Assumptions'!I117</f>
        <v>0.28125</v>
      </c>
      <c r="K12" s="97">
        <f>'[2]D1-D5 hub Benefit Assumptions'!J117</f>
        <v>0.3984375</v>
      </c>
      <c r="L12" s="97">
        <f>'[2]D1-D5 hub Benefit Assumptions'!K117</f>
        <v>0.515625</v>
      </c>
      <c r="M12" s="97">
        <f>'[2]D1-D5 hub Benefit Assumptions'!L117</f>
        <v>0.6328125</v>
      </c>
      <c r="N12" s="97">
        <f>'[2]D1-D5 hub Benefit Assumptions'!M117</f>
        <v>0.75</v>
      </c>
      <c r="O12" s="97">
        <f>'[2]D1-D5 hub Benefit Assumptions'!N117</f>
        <v>0.8671875</v>
      </c>
      <c r="P12" s="97">
        <f>'[2]D1-D5 hub Benefit Assumptions'!O117</f>
        <v>0.984375</v>
      </c>
      <c r="Q12" s="97">
        <f>'[2]D1-D5 hub Benefit Assumptions'!P117</f>
        <v>1.1015625</v>
      </c>
      <c r="R12" s="97">
        <f>'[2]D1-D5 hub Benefit Assumptions'!Q117</f>
        <v>1.21875</v>
      </c>
      <c r="S12" s="97">
        <f>'[2]D1-D5 hub Benefit Assumptions'!R117</f>
        <v>1.21875</v>
      </c>
      <c r="T12" s="97">
        <f>'[2]D1-D5 hub Benefit Assumptions'!S117</f>
        <v>1.21875</v>
      </c>
      <c r="U12" s="97">
        <f>'[2]D1-D5 hub Benefit Assumptions'!T117</f>
        <v>1.21875</v>
      </c>
      <c r="V12" s="97">
        <f>'[2]D1-D5 hub Benefit Assumptions'!U117</f>
        <v>1.21875</v>
      </c>
      <c r="W12" s="97">
        <f>'[2]D1-D5 hub Benefit Assumptions'!V117</f>
        <v>1.21875</v>
      </c>
      <c r="X12" s="97">
        <f>'[2]D1-D5 hub Benefit Assumptions'!W117</f>
        <v>1.21875</v>
      </c>
      <c r="Y12" s="97">
        <f>'[2]D1-D5 hub Benefit Assumptions'!X117</f>
        <v>1.21875</v>
      </c>
      <c r="Z12" s="97">
        <f>'[2]D1-D5 hub Benefit Assumptions'!Y117</f>
        <v>1.21875</v>
      </c>
      <c r="AA12" s="97">
        <f>'[2]D1-D5 hub Benefit Assumptions'!Z117</f>
        <v>1.21875</v>
      </c>
      <c r="AB12" s="97">
        <f>'[2]D1-D5 hub Benefit Assumptions'!AA117</f>
        <v>1.21875</v>
      </c>
      <c r="AC12" s="97">
        <f>'[2]D1-D5 hub Benefit Assumptions'!AB117</f>
        <v>1.21875</v>
      </c>
      <c r="AD12" s="97">
        <f>'[2]D1-D5 hub Benefit Assumptions'!AC117</f>
        <v>1.21875</v>
      </c>
      <c r="AE12" s="97">
        <f>'[2]D1-D5 hub Benefit Assumptions'!AD117</f>
        <v>1.21875</v>
      </c>
      <c r="AF12" s="97">
        <f>'[2]D1-D5 hub Benefit Assumptions'!AE117</f>
        <v>1.21875</v>
      </c>
      <c r="AG12" s="97">
        <f>'[2]D1-D5 hub Benefit Assumptions'!AF117</f>
        <v>1.21875</v>
      </c>
      <c r="AH12" s="97">
        <f>'[2]D1-D5 hub Benefit Assumptions'!AG117</f>
        <v>1.078125</v>
      </c>
      <c r="AI12" s="97">
        <f>'[2]D1-D5 hub Benefit Assumptions'!AH117</f>
        <v>0.9375</v>
      </c>
      <c r="AJ12" s="97">
        <f>'[2]D1-D5 hub Benefit Assumptions'!AI117</f>
        <v>0.8203125</v>
      </c>
      <c r="AK12" s="97">
        <f>'[2]D1-D5 hub Benefit Assumptions'!AJ117</f>
        <v>0.703125</v>
      </c>
      <c r="AL12" s="97">
        <f>'[2]D1-D5 hub Benefit Assumptions'!AK117</f>
        <v>0.5859375</v>
      </c>
      <c r="AM12" s="97">
        <f>'[2]D1-D5 hub Benefit Assumptions'!AL117</f>
        <v>0.46875</v>
      </c>
      <c r="AN12" s="97">
        <f>'[2]D1-D5 hub Benefit Assumptions'!AM117</f>
        <v>0.3515625</v>
      </c>
      <c r="AO12" s="97">
        <f>'[2]D1-D5 hub Benefit Assumptions'!AN117</f>
        <v>0.234375</v>
      </c>
      <c r="AP12" s="97">
        <f>'[2]D1-D5 hub Benefit Assumptions'!AO117</f>
        <v>0.1171875</v>
      </c>
      <c r="AQ12" s="97">
        <f>'[2]D1-D5 hub Benefit Assumptions'!AP117</f>
        <v>0</v>
      </c>
    </row>
    <row r="13" spans="2:43">
      <c r="B13" s="532"/>
      <c r="D13" s="109"/>
      <c r="E13" s="108"/>
      <c r="F13" s="108"/>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row>
    <row r="14" spans="2:43">
      <c r="B14" s="532" t="str">
        <f>'[2]D4 Public Sector Inv Returns'!D10</f>
        <v>D4</v>
      </c>
      <c r="C14" t="s">
        <v>146</v>
      </c>
      <c r="D14" s="109">
        <f>SUM(G14:AQ14)</f>
        <v>16.367259999999995</v>
      </c>
      <c r="E14" s="108">
        <v>0</v>
      </c>
      <c r="F14" s="108">
        <v>0</v>
      </c>
      <c r="G14" s="97">
        <f>'[2]D1-D5 hub Benefit Assumptions'!F145</f>
        <v>0</v>
      </c>
      <c r="H14" s="97">
        <f>'[2]D1-D5 hub Benefit Assumptions'!G145</f>
        <v>0</v>
      </c>
      <c r="I14" s="97">
        <f>'[2]D1-D5 hub Benefit Assumptions'!H145</f>
        <v>6.5296999999999994E-2</v>
      </c>
      <c r="J14" s="97">
        <f>'[2]D1-D5 hub Benefit Assumptions'!I145</f>
        <v>0.1983152</v>
      </c>
      <c r="K14" s="97">
        <f>'[2]D1-D5 hub Benefit Assumptions'!J145</f>
        <v>0.25536209999999998</v>
      </c>
      <c r="L14" s="97">
        <f>'[2]D1-D5 hub Benefit Assumptions'!K145</f>
        <v>0.31240899999999999</v>
      </c>
      <c r="M14" s="97">
        <f>'[2]D1-D5 hub Benefit Assumptions'!L145</f>
        <v>0.3694559</v>
      </c>
      <c r="N14" s="97">
        <f>'[2]D1-D5 hub Benefit Assumptions'!M145</f>
        <v>0.42650280000000002</v>
      </c>
      <c r="O14" s="97">
        <f>'[2]D1-D5 hub Benefit Assumptions'!N145</f>
        <v>0.48354970000000003</v>
      </c>
      <c r="P14" s="97">
        <f>'[2]D1-D5 hub Benefit Assumptions'!O145</f>
        <v>0.54059659999999998</v>
      </c>
      <c r="Q14" s="97">
        <f>'[2]D1-D5 hub Benefit Assumptions'!P145</f>
        <v>0.59764349999999999</v>
      </c>
      <c r="R14" s="97">
        <f>'[2]D1-D5 hub Benefit Assumptions'!Q145</f>
        <v>0.65469040000000001</v>
      </c>
      <c r="S14" s="97">
        <f>'[2]D1-D5 hub Benefit Assumptions'!R145</f>
        <v>0.65469040000000001</v>
      </c>
      <c r="T14" s="97">
        <f>'[2]D1-D5 hub Benefit Assumptions'!S145</f>
        <v>0.65469040000000001</v>
      </c>
      <c r="U14" s="97">
        <f>'[2]D1-D5 hub Benefit Assumptions'!T145</f>
        <v>0.65469040000000001</v>
      </c>
      <c r="V14" s="97">
        <f>'[2]D1-D5 hub Benefit Assumptions'!U145</f>
        <v>0.65469040000000001</v>
      </c>
      <c r="W14" s="97">
        <f>'[2]D1-D5 hub Benefit Assumptions'!V145</f>
        <v>0.65469040000000001</v>
      </c>
      <c r="X14" s="97">
        <f>'[2]D1-D5 hub Benefit Assumptions'!W145</f>
        <v>0.65469040000000001</v>
      </c>
      <c r="Y14" s="97">
        <f>'[2]D1-D5 hub Benefit Assumptions'!X145</f>
        <v>0.65469040000000001</v>
      </c>
      <c r="Z14" s="97">
        <f>'[2]D1-D5 hub Benefit Assumptions'!Y145</f>
        <v>0.65469040000000001</v>
      </c>
      <c r="AA14" s="97">
        <f>'[2]D1-D5 hub Benefit Assumptions'!Z145</f>
        <v>0.65469040000000001</v>
      </c>
      <c r="AB14" s="97">
        <f>'[2]D1-D5 hub Benefit Assumptions'!AA145</f>
        <v>0.65469040000000001</v>
      </c>
      <c r="AC14" s="97">
        <f>'[2]D1-D5 hub Benefit Assumptions'!AB145</f>
        <v>0.65469040000000001</v>
      </c>
      <c r="AD14" s="97">
        <f>'[2]D1-D5 hub Benefit Assumptions'!AC145</f>
        <v>0.65469040000000001</v>
      </c>
      <c r="AE14" s="97">
        <f>'[2]D1-D5 hub Benefit Assumptions'!AD145</f>
        <v>0.65469040000000001</v>
      </c>
      <c r="AF14" s="97">
        <f>'[2]D1-D5 hub Benefit Assumptions'!AE145</f>
        <v>0.65469040000000001</v>
      </c>
      <c r="AG14" s="97">
        <f>'[2]D1-D5 hub Benefit Assumptions'!AF145</f>
        <v>0.65469040000000001</v>
      </c>
      <c r="AH14" s="97">
        <f>'[2]D1-D5 hub Benefit Assumptions'!AG145</f>
        <v>0.58939339999999996</v>
      </c>
      <c r="AI14" s="97">
        <f>'[2]D1-D5 hub Benefit Assumptions'!AH145</f>
        <v>0.45637519999999998</v>
      </c>
      <c r="AJ14" s="97">
        <f>'[2]D1-D5 hub Benefit Assumptions'!AI145</f>
        <v>0.39932829999999997</v>
      </c>
      <c r="AK14" s="97">
        <f>'[2]D1-D5 hub Benefit Assumptions'!AJ145</f>
        <v>0.34228139999999996</v>
      </c>
      <c r="AL14" s="97">
        <f>'[2]D1-D5 hub Benefit Assumptions'!AK145</f>
        <v>0.28523449999999995</v>
      </c>
      <c r="AM14" s="97">
        <f>'[2]D1-D5 hub Benefit Assumptions'!AL145</f>
        <v>0.22818759999999996</v>
      </c>
      <c r="AN14" s="97">
        <f>'[2]D1-D5 hub Benefit Assumptions'!AM145</f>
        <v>0.17114069999999998</v>
      </c>
      <c r="AO14" s="97">
        <f>'[2]D1-D5 hub Benefit Assumptions'!AN145</f>
        <v>0.11409379999999998</v>
      </c>
      <c r="AP14" s="97">
        <f>'[2]D1-D5 hub Benefit Assumptions'!AO145</f>
        <v>5.7046899999999991E-2</v>
      </c>
      <c r="AQ14" s="97">
        <f>'[2]D1-D5 hub Benefit Assumptions'!AP145</f>
        <v>0</v>
      </c>
    </row>
    <row r="15" spans="2:43">
      <c r="B15" s="532"/>
      <c r="D15" s="109"/>
      <c r="E15" s="108"/>
      <c r="F15" s="108"/>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row>
    <row r="16" spans="2:43">
      <c r="B16" s="532" t="str">
        <f>'[2]D5 Reduced IRR'!D10</f>
        <v>D5</v>
      </c>
      <c r="C16" t="s">
        <v>248</v>
      </c>
      <c r="D16" s="109">
        <f>SUM(G16:AQ16)</f>
        <v>31.39500000000001</v>
      </c>
      <c r="E16" s="108">
        <v>0</v>
      </c>
      <c r="F16" s="108">
        <v>0</v>
      </c>
      <c r="G16" s="97">
        <f>'[2]D1-D5 hub Benefit Assumptions'!F172</f>
        <v>0</v>
      </c>
      <c r="H16" s="97">
        <f>'[2]D1-D5 hub Benefit Assumptions'!G172</f>
        <v>0</v>
      </c>
      <c r="I16" s="97">
        <f>'[2]D1-D5 hub Benefit Assumptions'!H172</f>
        <v>0.12525</v>
      </c>
      <c r="J16" s="97">
        <f>'[2]D1-D5 hub Benefit Assumptions'!I172</f>
        <v>0.38040000000000007</v>
      </c>
      <c r="K16" s="97">
        <f>'[2]D1-D5 hub Benefit Assumptions'!J172</f>
        <v>0.48982500000000007</v>
      </c>
      <c r="L16" s="97">
        <f>'[2]D1-D5 hub Benefit Assumptions'!K172</f>
        <v>0.59925000000000006</v>
      </c>
      <c r="M16" s="97">
        <f>'[2]D1-D5 hub Benefit Assumptions'!L172</f>
        <v>0.70867500000000005</v>
      </c>
      <c r="N16" s="97">
        <f>'[2]D1-D5 hub Benefit Assumptions'!M172</f>
        <v>0.81810000000000005</v>
      </c>
      <c r="O16" s="97">
        <f>'[2]D1-D5 hub Benefit Assumptions'!N172</f>
        <v>0.92752500000000004</v>
      </c>
      <c r="P16" s="97">
        <f>'[2]D1-D5 hub Benefit Assumptions'!O172</f>
        <v>1.03695</v>
      </c>
      <c r="Q16" s="97">
        <f>'[2]D1-D5 hub Benefit Assumptions'!P172</f>
        <v>1.1463749999999999</v>
      </c>
      <c r="R16" s="97">
        <f>'[2]D1-D5 hub Benefit Assumptions'!Q172</f>
        <v>1.2557999999999998</v>
      </c>
      <c r="S16" s="97">
        <f>'[2]D1-D5 hub Benefit Assumptions'!R172</f>
        <v>1.2557999999999998</v>
      </c>
      <c r="T16" s="97">
        <f>'[2]D1-D5 hub Benefit Assumptions'!S172</f>
        <v>1.2557999999999998</v>
      </c>
      <c r="U16" s="97">
        <f>'[2]D1-D5 hub Benefit Assumptions'!T172</f>
        <v>1.2557999999999998</v>
      </c>
      <c r="V16" s="97">
        <f>'[2]D1-D5 hub Benefit Assumptions'!U172</f>
        <v>1.2557999999999998</v>
      </c>
      <c r="W16" s="97">
        <f>'[2]D1-D5 hub Benefit Assumptions'!V172</f>
        <v>1.2557999999999998</v>
      </c>
      <c r="X16" s="97">
        <f>'[2]D1-D5 hub Benefit Assumptions'!W172</f>
        <v>1.2557999999999998</v>
      </c>
      <c r="Y16" s="97">
        <f>'[2]D1-D5 hub Benefit Assumptions'!X172</f>
        <v>1.2557999999999998</v>
      </c>
      <c r="Z16" s="97">
        <f>'[2]D1-D5 hub Benefit Assumptions'!Y172</f>
        <v>1.2557999999999998</v>
      </c>
      <c r="AA16" s="97">
        <f>'[2]D1-D5 hub Benefit Assumptions'!Z172</f>
        <v>1.2557999999999998</v>
      </c>
      <c r="AB16" s="97">
        <f>'[2]D1-D5 hub Benefit Assumptions'!AA172</f>
        <v>1.2557999999999998</v>
      </c>
      <c r="AC16" s="97">
        <f>'[2]D1-D5 hub Benefit Assumptions'!AB172</f>
        <v>1.2557999999999998</v>
      </c>
      <c r="AD16" s="97">
        <f>'[2]D1-D5 hub Benefit Assumptions'!AC172</f>
        <v>1.2557999999999998</v>
      </c>
      <c r="AE16" s="97">
        <f>'[2]D1-D5 hub Benefit Assumptions'!AD172</f>
        <v>1.2557999999999998</v>
      </c>
      <c r="AF16" s="97">
        <f>'[2]D1-D5 hub Benefit Assumptions'!AE172</f>
        <v>1.2557999999999998</v>
      </c>
      <c r="AG16" s="97">
        <f>'[2]D1-D5 hub Benefit Assumptions'!AF172</f>
        <v>1.2557999999999998</v>
      </c>
      <c r="AH16" s="97">
        <f>'[2]D1-D5 hub Benefit Assumptions'!AG172</f>
        <v>1.1305499999999999</v>
      </c>
      <c r="AI16" s="97">
        <f>'[2]D1-D5 hub Benefit Assumptions'!AH172</f>
        <v>0.87539999999999996</v>
      </c>
      <c r="AJ16" s="97">
        <f>'[2]D1-D5 hub Benefit Assumptions'!AI172</f>
        <v>0.76597499999999996</v>
      </c>
      <c r="AK16" s="97">
        <f>'[2]D1-D5 hub Benefit Assumptions'!AJ172</f>
        <v>0.65654999999999997</v>
      </c>
      <c r="AL16" s="97">
        <f>'[2]D1-D5 hub Benefit Assumptions'!AK172</f>
        <v>0.54712499999999997</v>
      </c>
      <c r="AM16" s="97">
        <f>'[2]D1-D5 hub Benefit Assumptions'!AL172</f>
        <v>0.43769999999999998</v>
      </c>
      <c r="AN16" s="97">
        <f>'[2]D1-D5 hub Benefit Assumptions'!AM172</f>
        <v>0.32827499999999998</v>
      </c>
      <c r="AO16" s="97">
        <f>'[2]D1-D5 hub Benefit Assumptions'!AN172</f>
        <v>0.21884999999999999</v>
      </c>
      <c r="AP16" s="97">
        <f>'[2]D1-D5 hub Benefit Assumptions'!AO172</f>
        <v>0.10942499999999999</v>
      </c>
      <c r="AQ16" s="97">
        <f>'[2]D1-D5 hub Benefit Assumptions'!AP172</f>
        <v>0</v>
      </c>
    </row>
    <row r="17" spans="3:43">
      <c r="D17" s="110"/>
      <c r="E17" s="108"/>
      <c r="F17" s="108"/>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row>
    <row r="18" spans="3:43" s="32" customFormat="1" ht="15.75" thickBot="1">
      <c r="C18" s="458" t="s">
        <v>130</v>
      </c>
      <c r="D18" s="534">
        <f t="shared" ref="D18:AP18" si="0">SUM(D8:D17)</f>
        <v>141.0984891666667</v>
      </c>
      <c r="E18" s="535">
        <f t="shared" si="0"/>
        <v>0</v>
      </c>
      <c r="F18" s="535">
        <f t="shared" si="0"/>
        <v>0</v>
      </c>
      <c r="G18" s="535">
        <f t="shared" si="0"/>
        <v>0.66</v>
      </c>
      <c r="H18" s="535">
        <f t="shared" si="0"/>
        <v>1.0644999999999998</v>
      </c>
      <c r="I18" s="535">
        <f t="shared" si="0"/>
        <v>1.3393803333333334</v>
      </c>
      <c r="J18" s="535">
        <f t="shared" si="0"/>
        <v>2.3056235333333337</v>
      </c>
      <c r="K18" s="535">
        <f t="shared" si="0"/>
        <v>2.9549808500000005</v>
      </c>
      <c r="L18" s="535">
        <f t="shared" si="0"/>
        <v>3.6316944166666669</v>
      </c>
      <c r="M18" s="535">
        <f t="shared" si="0"/>
        <v>4.3357642333333342</v>
      </c>
      <c r="N18" s="535">
        <f t="shared" si="0"/>
        <v>5.0671903000000009</v>
      </c>
      <c r="O18" s="535">
        <f t="shared" si="0"/>
        <v>5.8259726166666672</v>
      </c>
      <c r="P18" s="535">
        <f t="shared" si="0"/>
        <v>6.612111183333333</v>
      </c>
      <c r="Q18" s="535">
        <f t="shared" si="0"/>
        <v>4.4024809999999999</v>
      </c>
      <c r="R18" s="535">
        <f t="shared" si="0"/>
        <v>4.9827695666666667</v>
      </c>
      <c r="S18" s="535">
        <f t="shared" si="0"/>
        <v>4.9827695666666667</v>
      </c>
      <c r="T18" s="535">
        <f t="shared" si="0"/>
        <v>4.9827695666666667</v>
      </c>
      <c r="U18" s="535">
        <f t="shared" si="0"/>
        <v>4.9827695666666667</v>
      </c>
      <c r="V18" s="535">
        <f t="shared" si="0"/>
        <v>4.9827695666666667</v>
      </c>
      <c r="W18" s="535">
        <f t="shared" si="0"/>
        <v>4.9827695666666667</v>
      </c>
      <c r="X18" s="535">
        <f t="shared" si="0"/>
        <v>4.9827695666666667</v>
      </c>
      <c r="Y18" s="535">
        <f t="shared" si="0"/>
        <v>4.9827695666666667</v>
      </c>
      <c r="Z18" s="535">
        <f t="shared" si="0"/>
        <v>4.9827695666666667</v>
      </c>
      <c r="AA18" s="535">
        <f t="shared" si="0"/>
        <v>4.9827695666666667</v>
      </c>
      <c r="AB18" s="535">
        <f t="shared" si="0"/>
        <v>4.9827695666666667</v>
      </c>
      <c r="AC18" s="535">
        <f t="shared" si="0"/>
        <v>4.9827695666666667</v>
      </c>
      <c r="AD18" s="535">
        <f t="shared" si="0"/>
        <v>4.9827695666666667</v>
      </c>
      <c r="AE18" s="535">
        <f t="shared" si="0"/>
        <v>4.9827695666666667</v>
      </c>
      <c r="AF18" s="535">
        <f t="shared" si="0"/>
        <v>4.9827695666666667</v>
      </c>
      <c r="AG18" s="535">
        <f t="shared" si="0"/>
        <v>4.9827695666666667</v>
      </c>
      <c r="AH18" s="535">
        <f t="shared" si="0"/>
        <v>4.582014233333334</v>
      </c>
      <c r="AI18" s="535">
        <f t="shared" si="0"/>
        <v>3.8763335333333337</v>
      </c>
      <c r="AJ18" s="535">
        <f t="shared" si="0"/>
        <v>3.4875387166666667</v>
      </c>
      <c r="AK18" s="535">
        <f t="shared" si="0"/>
        <v>3.0713876500000001</v>
      </c>
      <c r="AL18" s="535">
        <f t="shared" si="0"/>
        <v>2.6278803333333332</v>
      </c>
      <c r="AM18" s="535">
        <f t="shared" si="0"/>
        <v>2.1570167666666666</v>
      </c>
      <c r="AN18" s="535">
        <f t="shared" si="0"/>
        <v>1.6587969500000002</v>
      </c>
      <c r="AO18" s="535">
        <f t="shared" si="0"/>
        <v>1.1332208833333333</v>
      </c>
      <c r="AP18" s="535">
        <f t="shared" si="0"/>
        <v>0.58028856666666662</v>
      </c>
      <c r="AQ18" s="535">
        <f>SUM(AQ8:AQ17)</f>
        <v>0</v>
      </c>
    </row>
    <row r="19" spans="3:43" ht="16.5" thickTop="1" thickBot="1"/>
    <row r="20" spans="3:43" ht="15.75" thickBot="1">
      <c r="C20" s="536" t="s">
        <v>631</v>
      </c>
      <c r="D20" s="537">
        <f>D18/1400</f>
        <v>0.10078463511904764</v>
      </c>
    </row>
    <row r="22" spans="3:43">
      <c r="C22" s="458" t="s">
        <v>152</v>
      </c>
      <c r="E22" s="15">
        <v>0.4</v>
      </c>
      <c r="F22" s="15">
        <v>0.3</v>
      </c>
      <c r="G22" s="15">
        <v>0.2</v>
      </c>
      <c r="H22" s="146">
        <v>0.1</v>
      </c>
      <c r="I22" s="147"/>
    </row>
    <row r="27" spans="3:43">
      <c r="C27" t="s">
        <v>215</v>
      </c>
      <c r="D27" s="82">
        <f>2*D8</f>
        <v>46.25533333333334</v>
      </c>
    </row>
    <row r="28" spans="3:43">
      <c r="C28" t="s">
        <v>216</v>
      </c>
      <c r="D28" s="82">
        <f>2*D10</f>
        <v>79.479625000000041</v>
      </c>
    </row>
    <row r="29" spans="3:43">
      <c r="C29" t="s">
        <v>259</v>
      </c>
      <c r="D29" s="82">
        <f>D12*2</f>
        <v>60.9375</v>
      </c>
      <c r="F29" s="65"/>
      <c r="G29" s="65"/>
      <c r="H29" s="65"/>
      <c r="I29" s="65"/>
      <c r="J29" s="65"/>
      <c r="K29" s="65"/>
      <c r="L29" s="65"/>
      <c r="M29" s="65"/>
      <c r="N29" s="65"/>
      <c r="O29" s="65"/>
      <c r="P29" s="65"/>
      <c r="Q29" s="65"/>
      <c r="R29" s="65"/>
    </row>
    <row r="30" spans="3:43">
      <c r="C30" t="s">
        <v>260</v>
      </c>
      <c r="D30" s="82">
        <f>D14*2</f>
        <v>32.734519999999989</v>
      </c>
    </row>
    <row r="31" spans="3:43">
      <c r="C31" t="s">
        <v>261</v>
      </c>
      <c r="D31" s="82">
        <f>D16*2</f>
        <v>62.79000000000002</v>
      </c>
    </row>
  </sheetData>
  <phoneticPr fontId="19" type="noConversion"/>
  <pageMargins left="0.70866141732283472" right="0.70866141732283472" top="0.74803149606299213" bottom="0.74803149606299213" header="0.31496062992125984" footer="0.31496062992125984"/>
  <pageSetup paperSize="9" scale="30"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AR172"/>
  <sheetViews>
    <sheetView topLeftCell="A9" zoomScale="75" zoomScaleNormal="75" workbookViewId="0">
      <selection activeCell="F33" sqref="F33:O33"/>
    </sheetView>
  </sheetViews>
  <sheetFormatPr defaultRowHeight="15"/>
  <cols>
    <col min="1" max="1" width="2.85546875" customWidth="1"/>
    <col min="2" max="2" width="9.42578125" customWidth="1"/>
    <col min="3" max="3" width="25.5703125" customWidth="1"/>
    <col min="4" max="4" width="11.28515625" customWidth="1"/>
    <col min="5" max="5" width="14.42578125" bestFit="1" customWidth="1"/>
  </cols>
  <sheetData>
    <row r="1" spans="2:43" ht="18.75">
      <c r="B1" s="280" t="s">
        <v>60</v>
      </c>
    </row>
    <row r="2" spans="2:43" ht="18.75">
      <c r="B2" s="280" t="s">
        <v>347</v>
      </c>
    </row>
    <row r="3" spans="2:43" ht="18.75">
      <c r="B3" s="280" t="s">
        <v>298</v>
      </c>
    </row>
    <row r="4" spans="2:43">
      <c r="B4" s="458"/>
    </row>
    <row r="5" spans="2:43">
      <c r="I5" s="39"/>
    </row>
    <row r="6" spans="2:43" ht="15.75" thickBot="1">
      <c r="B6" s="521" t="str">
        <f>'[2]D1-D5 hub Benefit Summary'!B8</f>
        <v>D1</v>
      </c>
      <c r="C6" s="458" t="s">
        <v>145</v>
      </c>
      <c r="I6" s="39"/>
    </row>
    <row r="7" spans="2:43">
      <c r="F7" s="4" t="s">
        <v>155</v>
      </c>
      <c r="G7" s="5"/>
      <c r="H7" s="6"/>
      <c r="I7" s="4"/>
      <c r="J7" s="5"/>
      <c r="K7" s="5"/>
      <c r="L7" s="5"/>
      <c r="M7" s="5"/>
      <c r="N7" s="5"/>
      <c r="O7" s="6"/>
    </row>
    <row r="8" spans="2:43" ht="15.75" thickBot="1">
      <c r="F8" s="70">
        <v>0.5</v>
      </c>
      <c r="G8" s="12" t="s">
        <v>183</v>
      </c>
      <c r="H8" s="51"/>
      <c r="I8" s="71">
        <v>0.02</v>
      </c>
      <c r="J8" s="12" t="s">
        <v>184</v>
      </c>
      <c r="K8" s="12"/>
      <c r="L8" s="12"/>
      <c r="M8" s="12"/>
      <c r="N8" s="12"/>
      <c r="O8" s="51"/>
    </row>
    <row r="9" spans="2:43">
      <c r="F9" s="65"/>
      <c r="G9" s="65"/>
      <c r="H9" s="65"/>
      <c r="I9" s="119"/>
      <c r="J9" s="8"/>
      <c r="K9" s="8"/>
      <c r="L9" s="8"/>
      <c r="M9" s="8"/>
      <c r="N9" s="8"/>
      <c r="O9" s="8"/>
    </row>
    <row r="10" spans="2:43" s="39" customFormat="1">
      <c r="F10" s="522" t="s">
        <v>6</v>
      </c>
      <c r="G10" s="522" t="s">
        <v>7</v>
      </c>
      <c r="H10" s="522" t="s">
        <v>8</v>
      </c>
      <c r="I10" s="522" t="s">
        <v>9</v>
      </c>
      <c r="J10" s="522" t="s">
        <v>10</v>
      </c>
      <c r="K10" s="522" t="s">
        <v>11</v>
      </c>
      <c r="L10" s="522" t="s">
        <v>13</v>
      </c>
      <c r="M10" s="522" t="s">
        <v>14</v>
      </c>
      <c r="N10" s="522" t="s">
        <v>15</v>
      </c>
      <c r="O10" s="522" t="s">
        <v>16</v>
      </c>
      <c r="P10" s="522" t="s">
        <v>17</v>
      </c>
      <c r="Q10" s="522" t="s">
        <v>18</v>
      </c>
      <c r="R10" s="522" t="s">
        <v>19</v>
      </c>
      <c r="S10" s="522" t="s">
        <v>20</v>
      </c>
      <c r="T10" s="522" t="s">
        <v>21</v>
      </c>
      <c r="U10" s="522" t="s">
        <v>22</v>
      </c>
      <c r="V10" s="522" t="s">
        <v>23</v>
      </c>
      <c r="W10" s="522" t="s">
        <v>24</v>
      </c>
      <c r="X10" s="522" t="s">
        <v>25</v>
      </c>
      <c r="Y10" s="522" t="s">
        <v>26</v>
      </c>
      <c r="Z10" s="522" t="s">
        <v>27</v>
      </c>
      <c r="AA10" s="522" t="s">
        <v>28</v>
      </c>
      <c r="AB10" s="522" t="s">
        <v>29</v>
      </c>
      <c r="AC10" s="522" t="s">
        <v>46</v>
      </c>
      <c r="AD10" s="522" t="s">
        <v>47</v>
      </c>
      <c r="AE10" s="522" t="s">
        <v>48</v>
      </c>
      <c r="AF10" s="522" t="s">
        <v>49</v>
      </c>
      <c r="AG10" s="522" t="s">
        <v>50</v>
      </c>
      <c r="AH10" s="522" t="s">
        <v>51</v>
      </c>
      <c r="AI10" s="522" t="s">
        <v>52</v>
      </c>
      <c r="AJ10" s="522" t="s">
        <v>53</v>
      </c>
      <c r="AK10" s="522" t="s">
        <v>54</v>
      </c>
      <c r="AL10" s="522" t="s">
        <v>55</v>
      </c>
      <c r="AM10" s="522" t="s">
        <v>56</v>
      </c>
      <c r="AN10" s="522" t="s">
        <v>57</v>
      </c>
      <c r="AO10" s="522" t="s">
        <v>279</v>
      </c>
      <c r="AP10" s="522" t="s">
        <v>280</v>
      </c>
    </row>
    <row r="11" spans="2:43">
      <c r="D11" s="458" t="s">
        <v>200</v>
      </c>
    </row>
    <row r="12" spans="2:43">
      <c r="E12" s="523" t="s">
        <v>153</v>
      </c>
      <c r="F12" s="458">
        <f t="shared" ref="F12:AP12" si="0">F$37</f>
        <v>1</v>
      </c>
      <c r="G12" s="458">
        <f t="shared" si="0"/>
        <v>2</v>
      </c>
      <c r="H12" s="458">
        <f t="shared" si="0"/>
        <v>3</v>
      </c>
      <c r="I12" s="458">
        <f t="shared" si="0"/>
        <v>4</v>
      </c>
      <c r="J12" s="458">
        <f t="shared" si="0"/>
        <v>5</v>
      </c>
      <c r="K12" s="458">
        <f t="shared" si="0"/>
        <v>6</v>
      </c>
      <c r="L12" s="458">
        <f t="shared" si="0"/>
        <v>7</v>
      </c>
      <c r="M12" s="458">
        <f t="shared" si="0"/>
        <v>8</v>
      </c>
      <c r="N12" s="458">
        <f t="shared" si="0"/>
        <v>9</v>
      </c>
      <c r="O12" s="458">
        <f t="shared" si="0"/>
        <v>10</v>
      </c>
      <c r="P12" s="458">
        <f t="shared" si="0"/>
        <v>11</v>
      </c>
      <c r="Q12" s="458">
        <f t="shared" si="0"/>
        <v>12</v>
      </c>
      <c r="R12" s="458">
        <f t="shared" si="0"/>
        <v>13</v>
      </c>
      <c r="S12" s="458">
        <f t="shared" si="0"/>
        <v>14</v>
      </c>
      <c r="T12" s="458">
        <f t="shared" si="0"/>
        <v>15</v>
      </c>
      <c r="U12" s="458">
        <f t="shared" si="0"/>
        <v>16</v>
      </c>
      <c r="V12" s="458">
        <f t="shared" si="0"/>
        <v>17</v>
      </c>
      <c r="W12" s="458">
        <f t="shared" si="0"/>
        <v>18</v>
      </c>
      <c r="X12" s="458">
        <f t="shared" si="0"/>
        <v>19</v>
      </c>
      <c r="Y12" s="458">
        <f t="shared" si="0"/>
        <v>20</v>
      </c>
      <c r="Z12" s="458">
        <f t="shared" si="0"/>
        <v>21</v>
      </c>
      <c r="AA12" s="458">
        <f t="shared" si="0"/>
        <v>22</v>
      </c>
      <c r="AB12" s="458">
        <f t="shared" si="0"/>
        <v>23</v>
      </c>
      <c r="AC12" s="458">
        <f t="shared" si="0"/>
        <v>24</v>
      </c>
      <c r="AD12" s="458">
        <f t="shared" si="0"/>
        <v>25</v>
      </c>
      <c r="AE12" s="458">
        <f t="shared" si="0"/>
        <v>26</v>
      </c>
      <c r="AF12" s="458">
        <f t="shared" si="0"/>
        <v>27</v>
      </c>
      <c r="AG12" s="458">
        <f t="shared" si="0"/>
        <v>28</v>
      </c>
      <c r="AH12" s="458">
        <f t="shared" si="0"/>
        <v>29</v>
      </c>
      <c r="AI12" s="458">
        <f t="shared" si="0"/>
        <v>30</v>
      </c>
      <c r="AJ12" s="458">
        <f t="shared" si="0"/>
        <v>31</v>
      </c>
      <c r="AK12" s="458">
        <f t="shared" si="0"/>
        <v>32</v>
      </c>
      <c r="AL12" s="458">
        <f t="shared" si="0"/>
        <v>33</v>
      </c>
      <c r="AM12" s="458">
        <f t="shared" si="0"/>
        <v>34</v>
      </c>
      <c r="AN12" s="458">
        <f t="shared" si="0"/>
        <v>35</v>
      </c>
      <c r="AO12" s="458">
        <f t="shared" si="0"/>
        <v>36</v>
      </c>
      <c r="AP12" s="458">
        <f t="shared" si="0"/>
        <v>37</v>
      </c>
      <c r="AQ12" s="521" t="s">
        <v>151</v>
      </c>
    </row>
    <row r="13" spans="2:43">
      <c r="D13" s="458" t="s">
        <v>143</v>
      </c>
      <c r="E13" t="s">
        <v>136</v>
      </c>
      <c r="F13" s="101">
        <v>19.399999999999999</v>
      </c>
      <c r="G13" s="101">
        <v>0</v>
      </c>
      <c r="H13" s="101">
        <v>11.412500000000001</v>
      </c>
      <c r="I13" s="101">
        <v>11.412500000000001</v>
      </c>
      <c r="J13" s="101">
        <v>11.412500000000001</v>
      </c>
      <c r="K13" s="101">
        <v>11.412500000000001</v>
      </c>
      <c r="L13" s="101">
        <v>11.412500000000001</v>
      </c>
      <c r="M13" s="101">
        <v>11.412500000000001</v>
      </c>
      <c r="N13" s="101">
        <v>11.412500000000001</v>
      </c>
      <c r="O13" s="101">
        <v>11.412500000000001</v>
      </c>
      <c r="P13" s="101">
        <v>0</v>
      </c>
      <c r="Q13" s="101">
        <v>0</v>
      </c>
      <c r="R13" s="101">
        <v>0</v>
      </c>
      <c r="S13" s="101">
        <v>0</v>
      </c>
      <c r="T13" s="101">
        <v>0</v>
      </c>
      <c r="U13" s="101">
        <v>0</v>
      </c>
      <c r="V13" s="101">
        <v>0</v>
      </c>
      <c r="W13" s="101">
        <v>0</v>
      </c>
      <c r="X13" s="101">
        <v>0</v>
      </c>
      <c r="Y13" s="101">
        <v>0</v>
      </c>
      <c r="Z13" s="101">
        <v>0</v>
      </c>
      <c r="AA13" s="101">
        <v>0</v>
      </c>
      <c r="AB13" s="101">
        <v>0</v>
      </c>
      <c r="AC13" s="101">
        <v>0</v>
      </c>
      <c r="AD13" s="101">
        <v>0</v>
      </c>
      <c r="AE13" s="101">
        <v>0</v>
      </c>
      <c r="AF13" s="101">
        <v>0</v>
      </c>
      <c r="AG13" s="101">
        <v>0</v>
      </c>
      <c r="AH13" s="101">
        <v>0</v>
      </c>
      <c r="AI13" s="101">
        <v>0</v>
      </c>
      <c r="AJ13" s="101">
        <v>0</v>
      </c>
      <c r="AK13" s="101">
        <v>0</v>
      </c>
      <c r="AL13" s="101">
        <v>0</v>
      </c>
      <c r="AM13" s="101">
        <v>0</v>
      </c>
      <c r="AN13" s="101">
        <v>0</v>
      </c>
      <c r="AO13" s="101">
        <v>0</v>
      </c>
      <c r="AP13" s="101">
        <v>0</v>
      </c>
    </row>
    <row r="14" spans="2:43">
      <c r="E14" t="s">
        <v>135</v>
      </c>
      <c r="F14" s="101">
        <v>16.5</v>
      </c>
      <c r="G14" s="101">
        <v>36</v>
      </c>
      <c r="H14" s="101">
        <v>26.4</v>
      </c>
      <c r="I14" s="101">
        <v>26.4</v>
      </c>
      <c r="J14" s="101">
        <v>26.4</v>
      </c>
      <c r="K14" s="101">
        <v>26.4</v>
      </c>
      <c r="L14" s="101">
        <v>26.4</v>
      </c>
      <c r="M14" s="101">
        <v>26.4</v>
      </c>
      <c r="N14" s="101">
        <v>26.4</v>
      </c>
      <c r="O14" s="101">
        <v>26.4</v>
      </c>
      <c r="P14" s="101">
        <v>0</v>
      </c>
      <c r="Q14" s="101">
        <v>0</v>
      </c>
      <c r="R14" s="101">
        <v>0</v>
      </c>
      <c r="S14" s="101">
        <v>0</v>
      </c>
      <c r="T14" s="101">
        <v>0</v>
      </c>
      <c r="U14" s="101">
        <v>0</v>
      </c>
      <c r="V14" s="101">
        <v>0</v>
      </c>
      <c r="W14" s="101">
        <v>0</v>
      </c>
      <c r="X14" s="101">
        <v>0</v>
      </c>
      <c r="Y14" s="101">
        <v>0</v>
      </c>
      <c r="Z14" s="101">
        <v>0</v>
      </c>
      <c r="AA14" s="101">
        <v>0</v>
      </c>
      <c r="AB14" s="101">
        <v>0</v>
      </c>
      <c r="AC14" s="101">
        <v>0</v>
      </c>
      <c r="AD14" s="101">
        <v>0</v>
      </c>
      <c r="AE14" s="101">
        <v>0</v>
      </c>
      <c r="AF14" s="101">
        <v>0</v>
      </c>
      <c r="AG14" s="101">
        <v>0</v>
      </c>
      <c r="AH14" s="101">
        <v>0</v>
      </c>
      <c r="AI14" s="101">
        <v>0</v>
      </c>
      <c r="AJ14" s="101">
        <v>0</v>
      </c>
      <c r="AK14" s="101">
        <v>0</v>
      </c>
      <c r="AL14" s="101">
        <v>0</v>
      </c>
      <c r="AM14" s="101">
        <v>0</v>
      </c>
      <c r="AN14" s="101">
        <v>0</v>
      </c>
      <c r="AO14" s="101">
        <v>0</v>
      </c>
      <c r="AP14" s="101">
        <v>0</v>
      </c>
    </row>
    <row r="15" spans="2:43">
      <c r="E15" s="458" t="s">
        <v>130</v>
      </c>
      <c r="F15" s="99">
        <f t="shared" ref="F15:AP15" si="1">SUM(F13:F14)</f>
        <v>35.9</v>
      </c>
      <c r="G15" s="99">
        <f t="shared" si="1"/>
        <v>36</v>
      </c>
      <c r="H15" s="99">
        <f t="shared" si="1"/>
        <v>37.8125</v>
      </c>
      <c r="I15" s="99">
        <f t="shared" si="1"/>
        <v>37.8125</v>
      </c>
      <c r="J15" s="99">
        <f t="shared" si="1"/>
        <v>37.8125</v>
      </c>
      <c r="K15" s="99">
        <f t="shared" si="1"/>
        <v>37.8125</v>
      </c>
      <c r="L15" s="99">
        <f t="shared" si="1"/>
        <v>37.8125</v>
      </c>
      <c r="M15" s="99">
        <f t="shared" si="1"/>
        <v>37.8125</v>
      </c>
      <c r="N15" s="99">
        <f t="shared" si="1"/>
        <v>37.8125</v>
      </c>
      <c r="O15" s="99">
        <f t="shared" si="1"/>
        <v>37.8125</v>
      </c>
      <c r="P15" s="99">
        <f t="shared" si="1"/>
        <v>0</v>
      </c>
      <c r="Q15" s="99">
        <f t="shared" si="1"/>
        <v>0</v>
      </c>
      <c r="R15" s="99">
        <f t="shared" si="1"/>
        <v>0</v>
      </c>
      <c r="S15" s="99">
        <f t="shared" si="1"/>
        <v>0</v>
      </c>
      <c r="T15" s="99">
        <f t="shared" si="1"/>
        <v>0</v>
      </c>
      <c r="U15" s="99">
        <f t="shared" si="1"/>
        <v>0</v>
      </c>
      <c r="V15" s="99">
        <f t="shared" si="1"/>
        <v>0</v>
      </c>
      <c r="W15" s="99">
        <f t="shared" si="1"/>
        <v>0</v>
      </c>
      <c r="X15" s="99">
        <f t="shared" si="1"/>
        <v>0</v>
      </c>
      <c r="Y15" s="99">
        <f t="shared" si="1"/>
        <v>0</v>
      </c>
      <c r="Z15" s="99">
        <f t="shared" si="1"/>
        <v>0</v>
      </c>
      <c r="AA15" s="99">
        <f t="shared" si="1"/>
        <v>0</v>
      </c>
      <c r="AB15" s="99">
        <f t="shared" si="1"/>
        <v>0</v>
      </c>
      <c r="AC15" s="99">
        <f t="shared" si="1"/>
        <v>0</v>
      </c>
      <c r="AD15" s="99">
        <f t="shared" si="1"/>
        <v>0</v>
      </c>
      <c r="AE15" s="99">
        <f t="shared" si="1"/>
        <v>0</v>
      </c>
      <c r="AF15" s="99">
        <f t="shared" si="1"/>
        <v>0</v>
      </c>
      <c r="AG15" s="99">
        <f t="shared" si="1"/>
        <v>0</v>
      </c>
      <c r="AH15" s="99">
        <f t="shared" si="1"/>
        <v>0</v>
      </c>
      <c r="AI15" s="99">
        <f t="shared" si="1"/>
        <v>0</v>
      </c>
      <c r="AJ15" s="99">
        <f t="shared" si="1"/>
        <v>0</v>
      </c>
      <c r="AK15" s="99">
        <f t="shared" si="1"/>
        <v>0</v>
      </c>
      <c r="AL15" s="99">
        <f t="shared" si="1"/>
        <v>0</v>
      </c>
      <c r="AM15" s="99">
        <f t="shared" si="1"/>
        <v>0</v>
      </c>
      <c r="AN15" s="99">
        <f t="shared" si="1"/>
        <v>0</v>
      </c>
      <c r="AO15" s="99">
        <f t="shared" si="1"/>
        <v>0</v>
      </c>
      <c r="AP15" s="99">
        <f t="shared" si="1"/>
        <v>0</v>
      </c>
      <c r="AQ15" s="115">
        <f>SUM(F15:AP15)</f>
        <v>374.4</v>
      </c>
    </row>
    <row r="16" spans="2:43">
      <c r="D16" s="458" t="s">
        <v>142</v>
      </c>
      <c r="E16" t="s">
        <v>136</v>
      </c>
      <c r="F16" s="101">
        <v>34.200000000000003</v>
      </c>
      <c r="G16" s="101">
        <v>41.5</v>
      </c>
      <c r="H16" s="101">
        <v>19.975000000000001</v>
      </c>
      <c r="I16" s="101">
        <v>19.975000000000001</v>
      </c>
      <c r="J16" s="101">
        <v>19.975000000000001</v>
      </c>
      <c r="K16" s="101">
        <v>19.975000000000001</v>
      </c>
      <c r="L16" s="101">
        <v>19.975000000000001</v>
      </c>
      <c r="M16" s="101">
        <v>19.975000000000001</v>
      </c>
      <c r="N16" s="101">
        <v>19.975000000000001</v>
      </c>
      <c r="O16" s="101">
        <v>19.975000000000001</v>
      </c>
      <c r="P16" s="101">
        <v>0</v>
      </c>
      <c r="Q16" s="101">
        <v>0</v>
      </c>
      <c r="R16" s="101">
        <v>0</v>
      </c>
      <c r="S16" s="101">
        <v>0</v>
      </c>
      <c r="T16" s="101">
        <v>0</v>
      </c>
      <c r="U16" s="101">
        <v>0</v>
      </c>
      <c r="V16" s="101">
        <v>0</v>
      </c>
      <c r="W16" s="101">
        <v>0</v>
      </c>
      <c r="X16" s="101">
        <v>0</v>
      </c>
      <c r="Y16" s="101">
        <v>0</v>
      </c>
      <c r="Z16" s="101">
        <v>0</v>
      </c>
      <c r="AA16" s="101">
        <v>0</v>
      </c>
      <c r="AB16" s="101">
        <v>0</v>
      </c>
      <c r="AC16" s="101">
        <v>0</v>
      </c>
      <c r="AD16" s="101">
        <v>0</v>
      </c>
      <c r="AE16" s="101">
        <v>0</v>
      </c>
      <c r="AF16" s="101">
        <v>0</v>
      </c>
      <c r="AG16" s="101">
        <v>0</v>
      </c>
      <c r="AH16" s="101">
        <v>0</v>
      </c>
      <c r="AI16" s="101">
        <v>0</v>
      </c>
      <c r="AJ16" s="101">
        <v>0</v>
      </c>
      <c r="AK16" s="101">
        <v>0</v>
      </c>
      <c r="AL16" s="101">
        <v>0</v>
      </c>
      <c r="AM16" s="101">
        <v>0</v>
      </c>
      <c r="AN16" s="101">
        <v>0</v>
      </c>
      <c r="AO16" s="101">
        <v>0</v>
      </c>
      <c r="AP16" s="101">
        <v>0</v>
      </c>
    </row>
    <row r="17" spans="4:43">
      <c r="E17" t="s">
        <v>135</v>
      </c>
      <c r="F17" s="101">
        <v>67</v>
      </c>
      <c r="G17" s="101">
        <v>57.7</v>
      </c>
      <c r="H17" s="101">
        <v>18.900000000000006</v>
      </c>
      <c r="I17" s="101">
        <v>18.900000000000006</v>
      </c>
      <c r="J17" s="101">
        <v>18.900000000000006</v>
      </c>
      <c r="K17" s="101">
        <v>18.900000000000006</v>
      </c>
      <c r="L17" s="101">
        <v>18.900000000000006</v>
      </c>
      <c r="M17" s="101">
        <v>18.900000000000006</v>
      </c>
      <c r="N17" s="101">
        <v>18.900000000000006</v>
      </c>
      <c r="O17" s="101">
        <v>18.900000000000006</v>
      </c>
      <c r="P17" s="101">
        <v>0</v>
      </c>
      <c r="Q17" s="101">
        <v>0</v>
      </c>
      <c r="R17" s="101">
        <v>0</v>
      </c>
      <c r="S17" s="101">
        <v>0</v>
      </c>
      <c r="T17" s="101">
        <v>0</v>
      </c>
      <c r="U17" s="101">
        <v>0</v>
      </c>
      <c r="V17" s="101">
        <v>0</v>
      </c>
      <c r="W17" s="101">
        <v>0</v>
      </c>
      <c r="X17" s="101">
        <v>0</v>
      </c>
      <c r="Y17" s="101">
        <v>0</v>
      </c>
      <c r="Z17" s="101">
        <v>0</v>
      </c>
      <c r="AA17" s="101">
        <v>0</v>
      </c>
      <c r="AB17" s="101">
        <v>0</v>
      </c>
      <c r="AC17" s="101">
        <v>0</v>
      </c>
      <c r="AD17" s="101">
        <v>0</v>
      </c>
      <c r="AE17" s="101">
        <v>0</v>
      </c>
      <c r="AF17" s="101">
        <v>0</v>
      </c>
      <c r="AG17" s="101">
        <v>0</v>
      </c>
      <c r="AH17" s="101">
        <v>0</v>
      </c>
      <c r="AI17" s="101">
        <v>0</v>
      </c>
      <c r="AJ17" s="101">
        <v>0</v>
      </c>
      <c r="AK17" s="101">
        <v>0</v>
      </c>
      <c r="AL17" s="101">
        <v>0</v>
      </c>
      <c r="AM17" s="101">
        <v>0</v>
      </c>
      <c r="AN17" s="101">
        <v>0</v>
      </c>
      <c r="AO17" s="101">
        <v>0</v>
      </c>
      <c r="AP17" s="101">
        <v>0</v>
      </c>
    </row>
    <row r="18" spans="4:43">
      <c r="E18" s="458" t="s">
        <v>130</v>
      </c>
      <c r="F18" s="99">
        <f t="shared" ref="F18:AP18" si="2">SUM(F16:F17)</f>
        <v>101.2</v>
      </c>
      <c r="G18" s="99">
        <f t="shared" si="2"/>
        <v>99.2</v>
      </c>
      <c r="H18" s="99">
        <f t="shared" si="2"/>
        <v>38.875000000000007</v>
      </c>
      <c r="I18" s="99">
        <f t="shared" si="2"/>
        <v>38.875000000000007</v>
      </c>
      <c r="J18" s="99">
        <f t="shared" si="2"/>
        <v>38.875000000000007</v>
      </c>
      <c r="K18" s="99">
        <f t="shared" si="2"/>
        <v>38.875000000000007</v>
      </c>
      <c r="L18" s="99">
        <f t="shared" si="2"/>
        <v>38.875000000000007</v>
      </c>
      <c r="M18" s="99">
        <f t="shared" si="2"/>
        <v>38.875000000000007</v>
      </c>
      <c r="N18" s="99">
        <f t="shared" si="2"/>
        <v>38.875000000000007</v>
      </c>
      <c r="O18" s="99">
        <f t="shared" si="2"/>
        <v>38.875000000000007</v>
      </c>
      <c r="P18" s="99">
        <f t="shared" si="2"/>
        <v>0</v>
      </c>
      <c r="Q18" s="99">
        <f t="shared" si="2"/>
        <v>0</v>
      </c>
      <c r="R18" s="99">
        <f t="shared" si="2"/>
        <v>0</v>
      </c>
      <c r="S18" s="99">
        <f t="shared" si="2"/>
        <v>0</v>
      </c>
      <c r="T18" s="99">
        <f t="shared" si="2"/>
        <v>0</v>
      </c>
      <c r="U18" s="99">
        <f t="shared" si="2"/>
        <v>0</v>
      </c>
      <c r="V18" s="99">
        <f t="shared" si="2"/>
        <v>0</v>
      </c>
      <c r="W18" s="99">
        <f t="shared" si="2"/>
        <v>0</v>
      </c>
      <c r="X18" s="99">
        <f t="shared" si="2"/>
        <v>0</v>
      </c>
      <c r="Y18" s="99">
        <f t="shared" si="2"/>
        <v>0</v>
      </c>
      <c r="Z18" s="99">
        <f t="shared" si="2"/>
        <v>0</v>
      </c>
      <c r="AA18" s="99">
        <f t="shared" si="2"/>
        <v>0</v>
      </c>
      <c r="AB18" s="99">
        <f t="shared" si="2"/>
        <v>0</v>
      </c>
      <c r="AC18" s="99">
        <f t="shared" si="2"/>
        <v>0</v>
      </c>
      <c r="AD18" s="99">
        <f t="shared" si="2"/>
        <v>0</v>
      </c>
      <c r="AE18" s="99">
        <f t="shared" si="2"/>
        <v>0</v>
      </c>
      <c r="AF18" s="99">
        <f t="shared" si="2"/>
        <v>0</v>
      </c>
      <c r="AG18" s="99">
        <f t="shared" si="2"/>
        <v>0</v>
      </c>
      <c r="AH18" s="99">
        <f t="shared" si="2"/>
        <v>0</v>
      </c>
      <c r="AI18" s="99">
        <f t="shared" si="2"/>
        <v>0</v>
      </c>
      <c r="AJ18" s="99">
        <f t="shared" si="2"/>
        <v>0</v>
      </c>
      <c r="AK18" s="99">
        <f t="shared" si="2"/>
        <v>0</v>
      </c>
      <c r="AL18" s="99">
        <f t="shared" si="2"/>
        <v>0</v>
      </c>
      <c r="AM18" s="99">
        <f t="shared" si="2"/>
        <v>0</v>
      </c>
      <c r="AN18" s="99">
        <f t="shared" si="2"/>
        <v>0</v>
      </c>
      <c r="AO18" s="99">
        <f t="shared" si="2"/>
        <v>0</v>
      </c>
      <c r="AP18" s="99">
        <f t="shared" si="2"/>
        <v>0</v>
      </c>
      <c r="AQ18" s="115">
        <f>SUM(F18:AP18)</f>
        <v>511.40000000000003</v>
      </c>
    </row>
    <row r="19" spans="4:43">
      <c r="D19" s="458" t="s">
        <v>141</v>
      </c>
      <c r="E19" t="s">
        <v>136</v>
      </c>
      <c r="F19" s="101">
        <v>12.4</v>
      </c>
      <c r="G19" s="101">
        <v>33</v>
      </c>
      <c r="H19" s="101">
        <v>7.3624999999999989</v>
      </c>
      <c r="I19" s="101">
        <v>7.3624999999999989</v>
      </c>
      <c r="J19" s="101">
        <v>7.3624999999999989</v>
      </c>
      <c r="K19" s="101">
        <v>7.3624999999999989</v>
      </c>
      <c r="L19" s="101">
        <v>7.3624999999999989</v>
      </c>
      <c r="M19" s="101">
        <v>7.3624999999999989</v>
      </c>
      <c r="N19" s="101">
        <v>7.3624999999999989</v>
      </c>
      <c r="O19" s="101">
        <v>7.3624999999999989</v>
      </c>
      <c r="P19" s="101"/>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row>
    <row r="20" spans="4:43">
      <c r="E20" t="s">
        <v>135</v>
      </c>
      <c r="F20" s="101">
        <v>0</v>
      </c>
      <c r="G20" s="101">
        <v>13.9</v>
      </c>
      <c r="H20" s="101">
        <v>12.224999999999998</v>
      </c>
      <c r="I20" s="101">
        <v>12.224999999999998</v>
      </c>
      <c r="J20" s="101">
        <v>12.224999999999998</v>
      </c>
      <c r="K20" s="101">
        <v>12.224999999999998</v>
      </c>
      <c r="L20" s="101">
        <v>12.224999999999998</v>
      </c>
      <c r="M20" s="101">
        <v>12.224999999999998</v>
      </c>
      <c r="N20" s="101">
        <v>12.224999999999998</v>
      </c>
      <c r="O20" s="101">
        <v>12.224999999999998</v>
      </c>
      <c r="P20" s="101"/>
      <c r="Q20" s="101">
        <v>0</v>
      </c>
      <c r="R20" s="101">
        <v>0</v>
      </c>
      <c r="S20" s="101">
        <v>0</v>
      </c>
      <c r="T20" s="101">
        <v>0</v>
      </c>
      <c r="U20" s="101">
        <v>0</v>
      </c>
      <c r="V20" s="101">
        <v>0</v>
      </c>
      <c r="W20" s="101">
        <v>0</v>
      </c>
      <c r="X20" s="101">
        <v>0</v>
      </c>
      <c r="Y20" s="101">
        <v>0</v>
      </c>
      <c r="Z20" s="101">
        <v>0</v>
      </c>
      <c r="AA20" s="101">
        <v>0</v>
      </c>
      <c r="AB20" s="101">
        <v>0</v>
      </c>
      <c r="AC20" s="101">
        <v>0</v>
      </c>
      <c r="AD20" s="101">
        <v>0</v>
      </c>
      <c r="AE20" s="101">
        <v>0</v>
      </c>
      <c r="AF20" s="101">
        <v>0</v>
      </c>
      <c r="AG20" s="101">
        <v>0</v>
      </c>
      <c r="AH20" s="101">
        <v>0</v>
      </c>
      <c r="AI20" s="101">
        <v>0</v>
      </c>
      <c r="AJ20" s="101">
        <v>0</v>
      </c>
      <c r="AK20" s="101">
        <v>0</v>
      </c>
      <c r="AL20" s="101">
        <v>0</v>
      </c>
      <c r="AM20" s="101">
        <v>0</v>
      </c>
      <c r="AN20" s="101">
        <v>0</v>
      </c>
      <c r="AO20" s="101">
        <v>0</v>
      </c>
      <c r="AP20" s="101">
        <v>0</v>
      </c>
    </row>
    <row r="21" spans="4:43">
      <c r="E21" s="458" t="s">
        <v>130</v>
      </c>
      <c r="F21" s="99">
        <f t="shared" ref="F21:AP21" si="3">SUM(F19:F20)</f>
        <v>12.4</v>
      </c>
      <c r="G21" s="99">
        <f t="shared" si="3"/>
        <v>46.9</v>
      </c>
      <c r="H21" s="99">
        <f t="shared" si="3"/>
        <v>19.587499999999999</v>
      </c>
      <c r="I21" s="99">
        <f t="shared" si="3"/>
        <v>19.587499999999999</v>
      </c>
      <c r="J21" s="99">
        <f t="shared" si="3"/>
        <v>19.587499999999999</v>
      </c>
      <c r="K21" s="99">
        <f t="shared" si="3"/>
        <v>19.587499999999999</v>
      </c>
      <c r="L21" s="99">
        <f t="shared" si="3"/>
        <v>19.587499999999999</v>
      </c>
      <c r="M21" s="99">
        <f t="shared" si="3"/>
        <v>19.587499999999999</v>
      </c>
      <c r="N21" s="99">
        <f t="shared" si="3"/>
        <v>19.587499999999999</v>
      </c>
      <c r="O21" s="99">
        <f t="shared" si="3"/>
        <v>19.587499999999999</v>
      </c>
      <c r="P21" s="99">
        <f t="shared" si="3"/>
        <v>0</v>
      </c>
      <c r="Q21" s="99">
        <f t="shared" si="3"/>
        <v>0</v>
      </c>
      <c r="R21" s="99">
        <f t="shared" si="3"/>
        <v>0</v>
      </c>
      <c r="S21" s="99">
        <f t="shared" si="3"/>
        <v>0</v>
      </c>
      <c r="T21" s="99">
        <f t="shared" si="3"/>
        <v>0</v>
      </c>
      <c r="U21" s="99">
        <f t="shared" si="3"/>
        <v>0</v>
      </c>
      <c r="V21" s="99">
        <f t="shared" si="3"/>
        <v>0</v>
      </c>
      <c r="W21" s="99">
        <f t="shared" si="3"/>
        <v>0</v>
      </c>
      <c r="X21" s="99">
        <f t="shared" si="3"/>
        <v>0</v>
      </c>
      <c r="Y21" s="99">
        <f t="shared" si="3"/>
        <v>0</v>
      </c>
      <c r="Z21" s="99">
        <f t="shared" si="3"/>
        <v>0</v>
      </c>
      <c r="AA21" s="99">
        <f t="shared" si="3"/>
        <v>0</v>
      </c>
      <c r="AB21" s="99">
        <f t="shared" si="3"/>
        <v>0</v>
      </c>
      <c r="AC21" s="99">
        <f t="shared" si="3"/>
        <v>0</v>
      </c>
      <c r="AD21" s="99">
        <f t="shared" si="3"/>
        <v>0</v>
      </c>
      <c r="AE21" s="99">
        <f t="shared" si="3"/>
        <v>0</v>
      </c>
      <c r="AF21" s="99">
        <f t="shared" si="3"/>
        <v>0</v>
      </c>
      <c r="AG21" s="99">
        <f t="shared" si="3"/>
        <v>0</v>
      </c>
      <c r="AH21" s="99">
        <f t="shared" si="3"/>
        <v>0</v>
      </c>
      <c r="AI21" s="99">
        <f t="shared" si="3"/>
        <v>0</v>
      </c>
      <c r="AJ21" s="99">
        <f t="shared" si="3"/>
        <v>0</v>
      </c>
      <c r="AK21" s="99">
        <f t="shared" si="3"/>
        <v>0</v>
      </c>
      <c r="AL21" s="99">
        <f t="shared" si="3"/>
        <v>0</v>
      </c>
      <c r="AM21" s="99">
        <f t="shared" si="3"/>
        <v>0</v>
      </c>
      <c r="AN21" s="99">
        <f t="shared" si="3"/>
        <v>0</v>
      </c>
      <c r="AO21" s="99">
        <f t="shared" si="3"/>
        <v>0</v>
      </c>
      <c r="AP21" s="99">
        <f t="shared" si="3"/>
        <v>0</v>
      </c>
      <c r="AQ21" s="115">
        <f>SUM(F21:AP21)</f>
        <v>216.00000000000003</v>
      </c>
    </row>
    <row r="22" spans="4:43">
      <c r="D22" s="458" t="s">
        <v>140</v>
      </c>
      <c r="E22" t="s">
        <v>136</v>
      </c>
      <c r="F22" s="101">
        <v>0</v>
      </c>
      <c r="G22" s="101">
        <v>3.3</v>
      </c>
      <c r="H22" s="101">
        <v>11.0875</v>
      </c>
      <c r="I22" s="101">
        <v>11.0875</v>
      </c>
      <c r="J22" s="101">
        <v>11.0875</v>
      </c>
      <c r="K22" s="101">
        <v>11.0875</v>
      </c>
      <c r="L22" s="101">
        <v>11.0875</v>
      </c>
      <c r="M22" s="101">
        <v>11.0875</v>
      </c>
      <c r="N22" s="101">
        <v>11.0875</v>
      </c>
      <c r="O22" s="101">
        <v>11.0875</v>
      </c>
      <c r="P22" s="101"/>
      <c r="Q22" s="101">
        <v>0</v>
      </c>
      <c r="R22" s="101">
        <v>0</v>
      </c>
      <c r="S22" s="101">
        <v>0</v>
      </c>
      <c r="T22" s="101">
        <v>0</v>
      </c>
      <c r="U22" s="101">
        <v>0</v>
      </c>
      <c r="V22" s="101">
        <v>0</v>
      </c>
      <c r="W22" s="101">
        <v>0</v>
      </c>
      <c r="X22" s="101">
        <v>0</v>
      </c>
      <c r="Y22" s="101">
        <v>0</v>
      </c>
      <c r="Z22" s="101">
        <v>0</v>
      </c>
      <c r="AA22" s="101">
        <v>0</v>
      </c>
      <c r="AB22" s="101">
        <v>0</v>
      </c>
      <c r="AC22" s="101">
        <v>0</v>
      </c>
      <c r="AD22" s="101">
        <v>0</v>
      </c>
      <c r="AE22" s="101">
        <v>0</v>
      </c>
      <c r="AF22" s="101">
        <v>0</v>
      </c>
      <c r="AG22" s="101">
        <v>0</v>
      </c>
      <c r="AH22" s="101">
        <v>0</v>
      </c>
      <c r="AI22" s="101">
        <v>0</v>
      </c>
      <c r="AJ22" s="101">
        <v>0</v>
      </c>
      <c r="AK22" s="101">
        <v>0</v>
      </c>
      <c r="AL22" s="101">
        <v>0</v>
      </c>
      <c r="AM22" s="101">
        <v>0</v>
      </c>
      <c r="AN22" s="101">
        <v>0</v>
      </c>
      <c r="AO22" s="101">
        <v>0</v>
      </c>
      <c r="AP22" s="101">
        <v>0</v>
      </c>
    </row>
    <row r="23" spans="4:43">
      <c r="E23" t="s">
        <v>135</v>
      </c>
      <c r="F23" s="101">
        <v>0</v>
      </c>
      <c r="G23" s="101">
        <v>0</v>
      </c>
      <c r="H23" s="101">
        <v>2.5</v>
      </c>
      <c r="I23" s="101">
        <v>2.5</v>
      </c>
      <c r="J23" s="101">
        <v>2.5</v>
      </c>
      <c r="K23" s="101">
        <v>2.5</v>
      </c>
      <c r="L23" s="101">
        <v>2.5</v>
      </c>
      <c r="M23" s="101">
        <v>2.5</v>
      </c>
      <c r="N23" s="101">
        <v>2.5</v>
      </c>
      <c r="O23" s="101">
        <v>2.5</v>
      </c>
      <c r="P23" s="101"/>
      <c r="Q23" s="101">
        <v>0</v>
      </c>
      <c r="R23" s="101">
        <v>0</v>
      </c>
      <c r="S23" s="101">
        <v>0</v>
      </c>
      <c r="T23" s="101">
        <v>0</v>
      </c>
      <c r="U23" s="101">
        <v>0</v>
      </c>
      <c r="V23" s="101">
        <v>0</v>
      </c>
      <c r="W23" s="101">
        <v>0</v>
      </c>
      <c r="X23" s="101">
        <v>0</v>
      </c>
      <c r="Y23" s="101">
        <v>0</v>
      </c>
      <c r="Z23" s="101">
        <v>0</v>
      </c>
      <c r="AA23" s="101">
        <v>0</v>
      </c>
      <c r="AB23" s="101">
        <v>0</v>
      </c>
      <c r="AC23" s="101">
        <v>0</v>
      </c>
      <c r="AD23" s="101">
        <v>0</v>
      </c>
      <c r="AE23" s="101">
        <v>0</v>
      </c>
      <c r="AF23" s="101">
        <v>0</v>
      </c>
      <c r="AG23" s="101">
        <v>0</v>
      </c>
      <c r="AH23" s="101">
        <v>0</v>
      </c>
      <c r="AI23" s="101">
        <v>0</v>
      </c>
      <c r="AJ23" s="101">
        <v>0</v>
      </c>
      <c r="AK23" s="101">
        <v>0</v>
      </c>
      <c r="AL23" s="101">
        <v>0</v>
      </c>
      <c r="AM23" s="101">
        <v>0</v>
      </c>
      <c r="AN23" s="101">
        <v>0</v>
      </c>
      <c r="AO23" s="101">
        <v>0</v>
      </c>
      <c r="AP23" s="101">
        <v>0</v>
      </c>
    </row>
    <row r="24" spans="4:43">
      <c r="E24" s="458" t="s">
        <v>130</v>
      </c>
      <c r="F24" s="99">
        <f t="shared" ref="F24:AP24" si="4">SUM(F22:F23)</f>
        <v>0</v>
      </c>
      <c r="G24" s="99">
        <f t="shared" si="4"/>
        <v>3.3</v>
      </c>
      <c r="H24" s="99">
        <f t="shared" si="4"/>
        <v>13.5875</v>
      </c>
      <c r="I24" s="99">
        <f t="shared" si="4"/>
        <v>13.5875</v>
      </c>
      <c r="J24" s="99">
        <f t="shared" si="4"/>
        <v>13.5875</v>
      </c>
      <c r="K24" s="99">
        <f t="shared" si="4"/>
        <v>13.5875</v>
      </c>
      <c r="L24" s="99">
        <f t="shared" si="4"/>
        <v>13.5875</v>
      </c>
      <c r="M24" s="99">
        <f t="shared" si="4"/>
        <v>13.5875</v>
      </c>
      <c r="N24" s="99">
        <f t="shared" si="4"/>
        <v>13.5875</v>
      </c>
      <c r="O24" s="99">
        <f t="shared" si="4"/>
        <v>13.5875</v>
      </c>
      <c r="P24" s="99">
        <f t="shared" si="4"/>
        <v>0</v>
      </c>
      <c r="Q24" s="99">
        <f t="shared" si="4"/>
        <v>0</v>
      </c>
      <c r="R24" s="99">
        <f t="shared" si="4"/>
        <v>0</v>
      </c>
      <c r="S24" s="99">
        <f t="shared" si="4"/>
        <v>0</v>
      </c>
      <c r="T24" s="99">
        <f t="shared" si="4"/>
        <v>0</v>
      </c>
      <c r="U24" s="99">
        <f t="shared" si="4"/>
        <v>0</v>
      </c>
      <c r="V24" s="99">
        <f t="shared" si="4"/>
        <v>0</v>
      </c>
      <c r="W24" s="99">
        <f t="shared" si="4"/>
        <v>0</v>
      </c>
      <c r="X24" s="99">
        <f t="shared" si="4"/>
        <v>0</v>
      </c>
      <c r="Y24" s="99">
        <f t="shared" si="4"/>
        <v>0</v>
      </c>
      <c r="Z24" s="99">
        <f t="shared" si="4"/>
        <v>0</v>
      </c>
      <c r="AA24" s="99">
        <f t="shared" si="4"/>
        <v>0</v>
      </c>
      <c r="AB24" s="99">
        <f t="shared" si="4"/>
        <v>0</v>
      </c>
      <c r="AC24" s="99">
        <f t="shared" si="4"/>
        <v>0</v>
      </c>
      <c r="AD24" s="99">
        <f t="shared" si="4"/>
        <v>0</v>
      </c>
      <c r="AE24" s="99">
        <f t="shared" si="4"/>
        <v>0</v>
      </c>
      <c r="AF24" s="99">
        <f t="shared" si="4"/>
        <v>0</v>
      </c>
      <c r="AG24" s="99">
        <f t="shared" si="4"/>
        <v>0</v>
      </c>
      <c r="AH24" s="99">
        <f t="shared" si="4"/>
        <v>0</v>
      </c>
      <c r="AI24" s="99">
        <f t="shared" si="4"/>
        <v>0</v>
      </c>
      <c r="AJ24" s="99">
        <f t="shared" si="4"/>
        <v>0</v>
      </c>
      <c r="AK24" s="99">
        <f t="shared" si="4"/>
        <v>0</v>
      </c>
      <c r="AL24" s="99">
        <f t="shared" si="4"/>
        <v>0</v>
      </c>
      <c r="AM24" s="99">
        <f t="shared" si="4"/>
        <v>0</v>
      </c>
      <c r="AN24" s="99">
        <f t="shared" si="4"/>
        <v>0</v>
      </c>
      <c r="AO24" s="99">
        <f t="shared" si="4"/>
        <v>0</v>
      </c>
      <c r="AP24" s="99">
        <f t="shared" si="4"/>
        <v>0</v>
      </c>
      <c r="AQ24" s="115">
        <f>SUM(F24:AP24)</f>
        <v>112.00000000000001</v>
      </c>
    </row>
    <row r="25" spans="4:43">
      <c r="D25" s="458" t="s">
        <v>139</v>
      </c>
      <c r="E25" t="s">
        <v>136</v>
      </c>
      <c r="F25" s="101">
        <v>0</v>
      </c>
      <c r="G25" s="101">
        <v>7.9</v>
      </c>
      <c r="H25" s="101">
        <v>2.2750000000000004</v>
      </c>
      <c r="I25" s="101">
        <v>2.2750000000000004</v>
      </c>
      <c r="J25" s="101">
        <v>2.2750000000000004</v>
      </c>
      <c r="K25" s="101">
        <v>2.2750000000000004</v>
      </c>
      <c r="L25" s="101">
        <v>2.2750000000000004</v>
      </c>
      <c r="M25" s="101">
        <v>2.2750000000000004</v>
      </c>
      <c r="N25" s="101">
        <v>2.2750000000000004</v>
      </c>
      <c r="O25" s="101">
        <v>2.2750000000000004</v>
      </c>
      <c r="P25" s="101"/>
      <c r="Q25" s="101">
        <v>0</v>
      </c>
      <c r="R25" s="101">
        <v>0</v>
      </c>
      <c r="S25" s="101">
        <v>0</v>
      </c>
      <c r="T25" s="101">
        <v>0</v>
      </c>
      <c r="U25" s="101">
        <v>0</v>
      </c>
      <c r="V25" s="101">
        <v>0</v>
      </c>
      <c r="W25" s="101">
        <v>0</v>
      </c>
      <c r="X25" s="101">
        <v>0</v>
      </c>
      <c r="Y25" s="101">
        <v>0</v>
      </c>
      <c r="Z25" s="101">
        <v>0</v>
      </c>
      <c r="AA25" s="101">
        <v>0</v>
      </c>
      <c r="AB25" s="101">
        <v>0</v>
      </c>
      <c r="AC25" s="101">
        <v>0</v>
      </c>
      <c r="AD25" s="101">
        <v>0</v>
      </c>
      <c r="AE25" s="101">
        <v>0</v>
      </c>
      <c r="AF25" s="101">
        <v>0</v>
      </c>
      <c r="AG25" s="101">
        <v>0</v>
      </c>
      <c r="AH25" s="101">
        <v>0</v>
      </c>
      <c r="AI25" s="101">
        <v>0</v>
      </c>
      <c r="AJ25" s="101">
        <v>0</v>
      </c>
      <c r="AK25" s="101">
        <v>0</v>
      </c>
      <c r="AL25" s="101">
        <v>0</v>
      </c>
      <c r="AM25" s="101">
        <v>0</v>
      </c>
      <c r="AN25" s="101">
        <v>0</v>
      </c>
      <c r="AO25" s="101">
        <v>0</v>
      </c>
      <c r="AP25" s="101">
        <v>0</v>
      </c>
    </row>
    <row r="26" spans="4:43">
      <c r="E26" t="s">
        <v>135</v>
      </c>
      <c r="F26" s="101">
        <v>0</v>
      </c>
      <c r="G26" s="101">
        <v>62.5</v>
      </c>
      <c r="H26" s="101">
        <v>12.925000000000001</v>
      </c>
      <c r="I26" s="101">
        <v>12.925000000000001</v>
      </c>
      <c r="J26" s="101">
        <v>12.925000000000001</v>
      </c>
      <c r="K26" s="101">
        <v>12.925000000000001</v>
      </c>
      <c r="L26" s="101">
        <v>12.925000000000001</v>
      </c>
      <c r="M26" s="101">
        <v>12.925000000000001</v>
      </c>
      <c r="N26" s="101">
        <v>12.925000000000001</v>
      </c>
      <c r="O26" s="101">
        <v>12.925000000000001</v>
      </c>
      <c r="P26" s="101"/>
      <c r="Q26" s="101">
        <v>0</v>
      </c>
      <c r="R26" s="101">
        <v>0</v>
      </c>
      <c r="S26" s="101">
        <v>0</v>
      </c>
      <c r="T26" s="101">
        <v>0</v>
      </c>
      <c r="U26" s="101">
        <v>0</v>
      </c>
      <c r="V26" s="101">
        <v>0</v>
      </c>
      <c r="W26" s="101">
        <v>0</v>
      </c>
      <c r="X26" s="101">
        <v>0</v>
      </c>
      <c r="Y26" s="101">
        <v>0</v>
      </c>
      <c r="Z26" s="101">
        <v>0</v>
      </c>
      <c r="AA26" s="101">
        <v>0</v>
      </c>
      <c r="AB26" s="101">
        <v>0</v>
      </c>
      <c r="AC26" s="101">
        <v>0</v>
      </c>
      <c r="AD26" s="101">
        <v>0</v>
      </c>
      <c r="AE26" s="101">
        <v>0</v>
      </c>
      <c r="AF26" s="101">
        <v>0</v>
      </c>
      <c r="AG26" s="101">
        <v>0</v>
      </c>
      <c r="AH26" s="101">
        <v>0</v>
      </c>
      <c r="AI26" s="101">
        <v>0</v>
      </c>
      <c r="AJ26" s="101">
        <v>0</v>
      </c>
      <c r="AK26" s="101">
        <v>0</v>
      </c>
      <c r="AL26" s="101">
        <v>0</v>
      </c>
      <c r="AM26" s="101">
        <v>0</v>
      </c>
      <c r="AN26" s="101">
        <v>0</v>
      </c>
      <c r="AO26" s="101">
        <v>0</v>
      </c>
      <c r="AP26" s="101">
        <v>0</v>
      </c>
    </row>
    <row r="27" spans="4:43">
      <c r="E27" s="458" t="s">
        <v>130</v>
      </c>
      <c r="F27" s="99">
        <f t="shared" ref="F27:AP27" si="5">SUM(F25:F26)</f>
        <v>0</v>
      </c>
      <c r="G27" s="99">
        <f t="shared" si="5"/>
        <v>70.400000000000006</v>
      </c>
      <c r="H27" s="99">
        <f t="shared" si="5"/>
        <v>15.200000000000001</v>
      </c>
      <c r="I27" s="99">
        <f t="shared" si="5"/>
        <v>15.200000000000001</v>
      </c>
      <c r="J27" s="99">
        <f t="shared" si="5"/>
        <v>15.200000000000001</v>
      </c>
      <c r="K27" s="99">
        <f t="shared" si="5"/>
        <v>15.200000000000001</v>
      </c>
      <c r="L27" s="99">
        <f t="shared" si="5"/>
        <v>15.200000000000001</v>
      </c>
      <c r="M27" s="99">
        <f t="shared" si="5"/>
        <v>15.200000000000001</v>
      </c>
      <c r="N27" s="99">
        <f t="shared" si="5"/>
        <v>15.200000000000001</v>
      </c>
      <c r="O27" s="99">
        <f t="shared" si="5"/>
        <v>15.200000000000001</v>
      </c>
      <c r="P27" s="99">
        <f t="shared" si="5"/>
        <v>0</v>
      </c>
      <c r="Q27" s="99">
        <f t="shared" si="5"/>
        <v>0</v>
      </c>
      <c r="R27" s="99">
        <f t="shared" si="5"/>
        <v>0</v>
      </c>
      <c r="S27" s="99">
        <f t="shared" si="5"/>
        <v>0</v>
      </c>
      <c r="T27" s="99">
        <f t="shared" si="5"/>
        <v>0</v>
      </c>
      <c r="U27" s="99">
        <f t="shared" si="5"/>
        <v>0</v>
      </c>
      <c r="V27" s="99">
        <f t="shared" si="5"/>
        <v>0</v>
      </c>
      <c r="W27" s="99">
        <f t="shared" si="5"/>
        <v>0</v>
      </c>
      <c r="X27" s="99">
        <f t="shared" si="5"/>
        <v>0</v>
      </c>
      <c r="Y27" s="99">
        <f t="shared" si="5"/>
        <v>0</v>
      </c>
      <c r="Z27" s="99">
        <f t="shared" si="5"/>
        <v>0</v>
      </c>
      <c r="AA27" s="99">
        <f t="shared" si="5"/>
        <v>0</v>
      </c>
      <c r="AB27" s="99">
        <f t="shared" si="5"/>
        <v>0</v>
      </c>
      <c r="AC27" s="99">
        <f t="shared" si="5"/>
        <v>0</v>
      </c>
      <c r="AD27" s="99">
        <f t="shared" si="5"/>
        <v>0</v>
      </c>
      <c r="AE27" s="99">
        <f t="shared" si="5"/>
        <v>0</v>
      </c>
      <c r="AF27" s="99">
        <f t="shared" si="5"/>
        <v>0</v>
      </c>
      <c r="AG27" s="99">
        <f t="shared" si="5"/>
        <v>0</v>
      </c>
      <c r="AH27" s="99">
        <f t="shared" si="5"/>
        <v>0</v>
      </c>
      <c r="AI27" s="99">
        <f t="shared" si="5"/>
        <v>0</v>
      </c>
      <c r="AJ27" s="99">
        <f t="shared" si="5"/>
        <v>0</v>
      </c>
      <c r="AK27" s="99">
        <f t="shared" si="5"/>
        <v>0</v>
      </c>
      <c r="AL27" s="99">
        <f t="shared" si="5"/>
        <v>0</v>
      </c>
      <c r="AM27" s="99">
        <f t="shared" si="5"/>
        <v>0</v>
      </c>
      <c r="AN27" s="99">
        <f t="shared" si="5"/>
        <v>0</v>
      </c>
      <c r="AO27" s="99">
        <f t="shared" si="5"/>
        <v>0</v>
      </c>
      <c r="AP27" s="99">
        <f t="shared" si="5"/>
        <v>0</v>
      </c>
      <c r="AQ27" s="115">
        <f>SUM(F27:AP27)</f>
        <v>191.99999999999997</v>
      </c>
    </row>
    <row r="28" spans="4:43">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524">
        <f>SUM(AQ27,AQ24,AQ21,AQ18,AQ15)</f>
        <v>1405.8000000000002</v>
      </c>
    </row>
    <row r="29" spans="4:43">
      <c r="D29" s="458" t="s">
        <v>138</v>
      </c>
      <c r="E29" t="s">
        <v>192</v>
      </c>
      <c r="F29" s="81">
        <f>F13+F16</f>
        <v>53.6</v>
      </c>
      <c r="G29" s="81">
        <f t="shared" ref="G29:AP29" si="6">G13+G16</f>
        <v>41.5</v>
      </c>
      <c r="H29" s="81">
        <f t="shared" si="6"/>
        <v>31.387500000000003</v>
      </c>
      <c r="I29" s="81">
        <f t="shared" si="6"/>
        <v>31.387500000000003</v>
      </c>
      <c r="J29" s="81">
        <f t="shared" si="6"/>
        <v>31.387500000000003</v>
      </c>
      <c r="K29" s="81">
        <f t="shared" si="6"/>
        <v>31.387500000000003</v>
      </c>
      <c r="L29" s="81">
        <f t="shared" si="6"/>
        <v>31.387500000000003</v>
      </c>
      <c r="M29" s="81">
        <f t="shared" si="6"/>
        <v>31.387500000000003</v>
      </c>
      <c r="N29" s="81">
        <f t="shared" si="6"/>
        <v>31.387500000000003</v>
      </c>
      <c r="O29" s="81">
        <f t="shared" si="6"/>
        <v>31.387500000000003</v>
      </c>
      <c r="P29" s="81">
        <f t="shared" si="6"/>
        <v>0</v>
      </c>
      <c r="Q29" s="81">
        <f t="shared" si="6"/>
        <v>0</v>
      </c>
      <c r="R29" s="81">
        <f t="shared" si="6"/>
        <v>0</v>
      </c>
      <c r="S29" s="81">
        <f t="shared" si="6"/>
        <v>0</v>
      </c>
      <c r="T29" s="81">
        <f t="shared" si="6"/>
        <v>0</v>
      </c>
      <c r="U29" s="81">
        <f t="shared" si="6"/>
        <v>0</v>
      </c>
      <c r="V29" s="81">
        <f t="shared" si="6"/>
        <v>0</v>
      </c>
      <c r="W29" s="81">
        <f t="shared" si="6"/>
        <v>0</v>
      </c>
      <c r="X29" s="81">
        <f t="shared" si="6"/>
        <v>0</v>
      </c>
      <c r="Y29" s="81">
        <f t="shared" si="6"/>
        <v>0</v>
      </c>
      <c r="Z29" s="81">
        <f t="shared" si="6"/>
        <v>0</v>
      </c>
      <c r="AA29" s="81">
        <f t="shared" si="6"/>
        <v>0</v>
      </c>
      <c r="AB29" s="81">
        <f t="shared" si="6"/>
        <v>0</v>
      </c>
      <c r="AC29" s="81">
        <f t="shared" si="6"/>
        <v>0</v>
      </c>
      <c r="AD29" s="81">
        <f t="shared" si="6"/>
        <v>0</v>
      </c>
      <c r="AE29" s="81">
        <f t="shared" si="6"/>
        <v>0</v>
      </c>
      <c r="AF29" s="81">
        <f t="shared" si="6"/>
        <v>0</v>
      </c>
      <c r="AG29" s="81">
        <f t="shared" si="6"/>
        <v>0</v>
      </c>
      <c r="AH29" s="81">
        <f t="shared" si="6"/>
        <v>0</v>
      </c>
      <c r="AI29" s="81">
        <f t="shared" si="6"/>
        <v>0</v>
      </c>
      <c r="AJ29" s="81">
        <f t="shared" si="6"/>
        <v>0</v>
      </c>
      <c r="AK29" s="81">
        <f t="shared" si="6"/>
        <v>0</v>
      </c>
      <c r="AL29" s="81">
        <f t="shared" si="6"/>
        <v>0</v>
      </c>
      <c r="AM29" s="81">
        <f t="shared" si="6"/>
        <v>0</v>
      </c>
      <c r="AN29" s="81">
        <f t="shared" si="6"/>
        <v>0</v>
      </c>
      <c r="AO29" s="81">
        <f t="shared" si="6"/>
        <v>0</v>
      </c>
      <c r="AP29" s="81">
        <f t="shared" si="6"/>
        <v>0</v>
      </c>
    </row>
    <row r="30" spans="4:43">
      <c r="D30" s="458"/>
      <c r="E30" t="s">
        <v>193</v>
      </c>
      <c r="F30" s="81">
        <f t="shared" ref="F30:AP30" si="7">F19+F22+F25</f>
        <v>12.4</v>
      </c>
      <c r="G30" s="81">
        <f t="shared" si="7"/>
        <v>44.199999999999996</v>
      </c>
      <c r="H30" s="81">
        <f t="shared" si="7"/>
        <v>20.725000000000001</v>
      </c>
      <c r="I30" s="81">
        <f t="shared" si="7"/>
        <v>20.725000000000001</v>
      </c>
      <c r="J30" s="81">
        <f t="shared" si="7"/>
        <v>20.725000000000001</v>
      </c>
      <c r="K30" s="81">
        <f t="shared" si="7"/>
        <v>20.725000000000001</v>
      </c>
      <c r="L30" s="81">
        <f t="shared" si="7"/>
        <v>20.725000000000001</v>
      </c>
      <c r="M30" s="81">
        <f t="shared" si="7"/>
        <v>20.725000000000001</v>
      </c>
      <c r="N30" s="81">
        <f t="shared" si="7"/>
        <v>20.725000000000001</v>
      </c>
      <c r="O30" s="81">
        <f t="shared" si="7"/>
        <v>20.725000000000001</v>
      </c>
      <c r="P30" s="81">
        <f t="shared" si="7"/>
        <v>0</v>
      </c>
      <c r="Q30" s="81">
        <f t="shared" si="7"/>
        <v>0</v>
      </c>
      <c r="R30" s="81">
        <f t="shared" si="7"/>
        <v>0</v>
      </c>
      <c r="S30" s="81">
        <f t="shared" si="7"/>
        <v>0</v>
      </c>
      <c r="T30" s="81">
        <f t="shared" si="7"/>
        <v>0</v>
      </c>
      <c r="U30" s="81">
        <f t="shared" si="7"/>
        <v>0</v>
      </c>
      <c r="V30" s="81">
        <f t="shared" si="7"/>
        <v>0</v>
      </c>
      <c r="W30" s="81">
        <f t="shared" si="7"/>
        <v>0</v>
      </c>
      <c r="X30" s="81">
        <f t="shared" si="7"/>
        <v>0</v>
      </c>
      <c r="Y30" s="81">
        <f t="shared" si="7"/>
        <v>0</v>
      </c>
      <c r="Z30" s="81">
        <f t="shared" si="7"/>
        <v>0</v>
      </c>
      <c r="AA30" s="81">
        <f t="shared" si="7"/>
        <v>0</v>
      </c>
      <c r="AB30" s="81">
        <f t="shared" si="7"/>
        <v>0</v>
      </c>
      <c r="AC30" s="81">
        <f t="shared" si="7"/>
        <v>0</v>
      </c>
      <c r="AD30" s="81">
        <f t="shared" si="7"/>
        <v>0</v>
      </c>
      <c r="AE30" s="81">
        <f t="shared" si="7"/>
        <v>0</v>
      </c>
      <c r="AF30" s="81">
        <f t="shared" si="7"/>
        <v>0</v>
      </c>
      <c r="AG30" s="81">
        <f t="shared" si="7"/>
        <v>0</v>
      </c>
      <c r="AH30" s="81">
        <f t="shared" si="7"/>
        <v>0</v>
      </c>
      <c r="AI30" s="81">
        <f t="shared" si="7"/>
        <v>0</v>
      </c>
      <c r="AJ30" s="81">
        <f t="shared" si="7"/>
        <v>0</v>
      </c>
      <c r="AK30" s="81">
        <f t="shared" si="7"/>
        <v>0</v>
      </c>
      <c r="AL30" s="81">
        <f t="shared" si="7"/>
        <v>0</v>
      </c>
      <c r="AM30" s="81">
        <f t="shared" si="7"/>
        <v>0</v>
      </c>
      <c r="AN30" s="81">
        <f t="shared" si="7"/>
        <v>0</v>
      </c>
      <c r="AO30" s="81">
        <f t="shared" si="7"/>
        <v>0</v>
      </c>
      <c r="AP30" s="81">
        <f t="shared" si="7"/>
        <v>0</v>
      </c>
    </row>
    <row r="31" spans="4:43">
      <c r="E31" t="s">
        <v>194</v>
      </c>
      <c r="F31" s="81">
        <f>F14+F17</f>
        <v>83.5</v>
      </c>
      <c r="G31" s="81">
        <f t="shared" ref="G31:AP31" si="8">G14+G17</f>
        <v>93.7</v>
      </c>
      <c r="H31" s="81">
        <f t="shared" si="8"/>
        <v>45.300000000000004</v>
      </c>
      <c r="I31" s="81">
        <f t="shared" si="8"/>
        <v>45.300000000000004</v>
      </c>
      <c r="J31" s="81">
        <f t="shared" si="8"/>
        <v>45.300000000000004</v>
      </c>
      <c r="K31" s="81">
        <f t="shared" si="8"/>
        <v>45.300000000000004</v>
      </c>
      <c r="L31" s="81">
        <f t="shared" si="8"/>
        <v>45.300000000000004</v>
      </c>
      <c r="M31" s="81">
        <f t="shared" si="8"/>
        <v>45.300000000000004</v>
      </c>
      <c r="N31" s="81">
        <f t="shared" si="8"/>
        <v>45.300000000000004</v>
      </c>
      <c r="O31" s="81">
        <f t="shared" si="8"/>
        <v>45.300000000000004</v>
      </c>
      <c r="P31" s="81">
        <f t="shared" si="8"/>
        <v>0</v>
      </c>
      <c r="Q31" s="81">
        <f t="shared" si="8"/>
        <v>0</v>
      </c>
      <c r="R31" s="81">
        <f t="shared" si="8"/>
        <v>0</v>
      </c>
      <c r="S31" s="81">
        <f t="shared" si="8"/>
        <v>0</v>
      </c>
      <c r="T31" s="81">
        <f t="shared" si="8"/>
        <v>0</v>
      </c>
      <c r="U31" s="81">
        <f t="shared" si="8"/>
        <v>0</v>
      </c>
      <c r="V31" s="81">
        <f t="shared" si="8"/>
        <v>0</v>
      </c>
      <c r="W31" s="81">
        <f t="shared" si="8"/>
        <v>0</v>
      </c>
      <c r="X31" s="81">
        <f t="shared" si="8"/>
        <v>0</v>
      </c>
      <c r="Y31" s="81">
        <f t="shared" si="8"/>
        <v>0</v>
      </c>
      <c r="Z31" s="81">
        <f t="shared" si="8"/>
        <v>0</v>
      </c>
      <c r="AA31" s="81">
        <f t="shared" si="8"/>
        <v>0</v>
      </c>
      <c r="AB31" s="81">
        <f t="shared" si="8"/>
        <v>0</v>
      </c>
      <c r="AC31" s="81">
        <f t="shared" si="8"/>
        <v>0</v>
      </c>
      <c r="AD31" s="81">
        <f t="shared" si="8"/>
        <v>0</v>
      </c>
      <c r="AE31" s="81">
        <f t="shared" si="8"/>
        <v>0</v>
      </c>
      <c r="AF31" s="81">
        <f t="shared" si="8"/>
        <v>0</v>
      </c>
      <c r="AG31" s="81">
        <f t="shared" si="8"/>
        <v>0</v>
      </c>
      <c r="AH31" s="81">
        <f t="shared" si="8"/>
        <v>0</v>
      </c>
      <c r="AI31" s="81">
        <f t="shared" si="8"/>
        <v>0</v>
      </c>
      <c r="AJ31" s="81">
        <f t="shared" si="8"/>
        <v>0</v>
      </c>
      <c r="AK31" s="81">
        <f t="shared" si="8"/>
        <v>0</v>
      </c>
      <c r="AL31" s="81">
        <f t="shared" si="8"/>
        <v>0</v>
      </c>
      <c r="AM31" s="81">
        <f t="shared" si="8"/>
        <v>0</v>
      </c>
      <c r="AN31" s="81">
        <f t="shared" si="8"/>
        <v>0</v>
      </c>
      <c r="AO31" s="81">
        <f t="shared" si="8"/>
        <v>0</v>
      </c>
      <c r="AP31" s="81">
        <f t="shared" si="8"/>
        <v>0</v>
      </c>
    </row>
    <row r="32" spans="4:43">
      <c r="E32" t="s">
        <v>195</v>
      </c>
      <c r="F32" s="81">
        <f t="shared" ref="F32:AP32" si="9">F20+F23+F26</f>
        <v>0</v>
      </c>
      <c r="G32" s="81">
        <f t="shared" si="9"/>
        <v>76.400000000000006</v>
      </c>
      <c r="H32" s="81">
        <f t="shared" si="9"/>
        <v>27.65</v>
      </c>
      <c r="I32" s="81">
        <f t="shared" si="9"/>
        <v>27.65</v>
      </c>
      <c r="J32" s="81">
        <f t="shared" si="9"/>
        <v>27.65</v>
      </c>
      <c r="K32" s="81">
        <f t="shared" si="9"/>
        <v>27.65</v>
      </c>
      <c r="L32" s="81">
        <f t="shared" si="9"/>
        <v>27.65</v>
      </c>
      <c r="M32" s="81">
        <f t="shared" si="9"/>
        <v>27.65</v>
      </c>
      <c r="N32" s="81">
        <f t="shared" si="9"/>
        <v>27.65</v>
      </c>
      <c r="O32" s="81">
        <f t="shared" si="9"/>
        <v>27.65</v>
      </c>
      <c r="P32" s="81">
        <f t="shared" si="9"/>
        <v>0</v>
      </c>
      <c r="Q32" s="81">
        <f t="shared" si="9"/>
        <v>0</v>
      </c>
      <c r="R32" s="81">
        <f t="shared" si="9"/>
        <v>0</v>
      </c>
      <c r="S32" s="81">
        <f t="shared" si="9"/>
        <v>0</v>
      </c>
      <c r="T32" s="81">
        <f t="shared" si="9"/>
        <v>0</v>
      </c>
      <c r="U32" s="81">
        <f t="shared" si="9"/>
        <v>0</v>
      </c>
      <c r="V32" s="81">
        <f t="shared" si="9"/>
        <v>0</v>
      </c>
      <c r="W32" s="81">
        <f t="shared" si="9"/>
        <v>0</v>
      </c>
      <c r="X32" s="81">
        <f t="shared" si="9"/>
        <v>0</v>
      </c>
      <c r="Y32" s="81">
        <f t="shared" si="9"/>
        <v>0</v>
      </c>
      <c r="Z32" s="81">
        <f t="shared" si="9"/>
        <v>0</v>
      </c>
      <c r="AA32" s="81">
        <f t="shared" si="9"/>
        <v>0</v>
      </c>
      <c r="AB32" s="81">
        <f t="shared" si="9"/>
        <v>0</v>
      </c>
      <c r="AC32" s="81">
        <f t="shared" si="9"/>
        <v>0</v>
      </c>
      <c r="AD32" s="81">
        <f t="shared" si="9"/>
        <v>0</v>
      </c>
      <c r="AE32" s="81">
        <f t="shared" si="9"/>
        <v>0</v>
      </c>
      <c r="AF32" s="81">
        <f t="shared" si="9"/>
        <v>0</v>
      </c>
      <c r="AG32" s="81">
        <f t="shared" si="9"/>
        <v>0</v>
      </c>
      <c r="AH32" s="81">
        <f t="shared" si="9"/>
        <v>0</v>
      </c>
      <c r="AI32" s="81">
        <f t="shared" si="9"/>
        <v>0</v>
      </c>
      <c r="AJ32" s="81">
        <f t="shared" si="9"/>
        <v>0</v>
      </c>
      <c r="AK32" s="81">
        <f t="shared" si="9"/>
        <v>0</v>
      </c>
      <c r="AL32" s="81">
        <f t="shared" si="9"/>
        <v>0</v>
      </c>
      <c r="AM32" s="81">
        <f t="shared" si="9"/>
        <v>0</v>
      </c>
      <c r="AN32" s="81">
        <f t="shared" si="9"/>
        <v>0</v>
      </c>
      <c r="AO32" s="81">
        <f t="shared" si="9"/>
        <v>0</v>
      </c>
      <c r="AP32" s="81">
        <f t="shared" si="9"/>
        <v>0</v>
      </c>
    </row>
    <row r="33" spans="2:44">
      <c r="E33" s="458" t="s">
        <v>130</v>
      </c>
      <c r="F33" s="99">
        <f t="shared" ref="F33:R33" si="10">F15+F18+F21+F24+F27</f>
        <v>149.5</v>
      </c>
      <c r="G33" s="99">
        <f t="shared" si="10"/>
        <v>255.8</v>
      </c>
      <c r="H33" s="99">
        <f t="shared" si="10"/>
        <v>125.06250000000001</v>
      </c>
      <c r="I33" s="99">
        <f t="shared" si="10"/>
        <v>125.06250000000001</v>
      </c>
      <c r="J33" s="99">
        <f t="shared" si="10"/>
        <v>125.06250000000001</v>
      </c>
      <c r="K33" s="99">
        <f t="shared" si="10"/>
        <v>125.06250000000001</v>
      </c>
      <c r="L33" s="99">
        <f t="shared" si="10"/>
        <v>125.06250000000001</v>
      </c>
      <c r="M33" s="99">
        <f t="shared" si="10"/>
        <v>125.06250000000001</v>
      </c>
      <c r="N33" s="99">
        <f t="shared" si="10"/>
        <v>125.06250000000001</v>
      </c>
      <c r="O33" s="99">
        <f t="shared" si="10"/>
        <v>125.06250000000001</v>
      </c>
      <c r="P33" s="99">
        <f t="shared" si="10"/>
        <v>0</v>
      </c>
      <c r="Q33" s="99">
        <f t="shared" si="10"/>
        <v>0</v>
      </c>
      <c r="R33" s="99">
        <f t="shared" si="10"/>
        <v>0</v>
      </c>
      <c r="S33" s="99">
        <f>S15+S18+S21+S24+S27</f>
        <v>0</v>
      </c>
      <c r="T33" s="99">
        <f>T15+T18+T21+T24+T27</f>
        <v>0</v>
      </c>
      <c r="U33" s="99">
        <f t="shared" ref="U33:AP33" si="11">U15+U18+U21+U24+U27</f>
        <v>0</v>
      </c>
      <c r="V33" s="99">
        <f t="shared" si="11"/>
        <v>0</v>
      </c>
      <c r="W33" s="99">
        <f t="shared" si="11"/>
        <v>0</v>
      </c>
      <c r="X33" s="99">
        <f t="shared" si="11"/>
        <v>0</v>
      </c>
      <c r="Y33" s="99">
        <f t="shared" si="11"/>
        <v>0</v>
      </c>
      <c r="Z33" s="99">
        <f t="shared" si="11"/>
        <v>0</v>
      </c>
      <c r="AA33" s="99">
        <f t="shared" si="11"/>
        <v>0</v>
      </c>
      <c r="AB33" s="99">
        <f t="shared" si="11"/>
        <v>0</v>
      </c>
      <c r="AC33" s="99">
        <f t="shared" si="11"/>
        <v>0</v>
      </c>
      <c r="AD33" s="99">
        <f t="shared" si="11"/>
        <v>0</v>
      </c>
      <c r="AE33" s="99">
        <f t="shared" si="11"/>
        <v>0</v>
      </c>
      <c r="AF33" s="99">
        <f t="shared" si="11"/>
        <v>0</v>
      </c>
      <c r="AG33" s="99">
        <f t="shared" si="11"/>
        <v>0</v>
      </c>
      <c r="AH33" s="99">
        <f t="shared" si="11"/>
        <v>0</v>
      </c>
      <c r="AI33" s="99">
        <f t="shared" si="11"/>
        <v>0</v>
      </c>
      <c r="AJ33" s="99">
        <f t="shared" si="11"/>
        <v>0</v>
      </c>
      <c r="AK33" s="99">
        <f t="shared" si="11"/>
        <v>0</v>
      </c>
      <c r="AL33" s="99">
        <f t="shared" si="11"/>
        <v>0</v>
      </c>
      <c r="AM33" s="99">
        <f t="shared" si="11"/>
        <v>0</v>
      </c>
      <c r="AN33" s="99">
        <f t="shared" si="11"/>
        <v>0</v>
      </c>
      <c r="AO33" s="99">
        <f t="shared" si="11"/>
        <v>0</v>
      </c>
      <c r="AP33" s="99">
        <f t="shared" si="11"/>
        <v>0</v>
      </c>
      <c r="AQ33" s="525">
        <f>SUM(F33:AP33)</f>
        <v>1405.8000000000002</v>
      </c>
    </row>
    <row r="34" spans="2:44">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row>
    <row r="35" spans="2:44">
      <c r="D35" t="s">
        <v>137</v>
      </c>
      <c r="F35" s="102">
        <v>6</v>
      </c>
      <c r="G35" s="102">
        <v>6</v>
      </c>
      <c r="H35" s="102">
        <v>5</v>
      </c>
      <c r="I35" s="102">
        <v>5</v>
      </c>
      <c r="J35" s="102">
        <v>5</v>
      </c>
      <c r="K35" s="102">
        <v>5</v>
      </c>
      <c r="L35" s="102">
        <v>5</v>
      </c>
      <c r="M35" s="102">
        <v>5</v>
      </c>
      <c r="N35" s="102">
        <v>5</v>
      </c>
      <c r="O35" s="102">
        <v>5</v>
      </c>
      <c r="P35" s="102"/>
      <c r="Q35" s="102">
        <v>0</v>
      </c>
      <c r="R35" s="102">
        <v>0</v>
      </c>
      <c r="S35" s="102">
        <v>0</v>
      </c>
      <c r="T35" s="102">
        <v>0</v>
      </c>
      <c r="U35" s="102">
        <v>0</v>
      </c>
      <c r="V35" s="102">
        <v>0</v>
      </c>
      <c r="W35" s="102">
        <v>0</v>
      </c>
      <c r="X35" s="102">
        <v>0</v>
      </c>
      <c r="Y35" s="102">
        <v>0</v>
      </c>
      <c r="Z35" s="102">
        <v>0</v>
      </c>
      <c r="AA35" s="102">
        <v>0</v>
      </c>
      <c r="AB35" s="102">
        <v>0</v>
      </c>
      <c r="AC35" s="102">
        <v>0</v>
      </c>
      <c r="AD35" s="102">
        <v>0</v>
      </c>
      <c r="AE35" s="102">
        <v>0</v>
      </c>
      <c r="AF35" s="102">
        <v>0</v>
      </c>
      <c r="AG35" s="102">
        <v>0</v>
      </c>
      <c r="AH35" s="102">
        <v>0</v>
      </c>
      <c r="AI35" s="102">
        <v>0</v>
      </c>
      <c r="AJ35" s="102">
        <v>0</v>
      </c>
      <c r="AK35" s="102">
        <v>0</v>
      </c>
      <c r="AL35" s="102">
        <v>0</v>
      </c>
      <c r="AM35" s="102">
        <v>0</v>
      </c>
      <c r="AN35" s="102">
        <v>0</v>
      </c>
      <c r="AO35" s="102">
        <v>0</v>
      </c>
      <c r="AP35" s="102">
        <v>0</v>
      </c>
    </row>
    <row r="36" spans="2:44" s="39" customFormat="1">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row>
    <row r="37" spans="2:44">
      <c r="E37" s="523" t="s">
        <v>153</v>
      </c>
      <c r="F37" s="458">
        <v>1</v>
      </c>
      <c r="G37" s="458">
        <v>2</v>
      </c>
      <c r="H37" s="458">
        <v>3</v>
      </c>
      <c r="I37" s="458">
        <v>4</v>
      </c>
      <c r="J37" s="458">
        <v>5</v>
      </c>
      <c r="K37" s="458">
        <v>6</v>
      </c>
      <c r="L37" s="458">
        <v>7</v>
      </c>
      <c r="M37" s="458">
        <v>8</v>
      </c>
      <c r="N37" s="458">
        <v>9</v>
      </c>
      <c r="O37" s="458">
        <v>10</v>
      </c>
      <c r="P37" s="458">
        <v>11</v>
      </c>
      <c r="Q37" s="458">
        <v>12</v>
      </c>
      <c r="R37" s="458">
        <v>13</v>
      </c>
      <c r="S37" s="458">
        <v>14</v>
      </c>
      <c r="T37" s="458">
        <v>15</v>
      </c>
      <c r="U37" s="458">
        <v>16</v>
      </c>
      <c r="V37" s="458">
        <v>17</v>
      </c>
      <c r="W37" s="458">
        <v>18</v>
      </c>
      <c r="X37" s="458">
        <v>19</v>
      </c>
      <c r="Y37" s="458">
        <v>20</v>
      </c>
      <c r="Z37" s="458">
        <v>21</v>
      </c>
      <c r="AA37" s="458">
        <v>22</v>
      </c>
      <c r="AB37" s="458">
        <v>23</v>
      </c>
      <c r="AC37" s="458">
        <v>24</v>
      </c>
      <c r="AD37" s="458">
        <v>25</v>
      </c>
      <c r="AE37" s="458">
        <v>26</v>
      </c>
      <c r="AF37" s="458">
        <v>27</v>
      </c>
      <c r="AG37" s="458">
        <v>28</v>
      </c>
      <c r="AH37" s="458">
        <v>29</v>
      </c>
      <c r="AI37" s="458">
        <v>30</v>
      </c>
      <c r="AJ37" s="458">
        <v>31</v>
      </c>
      <c r="AK37" s="458">
        <v>32</v>
      </c>
      <c r="AL37" s="458">
        <v>33</v>
      </c>
      <c r="AM37" s="458">
        <v>34</v>
      </c>
      <c r="AN37" s="458">
        <v>35</v>
      </c>
      <c r="AO37" s="458">
        <v>36</v>
      </c>
      <c r="AP37" s="458">
        <v>37</v>
      </c>
      <c r="AQ37" s="526"/>
      <c r="AR37" s="39"/>
    </row>
    <row r="38" spans="2:44">
      <c r="D38" t="s">
        <v>144</v>
      </c>
      <c r="F38" s="100">
        <f t="shared" ref="F38:AP38" si="12">$I$8*(F29+F30)</f>
        <v>1.32</v>
      </c>
      <c r="G38" s="100">
        <f t="shared" si="12"/>
        <v>1.7139999999999997</v>
      </c>
      <c r="H38" s="100">
        <f t="shared" si="12"/>
        <v>1.0422500000000001</v>
      </c>
      <c r="I38" s="100">
        <f t="shared" si="12"/>
        <v>1.0422500000000001</v>
      </c>
      <c r="J38" s="100">
        <f t="shared" si="12"/>
        <v>1.0422500000000001</v>
      </c>
      <c r="K38" s="100">
        <f t="shared" si="12"/>
        <v>1.0422500000000001</v>
      </c>
      <c r="L38" s="100">
        <f t="shared" si="12"/>
        <v>1.0422500000000001</v>
      </c>
      <c r="M38" s="100">
        <f t="shared" si="12"/>
        <v>1.0422500000000001</v>
      </c>
      <c r="N38" s="100">
        <f t="shared" si="12"/>
        <v>1.0422500000000001</v>
      </c>
      <c r="O38" s="100">
        <f t="shared" si="12"/>
        <v>1.0422500000000001</v>
      </c>
      <c r="P38" s="100">
        <f t="shared" si="12"/>
        <v>0</v>
      </c>
      <c r="Q38" s="100">
        <f t="shared" si="12"/>
        <v>0</v>
      </c>
      <c r="R38" s="100">
        <f t="shared" si="12"/>
        <v>0</v>
      </c>
      <c r="S38" s="100">
        <f t="shared" si="12"/>
        <v>0</v>
      </c>
      <c r="T38" s="100">
        <f t="shared" si="12"/>
        <v>0</v>
      </c>
      <c r="U38" s="100">
        <f t="shared" si="12"/>
        <v>0</v>
      </c>
      <c r="V38" s="100">
        <f t="shared" si="12"/>
        <v>0</v>
      </c>
      <c r="W38" s="100">
        <f t="shared" si="12"/>
        <v>0</v>
      </c>
      <c r="X38" s="100">
        <f t="shared" si="12"/>
        <v>0</v>
      </c>
      <c r="Y38" s="100">
        <f t="shared" si="12"/>
        <v>0</v>
      </c>
      <c r="Z38" s="100">
        <f t="shared" si="12"/>
        <v>0</v>
      </c>
      <c r="AA38" s="100">
        <f t="shared" si="12"/>
        <v>0</v>
      </c>
      <c r="AB38" s="100">
        <f t="shared" si="12"/>
        <v>0</v>
      </c>
      <c r="AC38" s="100">
        <f t="shared" si="12"/>
        <v>0</v>
      </c>
      <c r="AD38" s="100">
        <f t="shared" si="12"/>
        <v>0</v>
      </c>
      <c r="AE38" s="100">
        <f t="shared" si="12"/>
        <v>0</v>
      </c>
      <c r="AF38" s="100">
        <f t="shared" si="12"/>
        <v>0</v>
      </c>
      <c r="AG38" s="100">
        <f t="shared" si="12"/>
        <v>0</v>
      </c>
      <c r="AH38" s="100">
        <f t="shared" si="12"/>
        <v>0</v>
      </c>
      <c r="AI38" s="100">
        <f t="shared" si="12"/>
        <v>0</v>
      </c>
      <c r="AJ38" s="100">
        <f t="shared" si="12"/>
        <v>0</v>
      </c>
      <c r="AK38" s="100">
        <f t="shared" si="12"/>
        <v>0</v>
      </c>
      <c r="AL38" s="100">
        <f t="shared" si="12"/>
        <v>0</v>
      </c>
      <c r="AM38" s="100">
        <f t="shared" si="12"/>
        <v>0</v>
      </c>
      <c r="AN38" s="100">
        <f t="shared" si="12"/>
        <v>0</v>
      </c>
      <c r="AO38" s="100">
        <f t="shared" si="12"/>
        <v>0</v>
      </c>
      <c r="AP38" s="100">
        <f t="shared" si="12"/>
        <v>0</v>
      </c>
    </row>
    <row r="39" spans="2:44">
      <c r="D39" t="s">
        <v>185</v>
      </c>
      <c r="F39" s="100">
        <f t="shared" ref="F39:AP39" si="13">$I$8*(F31+F32)</f>
        <v>1.67</v>
      </c>
      <c r="G39" s="100">
        <f t="shared" si="13"/>
        <v>3.4020000000000006</v>
      </c>
      <c r="H39" s="100">
        <f t="shared" si="13"/>
        <v>1.4590000000000001</v>
      </c>
      <c r="I39" s="100">
        <f t="shared" si="13"/>
        <v>1.4590000000000001</v>
      </c>
      <c r="J39" s="100">
        <f t="shared" si="13"/>
        <v>1.4590000000000001</v>
      </c>
      <c r="K39" s="100">
        <f t="shared" si="13"/>
        <v>1.4590000000000001</v>
      </c>
      <c r="L39" s="100">
        <f t="shared" si="13"/>
        <v>1.4590000000000001</v>
      </c>
      <c r="M39" s="100">
        <f t="shared" si="13"/>
        <v>1.4590000000000001</v>
      </c>
      <c r="N39" s="100">
        <f t="shared" si="13"/>
        <v>1.4590000000000001</v>
      </c>
      <c r="O39" s="100">
        <f t="shared" si="13"/>
        <v>1.4590000000000001</v>
      </c>
      <c r="P39" s="100">
        <f t="shared" si="13"/>
        <v>0</v>
      </c>
      <c r="Q39" s="100">
        <f t="shared" si="13"/>
        <v>0</v>
      </c>
      <c r="R39" s="100">
        <f t="shared" si="13"/>
        <v>0</v>
      </c>
      <c r="S39" s="100">
        <f t="shared" si="13"/>
        <v>0</v>
      </c>
      <c r="T39" s="100">
        <f t="shared" si="13"/>
        <v>0</v>
      </c>
      <c r="U39" s="100">
        <f t="shared" si="13"/>
        <v>0</v>
      </c>
      <c r="V39" s="100">
        <f t="shared" si="13"/>
        <v>0</v>
      </c>
      <c r="W39" s="100">
        <f t="shared" si="13"/>
        <v>0</v>
      </c>
      <c r="X39" s="100">
        <f t="shared" si="13"/>
        <v>0</v>
      </c>
      <c r="Y39" s="100">
        <f t="shared" si="13"/>
        <v>0</v>
      </c>
      <c r="Z39" s="100">
        <f t="shared" si="13"/>
        <v>0</v>
      </c>
      <c r="AA39" s="100">
        <f t="shared" si="13"/>
        <v>0</v>
      </c>
      <c r="AB39" s="100">
        <f t="shared" si="13"/>
        <v>0</v>
      </c>
      <c r="AC39" s="100">
        <f t="shared" si="13"/>
        <v>0</v>
      </c>
      <c r="AD39" s="100">
        <f t="shared" si="13"/>
        <v>0</v>
      </c>
      <c r="AE39" s="100">
        <f t="shared" si="13"/>
        <v>0</v>
      </c>
      <c r="AF39" s="100">
        <f t="shared" si="13"/>
        <v>0</v>
      </c>
      <c r="AG39" s="100">
        <f t="shared" si="13"/>
        <v>0</v>
      </c>
      <c r="AH39" s="100">
        <f t="shared" si="13"/>
        <v>0</v>
      </c>
      <c r="AI39" s="100">
        <f t="shared" si="13"/>
        <v>0</v>
      </c>
      <c r="AJ39" s="100">
        <f t="shared" si="13"/>
        <v>0</v>
      </c>
      <c r="AK39" s="100">
        <f t="shared" si="13"/>
        <v>0</v>
      </c>
      <c r="AL39" s="100">
        <f t="shared" si="13"/>
        <v>0</v>
      </c>
      <c r="AM39" s="100">
        <f t="shared" si="13"/>
        <v>0</v>
      </c>
      <c r="AN39" s="100">
        <f t="shared" si="13"/>
        <v>0</v>
      </c>
      <c r="AO39" s="100">
        <f t="shared" si="13"/>
        <v>0</v>
      </c>
      <c r="AP39" s="100">
        <f t="shared" si="13"/>
        <v>0</v>
      </c>
    </row>
    <row r="40" spans="2:44">
      <c r="E40" s="65"/>
    </row>
    <row r="41" spans="2:44">
      <c r="B41" s="458" t="s">
        <v>282</v>
      </c>
    </row>
    <row r="42" spans="2:44">
      <c r="B42" t="s">
        <v>135</v>
      </c>
      <c r="C42" t="s">
        <v>175</v>
      </c>
      <c r="H42" s="97">
        <f>$F$39/12</f>
        <v>0.13916666666666666</v>
      </c>
      <c r="I42" s="97">
        <f t="shared" ref="I42:AF42" si="14">$F$39/12</f>
        <v>0.13916666666666666</v>
      </c>
      <c r="J42" s="97">
        <f t="shared" si="14"/>
        <v>0.13916666666666666</v>
      </c>
      <c r="K42" s="97">
        <f t="shared" si="14"/>
        <v>0.13916666666666666</v>
      </c>
      <c r="L42" s="97">
        <f t="shared" si="14"/>
        <v>0.13916666666666666</v>
      </c>
      <c r="M42" s="97">
        <f t="shared" si="14"/>
        <v>0.13916666666666666</v>
      </c>
      <c r="N42" s="97">
        <f t="shared" si="14"/>
        <v>0.13916666666666666</v>
      </c>
      <c r="O42" s="97">
        <f t="shared" si="14"/>
        <v>0.13916666666666666</v>
      </c>
      <c r="P42" s="97">
        <f t="shared" si="14"/>
        <v>0.13916666666666666</v>
      </c>
      <c r="Q42" s="97">
        <f t="shared" si="14"/>
        <v>0.13916666666666666</v>
      </c>
      <c r="R42" s="97">
        <f t="shared" si="14"/>
        <v>0.13916666666666666</v>
      </c>
      <c r="S42" s="97">
        <f t="shared" si="14"/>
        <v>0.13916666666666666</v>
      </c>
      <c r="T42" s="97">
        <f t="shared" si="14"/>
        <v>0.13916666666666666</v>
      </c>
      <c r="U42" s="97">
        <f t="shared" si="14"/>
        <v>0.13916666666666666</v>
      </c>
      <c r="V42" s="97">
        <f t="shared" si="14"/>
        <v>0.13916666666666666</v>
      </c>
      <c r="W42" s="97">
        <f t="shared" si="14"/>
        <v>0.13916666666666666</v>
      </c>
      <c r="X42" s="97">
        <f t="shared" si="14"/>
        <v>0.13916666666666666</v>
      </c>
      <c r="Y42" s="97">
        <f t="shared" si="14"/>
        <v>0.13916666666666666</v>
      </c>
      <c r="Z42" s="97">
        <f t="shared" si="14"/>
        <v>0.13916666666666666</v>
      </c>
      <c r="AA42" s="97">
        <f t="shared" si="14"/>
        <v>0.13916666666666666</v>
      </c>
      <c r="AB42" s="97">
        <f t="shared" si="14"/>
        <v>0.13916666666666666</v>
      </c>
      <c r="AC42" s="97">
        <f t="shared" si="14"/>
        <v>0.13916666666666666</v>
      </c>
      <c r="AD42" s="97">
        <f t="shared" si="14"/>
        <v>0.13916666666666666</v>
      </c>
      <c r="AE42" s="97">
        <f t="shared" si="14"/>
        <v>0.13916666666666666</v>
      </c>
      <c r="AF42" s="97">
        <f t="shared" si="14"/>
        <v>0.13916666666666666</v>
      </c>
      <c r="AQ42" s="103">
        <f>SUM(F42:AP42)</f>
        <v>3.4791666666666665</v>
      </c>
    </row>
    <row r="43" spans="2:44">
      <c r="C43" t="s">
        <v>174</v>
      </c>
      <c r="I43" s="97">
        <f>$G$39/12</f>
        <v>0.28350000000000003</v>
      </c>
      <c r="J43" s="97">
        <f t="shared" ref="J43:AG43" si="15">$G$39/12</f>
        <v>0.28350000000000003</v>
      </c>
      <c r="K43" s="97">
        <f t="shared" si="15"/>
        <v>0.28350000000000003</v>
      </c>
      <c r="L43" s="97">
        <f t="shared" si="15"/>
        <v>0.28350000000000003</v>
      </c>
      <c r="M43" s="97">
        <f t="shared" si="15"/>
        <v>0.28350000000000003</v>
      </c>
      <c r="N43" s="97">
        <f t="shared" si="15"/>
        <v>0.28350000000000003</v>
      </c>
      <c r="O43" s="97">
        <f t="shared" si="15"/>
        <v>0.28350000000000003</v>
      </c>
      <c r="P43" s="97">
        <f t="shared" si="15"/>
        <v>0.28350000000000003</v>
      </c>
      <c r="Q43" s="97">
        <f t="shared" si="15"/>
        <v>0.28350000000000003</v>
      </c>
      <c r="R43" s="97">
        <f t="shared" si="15"/>
        <v>0.28350000000000003</v>
      </c>
      <c r="S43" s="97">
        <f t="shared" si="15"/>
        <v>0.28350000000000003</v>
      </c>
      <c r="T43" s="97">
        <f t="shared" si="15"/>
        <v>0.28350000000000003</v>
      </c>
      <c r="U43" s="97">
        <f t="shared" si="15"/>
        <v>0.28350000000000003</v>
      </c>
      <c r="V43" s="97">
        <f t="shared" si="15"/>
        <v>0.28350000000000003</v>
      </c>
      <c r="W43" s="97">
        <f t="shared" si="15"/>
        <v>0.28350000000000003</v>
      </c>
      <c r="X43" s="97">
        <f t="shared" si="15"/>
        <v>0.28350000000000003</v>
      </c>
      <c r="Y43" s="97">
        <f t="shared" si="15"/>
        <v>0.28350000000000003</v>
      </c>
      <c r="Z43" s="97">
        <f t="shared" si="15"/>
        <v>0.28350000000000003</v>
      </c>
      <c r="AA43" s="97">
        <f t="shared" si="15"/>
        <v>0.28350000000000003</v>
      </c>
      <c r="AB43" s="97">
        <f t="shared" si="15"/>
        <v>0.28350000000000003</v>
      </c>
      <c r="AC43" s="97">
        <f t="shared" si="15"/>
        <v>0.28350000000000003</v>
      </c>
      <c r="AD43" s="97">
        <f t="shared" si="15"/>
        <v>0.28350000000000003</v>
      </c>
      <c r="AE43" s="97">
        <f t="shared" si="15"/>
        <v>0.28350000000000003</v>
      </c>
      <c r="AF43" s="97">
        <f t="shared" si="15"/>
        <v>0.28350000000000003</v>
      </c>
      <c r="AG43" s="97">
        <f t="shared" si="15"/>
        <v>0.28350000000000003</v>
      </c>
      <c r="AQ43" s="103">
        <f t="shared" ref="AQ43:AQ52" si="16">SUM(F43:AP43)</f>
        <v>7.0875000000000012</v>
      </c>
    </row>
    <row r="44" spans="2:44">
      <c r="C44" t="s">
        <v>173</v>
      </c>
      <c r="J44" s="97">
        <f>$H$39/12</f>
        <v>0.12158333333333333</v>
      </c>
      <c r="K44" s="97">
        <f t="shared" ref="K44:AH44" si="17">$H$39/12</f>
        <v>0.12158333333333333</v>
      </c>
      <c r="L44" s="97">
        <f t="shared" si="17"/>
        <v>0.12158333333333333</v>
      </c>
      <c r="M44" s="97">
        <f t="shared" si="17"/>
        <v>0.12158333333333333</v>
      </c>
      <c r="N44" s="97">
        <f t="shared" si="17"/>
        <v>0.12158333333333333</v>
      </c>
      <c r="O44" s="97">
        <f t="shared" si="17"/>
        <v>0.12158333333333333</v>
      </c>
      <c r="P44" s="97">
        <f t="shared" si="17"/>
        <v>0.12158333333333333</v>
      </c>
      <c r="Q44" s="97">
        <f t="shared" si="17"/>
        <v>0.12158333333333333</v>
      </c>
      <c r="R44" s="97">
        <f t="shared" si="17"/>
        <v>0.12158333333333333</v>
      </c>
      <c r="S44" s="97">
        <f t="shared" si="17"/>
        <v>0.12158333333333333</v>
      </c>
      <c r="T44" s="97">
        <f t="shared" si="17"/>
        <v>0.12158333333333333</v>
      </c>
      <c r="U44" s="97">
        <f t="shared" si="17"/>
        <v>0.12158333333333333</v>
      </c>
      <c r="V44" s="97">
        <f t="shared" si="17"/>
        <v>0.12158333333333333</v>
      </c>
      <c r="W44" s="97">
        <f t="shared" si="17"/>
        <v>0.12158333333333333</v>
      </c>
      <c r="X44" s="97">
        <f t="shared" si="17"/>
        <v>0.12158333333333333</v>
      </c>
      <c r="Y44" s="97">
        <f t="shared" si="17"/>
        <v>0.12158333333333333</v>
      </c>
      <c r="Z44" s="97">
        <f t="shared" si="17"/>
        <v>0.12158333333333333</v>
      </c>
      <c r="AA44" s="97">
        <f t="shared" si="17"/>
        <v>0.12158333333333333</v>
      </c>
      <c r="AB44" s="97">
        <f t="shared" si="17"/>
        <v>0.12158333333333333</v>
      </c>
      <c r="AC44" s="97">
        <f t="shared" si="17"/>
        <v>0.12158333333333333</v>
      </c>
      <c r="AD44" s="97">
        <f t="shared" si="17"/>
        <v>0.12158333333333333</v>
      </c>
      <c r="AE44" s="97">
        <f t="shared" si="17"/>
        <v>0.12158333333333333</v>
      </c>
      <c r="AF44" s="97">
        <f t="shared" si="17"/>
        <v>0.12158333333333333</v>
      </c>
      <c r="AG44" s="97">
        <f t="shared" si="17"/>
        <v>0.12158333333333333</v>
      </c>
      <c r="AH44" s="97">
        <f t="shared" si="17"/>
        <v>0.12158333333333333</v>
      </c>
      <c r="AQ44" s="103">
        <f t="shared" si="16"/>
        <v>3.0395833333333324</v>
      </c>
    </row>
    <row r="45" spans="2:44">
      <c r="C45" t="s">
        <v>172</v>
      </c>
      <c r="K45" s="97">
        <f>$I$39/12</f>
        <v>0.12158333333333333</v>
      </c>
      <c r="L45" s="97">
        <f t="shared" ref="L45:AI45" si="18">$I$39/12</f>
        <v>0.12158333333333333</v>
      </c>
      <c r="M45" s="97">
        <f t="shared" si="18"/>
        <v>0.12158333333333333</v>
      </c>
      <c r="N45" s="97">
        <f t="shared" si="18"/>
        <v>0.12158333333333333</v>
      </c>
      <c r="O45" s="97">
        <f t="shared" si="18"/>
        <v>0.12158333333333333</v>
      </c>
      <c r="P45" s="97">
        <f t="shared" si="18"/>
        <v>0.12158333333333333</v>
      </c>
      <c r="Q45" s="97">
        <f t="shared" si="18"/>
        <v>0.12158333333333333</v>
      </c>
      <c r="R45" s="97">
        <f t="shared" si="18"/>
        <v>0.12158333333333333</v>
      </c>
      <c r="S45" s="97">
        <f t="shared" si="18"/>
        <v>0.12158333333333333</v>
      </c>
      <c r="T45" s="97">
        <f t="shared" si="18"/>
        <v>0.12158333333333333</v>
      </c>
      <c r="U45" s="97">
        <f t="shared" si="18"/>
        <v>0.12158333333333333</v>
      </c>
      <c r="V45" s="97">
        <f t="shared" si="18"/>
        <v>0.12158333333333333</v>
      </c>
      <c r="W45" s="97">
        <f t="shared" si="18"/>
        <v>0.12158333333333333</v>
      </c>
      <c r="X45" s="97">
        <f t="shared" si="18"/>
        <v>0.12158333333333333</v>
      </c>
      <c r="Y45" s="97">
        <f t="shared" si="18"/>
        <v>0.12158333333333333</v>
      </c>
      <c r="Z45" s="97">
        <f t="shared" si="18"/>
        <v>0.12158333333333333</v>
      </c>
      <c r="AA45" s="97">
        <f t="shared" si="18"/>
        <v>0.12158333333333333</v>
      </c>
      <c r="AB45" s="97">
        <f t="shared" si="18"/>
        <v>0.12158333333333333</v>
      </c>
      <c r="AC45" s="97">
        <f t="shared" si="18"/>
        <v>0.12158333333333333</v>
      </c>
      <c r="AD45" s="97">
        <f t="shared" si="18"/>
        <v>0.12158333333333333</v>
      </c>
      <c r="AE45" s="97">
        <f t="shared" si="18"/>
        <v>0.12158333333333333</v>
      </c>
      <c r="AF45" s="97">
        <f t="shared" si="18"/>
        <v>0.12158333333333333</v>
      </c>
      <c r="AG45" s="97">
        <f t="shared" si="18"/>
        <v>0.12158333333333333</v>
      </c>
      <c r="AH45" s="97">
        <f t="shared" si="18"/>
        <v>0.12158333333333333</v>
      </c>
      <c r="AI45" s="97">
        <f t="shared" si="18"/>
        <v>0.12158333333333333</v>
      </c>
      <c r="AQ45" s="103">
        <f t="shared" si="16"/>
        <v>3.0395833333333324</v>
      </c>
    </row>
    <row r="46" spans="2:44">
      <c r="C46" t="s">
        <v>171</v>
      </c>
      <c r="L46" s="97">
        <f>$J$39/12</f>
        <v>0.12158333333333333</v>
      </c>
      <c r="M46" s="97">
        <f t="shared" ref="M46:AJ46" si="19">$J$39/12</f>
        <v>0.12158333333333333</v>
      </c>
      <c r="N46" s="97">
        <f t="shared" si="19"/>
        <v>0.12158333333333333</v>
      </c>
      <c r="O46" s="97">
        <f t="shared" si="19"/>
        <v>0.12158333333333333</v>
      </c>
      <c r="P46" s="97">
        <f t="shared" si="19"/>
        <v>0.12158333333333333</v>
      </c>
      <c r="Q46" s="97">
        <f t="shared" si="19"/>
        <v>0.12158333333333333</v>
      </c>
      <c r="R46" s="97">
        <f t="shared" si="19"/>
        <v>0.12158333333333333</v>
      </c>
      <c r="S46" s="97">
        <f t="shared" si="19"/>
        <v>0.12158333333333333</v>
      </c>
      <c r="T46" s="97">
        <f t="shared" si="19"/>
        <v>0.12158333333333333</v>
      </c>
      <c r="U46" s="97">
        <f t="shared" si="19"/>
        <v>0.12158333333333333</v>
      </c>
      <c r="V46" s="97">
        <f t="shared" si="19"/>
        <v>0.12158333333333333</v>
      </c>
      <c r="W46" s="97">
        <f t="shared" si="19"/>
        <v>0.12158333333333333</v>
      </c>
      <c r="X46" s="97">
        <f t="shared" si="19"/>
        <v>0.12158333333333333</v>
      </c>
      <c r="Y46" s="97">
        <f t="shared" si="19"/>
        <v>0.12158333333333333</v>
      </c>
      <c r="Z46" s="97">
        <f t="shared" si="19"/>
        <v>0.12158333333333333</v>
      </c>
      <c r="AA46" s="97">
        <f t="shared" si="19"/>
        <v>0.12158333333333333</v>
      </c>
      <c r="AB46" s="97">
        <f t="shared" si="19"/>
        <v>0.12158333333333333</v>
      </c>
      <c r="AC46" s="97">
        <f t="shared" si="19"/>
        <v>0.12158333333333333</v>
      </c>
      <c r="AD46" s="97">
        <f t="shared" si="19"/>
        <v>0.12158333333333333</v>
      </c>
      <c r="AE46" s="97">
        <f t="shared" si="19"/>
        <v>0.12158333333333333</v>
      </c>
      <c r="AF46" s="97">
        <f t="shared" si="19"/>
        <v>0.12158333333333333</v>
      </c>
      <c r="AG46" s="97">
        <f t="shared" si="19"/>
        <v>0.12158333333333333</v>
      </c>
      <c r="AH46" s="97">
        <f t="shared" si="19"/>
        <v>0.12158333333333333</v>
      </c>
      <c r="AI46" s="97">
        <f t="shared" si="19"/>
        <v>0.12158333333333333</v>
      </c>
      <c r="AJ46" s="97">
        <f t="shared" si="19"/>
        <v>0.12158333333333333</v>
      </c>
      <c r="AQ46" s="103">
        <f t="shared" si="16"/>
        <v>3.0395833333333324</v>
      </c>
    </row>
    <row r="47" spans="2:44">
      <c r="C47" t="s">
        <v>170</v>
      </c>
      <c r="M47" s="97">
        <f>$K$39/12</f>
        <v>0.12158333333333333</v>
      </c>
      <c r="N47" s="97">
        <f t="shared" ref="N47:AK47" si="20">$K$39/12</f>
        <v>0.12158333333333333</v>
      </c>
      <c r="O47" s="97">
        <f t="shared" si="20"/>
        <v>0.12158333333333333</v>
      </c>
      <c r="P47" s="97">
        <f t="shared" si="20"/>
        <v>0.12158333333333333</v>
      </c>
      <c r="Q47" s="97">
        <f t="shared" si="20"/>
        <v>0.12158333333333333</v>
      </c>
      <c r="R47" s="97">
        <f t="shared" si="20"/>
        <v>0.12158333333333333</v>
      </c>
      <c r="S47" s="97">
        <f t="shared" si="20"/>
        <v>0.12158333333333333</v>
      </c>
      <c r="T47" s="97">
        <f t="shared" si="20"/>
        <v>0.12158333333333333</v>
      </c>
      <c r="U47" s="97">
        <f t="shared" si="20"/>
        <v>0.12158333333333333</v>
      </c>
      <c r="V47" s="97">
        <f t="shared" si="20"/>
        <v>0.12158333333333333</v>
      </c>
      <c r="W47" s="97">
        <f t="shared" si="20"/>
        <v>0.12158333333333333</v>
      </c>
      <c r="X47" s="97">
        <f t="shared" si="20"/>
        <v>0.12158333333333333</v>
      </c>
      <c r="Y47" s="97">
        <f t="shared" si="20"/>
        <v>0.12158333333333333</v>
      </c>
      <c r="Z47" s="97">
        <f t="shared" si="20"/>
        <v>0.12158333333333333</v>
      </c>
      <c r="AA47" s="97">
        <f t="shared" si="20"/>
        <v>0.12158333333333333</v>
      </c>
      <c r="AB47" s="97">
        <f t="shared" si="20"/>
        <v>0.12158333333333333</v>
      </c>
      <c r="AC47" s="97">
        <f t="shared" si="20"/>
        <v>0.12158333333333333</v>
      </c>
      <c r="AD47" s="97">
        <f t="shared" si="20"/>
        <v>0.12158333333333333</v>
      </c>
      <c r="AE47" s="97">
        <f t="shared" si="20"/>
        <v>0.12158333333333333</v>
      </c>
      <c r="AF47" s="97">
        <f t="shared" si="20"/>
        <v>0.12158333333333333</v>
      </c>
      <c r="AG47" s="97">
        <f t="shared" si="20"/>
        <v>0.12158333333333333</v>
      </c>
      <c r="AH47" s="97">
        <f t="shared" si="20"/>
        <v>0.12158333333333333</v>
      </c>
      <c r="AI47" s="97">
        <f t="shared" si="20"/>
        <v>0.12158333333333333</v>
      </c>
      <c r="AJ47" s="97">
        <f t="shared" si="20"/>
        <v>0.12158333333333333</v>
      </c>
      <c r="AK47" s="97">
        <f t="shared" si="20"/>
        <v>0.12158333333333333</v>
      </c>
      <c r="AQ47" s="103">
        <f t="shared" si="16"/>
        <v>3.0395833333333324</v>
      </c>
    </row>
    <row r="48" spans="2:44">
      <c r="C48" t="s">
        <v>169</v>
      </c>
      <c r="N48" s="97">
        <f>$L$39/12</f>
        <v>0.12158333333333333</v>
      </c>
      <c r="O48" s="97">
        <f t="shared" ref="O48:AL48" si="21">$L$39/12</f>
        <v>0.12158333333333333</v>
      </c>
      <c r="P48" s="97">
        <f t="shared" si="21"/>
        <v>0.12158333333333333</v>
      </c>
      <c r="Q48" s="97">
        <f t="shared" si="21"/>
        <v>0.12158333333333333</v>
      </c>
      <c r="R48" s="97">
        <f t="shared" si="21"/>
        <v>0.12158333333333333</v>
      </c>
      <c r="S48" s="97">
        <f t="shared" si="21"/>
        <v>0.12158333333333333</v>
      </c>
      <c r="T48" s="97">
        <f t="shared" si="21"/>
        <v>0.12158333333333333</v>
      </c>
      <c r="U48" s="97">
        <f t="shared" si="21"/>
        <v>0.12158333333333333</v>
      </c>
      <c r="V48" s="97">
        <f t="shared" si="21"/>
        <v>0.12158333333333333</v>
      </c>
      <c r="W48" s="97">
        <f t="shared" si="21"/>
        <v>0.12158333333333333</v>
      </c>
      <c r="X48" s="97">
        <f t="shared" si="21"/>
        <v>0.12158333333333333</v>
      </c>
      <c r="Y48" s="97">
        <f t="shared" si="21"/>
        <v>0.12158333333333333</v>
      </c>
      <c r="Z48" s="97">
        <f t="shared" si="21"/>
        <v>0.12158333333333333</v>
      </c>
      <c r="AA48" s="97">
        <f t="shared" si="21"/>
        <v>0.12158333333333333</v>
      </c>
      <c r="AB48" s="97">
        <f t="shared" si="21"/>
        <v>0.12158333333333333</v>
      </c>
      <c r="AC48" s="97">
        <f t="shared" si="21"/>
        <v>0.12158333333333333</v>
      </c>
      <c r="AD48" s="97">
        <f t="shared" si="21"/>
        <v>0.12158333333333333</v>
      </c>
      <c r="AE48" s="97">
        <f t="shared" si="21"/>
        <v>0.12158333333333333</v>
      </c>
      <c r="AF48" s="97">
        <f t="shared" si="21"/>
        <v>0.12158333333333333</v>
      </c>
      <c r="AG48" s="97">
        <f t="shared" si="21"/>
        <v>0.12158333333333333</v>
      </c>
      <c r="AH48" s="97">
        <f t="shared" si="21"/>
        <v>0.12158333333333333</v>
      </c>
      <c r="AI48" s="97">
        <f t="shared" si="21"/>
        <v>0.12158333333333333</v>
      </c>
      <c r="AJ48" s="97">
        <f t="shared" si="21"/>
        <v>0.12158333333333333</v>
      </c>
      <c r="AK48" s="97">
        <f t="shared" si="21"/>
        <v>0.12158333333333333</v>
      </c>
      <c r="AL48" s="97">
        <f t="shared" si="21"/>
        <v>0.12158333333333333</v>
      </c>
      <c r="AQ48" s="103">
        <f t="shared" si="16"/>
        <v>3.0395833333333324</v>
      </c>
    </row>
    <row r="49" spans="1:44">
      <c r="C49" t="s">
        <v>168</v>
      </c>
      <c r="O49" s="97">
        <f>$M$39/12</f>
        <v>0.12158333333333333</v>
      </c>
      <c r="P49" s="97">
        <f t="shared" ref="P49:AM49" si="22">$M$39/12</f>
        <v>0.12158333333333333</v>
      </c>
      <c r="Q49" s="97">
        <f t="shared" si="22"/>
        <v>0.12158333333333333</v>
      </c>
      <c r="R49" s="97">
        <f t="shared" si="22"/>
        <v>0.12158333333333333</v>
      </c>
      <c r="S49" s="97">
        <f t="shared" si="22"/>
        <v>0.12158333333333333</v>
      </c>
      <c r="T49" s="97">
        <f t="shared" si="22"/>
        <v>0.12158333333333333</v>
      </c>
      <c r="U49" s="97">
        <f t="shared" si="22"/>
        <v>0.12158333333333333</v>
      </c>
      <c r="V49" s="97">
        <f t="shared" si="22"/>
        <v>0.12158333333333333</v>
      </c>
      <c r="W49" s="97">
        <f t="shared" si="22"/>
        <v>0.12158333333333333</v>
      </c>
      <c r="X49" s="97">
        <f t="shared" si="22"/>
        <v>0.12158333333333333</v>
      </c>
      <c r="Y49" s="97">
        <f t="shared" si="22"/>
        <v>0.12158333333333333</v>
      </c>
      <c r="Z49" s="97">
        <f t="shared" si="22"/>
        <v>0.12158333333333333</v>
      </c>
      <c r="AA49" s="97">
        <f t="shared" si="22"/>
        <v>0.12158333333333333</v>
      </c>
      <c r="AB49" s="97">
        <f t="shared" si="22"/>
        <v>0.12158333333333333</v>
      </c>
      <c r="AC49" s="97">
        <f t="shared" si="22"/>
        <v>0.12158333333333333</v>
      </c>
      <c r="AD49" s="97">
        <f t="shared" si="22"/>
        <v>0.12158333333333333</v>
      </c>
      <c r="AE49" s="97">
        <f t="shared" si="22"/>
        <v>0.12158333333333333</v>
      </c>
      <c r="AF49" s="97">
        <f t="shared" si="22"/>
        <v>0.12158333333333333</v>
      </c>
      <c r="AG49" s="97">
        <f t="shared" si="22"/>
        <v>0.12158333333333333</v>
      </c>
      <c r="AH49" s="97">
        <f t="shared" si="22"/>
        <v>0.12158333333333333</v>
      </c>
      <c r="AI49" s="97">
        <f t="shared" si="22"/>
        <v>0.12158333333333333</v>
      </c>
      <c r="AJ49" s="97">
        <f t="shared" si="22"/>
        <v>0.12158333333333333</v>
      </c>
      <c r="AK49" s="97">
        <f t="shared" si="22"/>
        <v>0.12158333333333333</v>
      </c>
      <c r="AL49" s="97">
        <f t="shared" si="22"/>
        <v>0.12158333333333333</v>
      </c>
      <c r="AM49" s="97">
        <f t="shared" si="22"/>
        <v>0.12158333333333333</v>
      </c>
      <c r="AQ49" s="103">
        <f t="shared" si="16"/>
        <v>3.0395833333333324</v>
      </c>
    </row>
    <row r="50" spans="1:44">
      <c r="C50" t="s">
        <v>167</v>
      </c>
      <c r="P50" s="97">
        <f>$N$39/12</f>
        <v>0.12158333333333333</v>
      </c>
      <c r="Q50" s="97">
        <f t="shared" ref="Q50:AN50" si="23">$N$39/12</f>
        <v>0.12158333333333333</v>
      </c>
      <c r="R50" s="97">
        <f t="shared" si="23"/>
        <v>0.12158333333333333</v>
      </c>
      <c r="S50" s="97">
        <f t="shared" si="23"/>
        <v>0.12158333333333333</v>
      </c>
      <c r="T50" s="97">
        <f t="shared" si="23"/>
        <v>0.12158333333333333</v>
      </c>
      <c r="U50" s="97">
        <f t="shared" si="23"/>
        <v>0.12158333333333333</v>
      </c>
      <c r="V50" s="97">
        <f t="shared" si="23"/>
        <v>0.12158333333333333</v>
      </c>
      <c r="W50" s="97">
        <f t="shared" si="23"/>
        <v>0.12158333333333333</v>
      </c>
      <c r="X50" s="97">
        <f t="shared" si="23"/>
        <v>0.12158333333333333</v>
      </c>
      <c r="Y50" s="97">
        <f t="shared" si="23"/>
        <v>0.12158333333333333</v>
      </c>
      <c r="Z50" s="97">
        <f t="shared" si="23"/>
        <v>0.12158333333333333</v>
      </c>
      <c r="AA50" s="97">
        <f t="shared" si="23"/>
        <v>0.12158333333333333</v>
      </c>
      <c r="AB50" s="97">
        <f t="shared" si="23"/>
        <v>0.12158333333333333</v>
      </c>
      <c r="AC50" s="97">
        <f t="shared" si="23"/>
        <v>0.12158333333333333</v>
      </c>
      <c r="AD50" s="97">
        <f t="shared" si="23"/>
        <v>0.12158333333333333</v>
      </c>
      <c r="AE50" s="97">
        <f t="shared" si="23"/>
        <v>0.12158333333333333</v>
      </c>
      <c r="AF50" s="97">
        <f t="shared" si="23"/>
        <v>0.12158333333333333</v>
      </c>
      <c r="AG50" s="97">
        <f t="shared" si="23"/>
        <v>0.12158333333333333</v>
      </c>
      <c r="AH50" s="97">
        <f t="shared" si="23"/>
        <v>0.12158333333333333</v>
      </c>
      <c r="AI50" s="97">
        <f t="shared" si="23"/>
        <v>0.12158333333333333</v>
      </c>
      <c r="AJ50" s="97">
        <f t="shared" si="23"/>
        <v>0.12158333333333333</v>
      </c>
      <c r="AK50" s="97">
        <f t="shared" si="23"/>
        <v>0.12158333333333333</v>
      </c>
      <c r="AL50" s="97">
        <f t="shared" si="23"/>
        <v>0.12158333333333333</v>
      </c>
      <c r="AM50" s="97">
        <f t="shared" si="23"/>
        <v>0.12158333333333333</v>
      </c>
      <c r="AN50" s="97">
        <f t="shared" si="23"/>
        <v>0.12158333333333333</v>
      </c>
      <c r="AQ50" s="103">
        <f t="shared" si="16"/>
        <v>3.0395833333333324</v>
      </c>
    </row>
    <row r="51" spans="1:44">
      <c r="C51" t="s">
        <v>166</v>
      </c>
      <c r="Q51" s="97">
        <f>$O$39/12</f>
        <v>0.12158333333333333</v>
      </c>
      <c r="R51" s="97">
        <f t="shared" ref="R51:AO51" si="24">$O$39/12</f>
        <v>0.12158333333333333</v>
      </c>
      <c r="S51" s="97">
        <f t="shared" si="24"/>
        <v>0.12158333333333333</v>
      </c>
      <c r="T51" s="97">
        <f t="shared" si="24"/>
        <v>0.12158333333333333</v>
      </c>
      <c r="U51" s="97">
        <f t="shared" si="24"/>
        <v>0.12158333333333333</v>
      </c>
      <c r="V51" s="97">
        <f t="shared" si="24"/>
        <v>0.12158333333333333</v>
      </c>
      <c r="W51" s="97">
        <f t="shared" si="24"/>
        <v>0.12158333333333333</v>
      </c>
      <c r="X51" s="97">
        <f t="shared" si="24"/>
        <v>0.12158333333333333</v>
      </c>
      <c r="Y51" s="97">
        <f t="shared" si="24"/>
        <v>0.12158333333333333</v>
      </c>
      <c r="Z51" s="97">
        <f t="shared" si="24"/>
        <v>0.12158333333333333</v>
      </c>
      <c r="AA51" s="97">
        <f t="shared" si="24"/>
        <v>0.12158333333333333</v>
      </c>
      <c r="AB51" s="97">
        <f t="shared" si="24"/>
        <v>0.12158333333333333</v>
      </c>
      <c r="AC51" s="97">
        <f t="shared" si="24"/>
        <v>0.12158333333333333</v>
      </c>
      <c r="AD51" s="97">
        <f t="shared" si="24"/>
        <v>0.12158333333333333</v>
      </c>
      <c r="AE51" s="97">
        <f t="shared" si="24"/>
        <v>0.12158333333333333</v>
      </c>
      <c r="AF51" s="97">
        <f t="shared" si="24"/>
        <v>0.12158333333333333</v>
      </c>
      <c r="AG51" s="97">
        <f t="shared" si="24"/>
        <v>0.12158333333333333</v>
      </c>
      <c r="AH51" s="97">
        <f t="shared" si="24"/>
        <v>0.12158333333333333</v>
      </c>
      <c r="AI51" s="97">
        <f t="shared" si="24"/>
        <v>0.12158333333333333</v>
      </c>
      <c r="AJ51" s="97">
        <f t="shared" si="24"/>
        <v>0.12158333333333333</v>
      </c>
      <c r="AK51" s="97">
        <f t="shared" si="24"/>
        <v>0.12158333333333333</v>
      </c>
      <c r="AL51" s="97">
        <f t="shared" si="24"/>
        <v>0.12158333333333333</v>
      </c>
      <c r="AM51" s="97">
        <f t="shared" si="24"/>
        <v>0.12158333333333333</v>
      </c>
      <c r="AN51" s="97">
        <f t="shared" si="24"/>
        <v>0.12158333333333333</v>
      </c>
      <c r="AO51" s="97">
        <f t="shared" si="24"/>
        <v>0.12158333333333333</v>
      </c>
      <c r="AP51" s="97"/>
      <c r="AQ51" s="103">
        <f t="shared" si="16"/>
        <v>3.0395833333333324</v>
      </c>
    </row>
    <row r="52" spans="1:44">
      <c r="C52" t="s">
        <v>196</v>
      </c>
      <c r="Q52" s="97"/>
      <c r="R52" s="97">
        <f>$P$39/12</f>
        <v>0</v>
      </c>
      <c r="S52" s="97">
        <f t="shared" ref="S52:AP52" si="25">$P$39/12</f>
        <v>0</v>
      </c>
      <c r="T52" s="97">
        <f t="shared" si="25"/>
        <v>0</v>
      </c>
      <c r="U52" s="97">
        <f t="shared" si="25"/>
        <v>0</v>
      </c>
      <c r="V52" s="97">
        <f t="shared" si="25"/>
        <v>0</v>
      </c>
      <c r="W52" s="97">
        <f t="shared" si="25"/>
        <v>0</v>
      </c>
      <c r="X52" s="97">
        <f t="shared" si="25"/>
        <v>0</v>
      </c>
      <c r="Y52" s="97">
        <f t="shared" si="25"/>
        <v>0</v>
      </c>
      <c r="Z52" s="97">
        <f t="shared" si="25"/>
        <v>0</v>
      </c>
      <c r="AA52" s="97">
        <f t="shared" si="25"/>
        <v>0</v>
      </c>
      <c r="AB52" s="97">
        <f t="shared" si="25"/>
        <v>0</v>
      </c>
      <c r="AC52" s="97">
        <f t="shared" si="25"/>
        <v>0</v>
      </c>
      <c r="AD52" s="97">
        <f t="shared" si="25"/>
        <v>0</v>
      </c>
      <c r="AE52" s="97">
        <f t="shared" si="25"/>
        <v>0</v>
      </c>
      <c r="AF52" s="97">
        <f t="shared" si="25"/>
        <v>0</v>
      </c>
      <c r="AG52" s="97">
        <f t="shared" si="25"/>
        <v>0</v>
      </c>
      <c r="AH52" s="97">
        <f t="shared" si="25"/>
        <v>0</v>
      </c>
      <c r="AI52" s="97">
        <f t="shared" si="25"/>
        <v>0</v>
      </c>
      <c r="AJ52" s="97">
        <f t="shared" si="25"/>
        <v>0</v>
      </c>
      <c r="AK52" s="97">
        <f t="shared" si="25"/>
        <v>0</v>
      </c>
      <c r="AL52" s="97">
        <f t="shared" si="25"/>
        <v>0</v>
      </c>
      <c r="AM52" s="97">
        <f t="shared" si="25"/>
        <v>0</v>
      </c>
      <c r="AN52" s="97">
        <f t="shared" si="25"/>
        <v>0</v>
      </c>
      <c r="AO52" s="97">
        <f t="shared" si="25"/>
        <v>0</v>
      </c>
      <c r="AP52" s="97">
        <f t="shared" si="25"/>
        <v>0</v>
      </c>
      <c r="AQ52" s="103">
        <f t="shared" si="16"/>
        <v>0</v>
      </c>
    </row>
    <row r="53" spans="1:44">
      <c r="Q53" s="97"/>
      <c r="S53" s="97"/>
      <c r="AQ53" s="527">
        <f>SUM(AQ42:AQ52)</f>
        <v>34.883333333333326</v>
      </c>
    </row>
    <row r="54" spans="1:44">
      <c r="C54" t="s">
        <v>313</v>
      </c>
      <c r="F54" s="104">
        <f t="shared" ref="F54:AP54" si="26">F38+SUM(F42:F52)</f>
        <v>1.32</v>
      </c>
      <c r="G54" s="104">
        <f t="shared" si="26"/>
        <v>1.7139999999999997</v>
      </c>
      <c r="H54" s="104">
        <f t="shared" si="26"/>
        <v>1.1814166666666668</v>
      </c>
      <c r="I54" s="104">
        <f t="shared" si="26"/>
        <v>1.4649166666666669</v>
      </c>
      <c r="J54" s="104">
        <f t="shared" si="26"/>
        <v>1.5865</v>
      </c>
      <c r="K54" s="104">
        <f t="shared" si="26"/>
        <v>1.7080833333333336</v>
      </c>
      <c r="L54" s="104">
        <f t="shared" si="26"/>
        <v>1.8296666666666668</v>
      </c>
      <c r="M54" s="104">
        <f t="shared" si="26"/>
        <v>1.9512500000000004</v>
      </c>
      <c r="N54" s="104">
        <f t="shared" si="26"/>
        <v>2.0728333333333335</v>
      </c>
      <c r="O54" s="104">
        <f t="shared" si="26"/>
        <v>2.1944166666666671</v>
      </c>
      <c r="P54" s="104">
        <f t="shared" si="26"/>
        <v>1.2737500000000002</v>
      </c>
      <c r="Q54" s="104">
        <f t="shared" si="26"/>
        <v>1.3953333333333335</v>
      </c>
      <c r="R54" s="104">
        <f t="shared" si="26"/>
        <v>1.3953333333333335</v>
      </c>
      <c r="S54" s="104">
        <f t="shared" si="26"/>
        <v>1.3953333333333335</v>
      </c>
      <c r="T54" s="104">
        <f t="shared" si="26"/>
        <v>1.3953333333333335</v>
      </c>
      <c r="U54" s="104">
        <f t="shared" si="26"/>
        <v>1.3953333333333335</v>
      </c>
      <c r="V54" s="104">
        <f t="shared" si="26"/>
        <v>1.3953333333333335</v>
      </c>
      <c r="W54" s="104">
        <f t="shared" si="26"/>
        <v>1.3953333333333335</v>
      </c>
      <c r="X54" s="104">
        <f t="shared" si="26"/>
        <v>1.3953333333333335</v>
      </c>
      <c r="Y54" s="104">
        <f t="shared" si="26"/>
        <v>1.3953333333333335</v>
      </c>
      <c r="Z54" s="104">
        <f t="shared" si="26"/>
        <v>1.3953333333333335</v>
      </c>
      <c r="AA54" s="104">
        <f t="shared" si="26"/>
        <v>1.3953333333333335</v>
      </c>
      <c r="AB54" s="104">
        <f t="shared" si="26"/>
        <v>1.3953333333333335</v>
      </c>
      <c r="AC54" s="104">
        <f t="shared" si="26"/>
        <v>1.3953333333333335</v>
      </c>
      <c r="AD54" s="104">
        <f t="shared" si="26"/>
        <v>1.3953333333333335</v>
      </c>
      <c r="AE54" s="104">
        <f t="shared" si="26"/>
        <v>1.3953333333333335</v>
      </c>
      <c r="AF54" s="104">
        <f t="shared" si="26"/>
        <v>1.3953333333333335</v>
      </c>
      <c r="AG54" s="104">
        <f t="shared" si="26"/>
        <v>1.2561666666666669</v>
      </c>
      <c r="AH54" s="104">
        <f t="shared" si="26"/>
        <v>0.97266666666666679</v>
      </c>
      <c r="AI54" s="104">
        <f t="shared" si="26"/>
        <v>0.85108333333333341</v>
      </c>
      <c r="AJ54" s="104">
        <f t="shared" si="26"/>
        <v>0.72950000000000004</v>
      </c>
      <c r="AK54" s="104">
        <f t="shared" si="26"/>
        <v>0.60791666666666666</v>
      </c>
      <c r="AL54" s="104">
        <f t="shared" si="26"/>
        <v>0.48633333333333334</v>
      </c>
      <c r="AM54" s="104">
        <f t="shared" si="26"/>
        <v>0.36475000000000002</v>
      </c>
      <c r="AN54" s="104">
        <f t="shared" si="26"/>
        <v>0.24316666666666667</v>
      </c>
      <c r="AO54" s="104">
        <f t="shared" si="26"/>
        <v>0.12158333333333333</v>
      </c>
      <c r="AP54" s="104">
        <f t="shared" si="26"/>
        <v>0</v>
      </c>
      <c r="AQ54" s="528">
        <f>SUM(F54:AP54)</f>
        <v>46.25533333333334</v>
      </c>
    </row>
    <row r="55" spans="1:44">
      <c r="C55" t="s">
        <v>198</v>
      </c>
      <c r="F55" s="116">
        <v>0.5</v>
      </c>
      <c r="Q55" s="97"/>
      <c r="AQ55" s="529"/>
    </row>
    <row r="56" spans="1:44">
      <c r="C56" t="s">
        <v>130</v>
      </c>
      <c r="F56" s="104">
        <f>F54*$F$55</f>
        <v>0.66</v>
      </c>
      <c r="G56" s="104">
        <f t="shared" ref="G56:AP56" si="27">G54*$F$55</f>
        <v>0.85699999999999987</v>
      </c>
      <c r="H56" s="104">
        <f t="shared" si="27"/>
        <v>0.59070833333333339</v>
      </c>
      <c r="I56" s="104">
        <f t="shared" si="27"/>
        <v>0.73245833333333343</v>
      </c>
      <c r="J56" s="104">
        <f t="shared" si="27"/>
        <v>0.79325000000000001</v>
      </c>
      <c r="K56" s="104">
        <f t="shared" si="27"/>
        <v>0.85404166666666681</v>
      </c>
      <c r="L56" s="104">
        <f t="shared" si="27"/>
        <v>0.91483333333333339</v>
      </c>
      <c r="M56" s="104">
        <f t="shared" si="27"/>
        <v>0.97562500000000019</v>
      </c>
      <c r="N56" s="104">
        <f t="shared" si="27"/>
        <v>1.0364166666666668</v>
      </c>
      <c r="O56" s="104">
        <f t="shared" si="27"/>
        <v>1.0972083333333336</v>
      </c>
      <c r="P56" s="104">
        <f t="shared" si="27"/>
        <v>0.63687500000000008</v>
      </c>
      <c r="Q56" s="104">
        <f t="shared" si="27"/>
        <v>0.69766666666666677</v>
      </c>
      <c r="R56" s="104">
        <f t="shared" si="27"/>
        <v>0.69766666666666677</v>
      </c>
      <c r="S56" s="104">
        <f t="shared" si="27"/>
        <v>0.69766666666666677</v>
      </c>
      <c r="T56" s="104">
        <f t="shared" si="27"/>
        <v>0.69766666666666677</v>
      </c>
      <c r="U56" s="104">
        <f t="shared" si="27"/>
        <v>0.69766666666666677</v>
      </c>
      <c r="V56" s="104">
        <f t="shared" si="27"/>
        <v>0.69766666666666677</v>
      </c>
      <c r="W56" s="104">
        <f t="shared" si="27"/>
        <v>0.69766666666666677</v>
      </c>
      <c r="X56" s="104">
        <f t="shared" si="27"/>
        <v>0.69766666666666677</v>
      </c>
      <c r="Y56" s="104">
        <f t="shared" si="27"/>
        <v>0.69766666666666677</v>
      </c>
      <c r="Z56" s="104">
        <f t="shared" si="27"/>
        <v>0.69766666666666677</v>
      </c>
      <c r="AA56" s="104">
        <f t="shared" si="27"/>
        <v>0.69766666666666677</v>
      </c>
      <c r="AB56" s="104">
        <f t="shared" si="27"/>
        <v>0.69766666666666677</v>
      </c>
      <c r="AC56" s="104">
        <f t="shared" si="27"/>
        <v>0.69766666666666677</v>
      </c>
      <c r="AD56" s="104">
        <f t="shared" si="27"/>
        <v>0.69766666666666677</v>
      </c>
      <c r="AE56" s="104">
        <f t="shared" si="27"/>
        <v>0.69766666666666677</v>
      </c>
      <c r="AF56" s="104">
        <f t="shared" si="27"/>
        <v>0.69766666666666677</v>
      </c>
      <c r="AG56" s="104">
        <f t="shared" si="27"/>
        <v>0.62808333333333344</v>
      </c>
      <c r="AH56" s="104">
        <f t="shared" si="27"/>
        <v>0.4863333333333334</v>
      </c>
      <c r="AI56" s="104">
        <f t="shared" si="27"/>
        <v>0.42554166666666671</v>
      </c>
      <c r="AJ56" s="104">
        <f t="shared" si="27"/>
        <v>0.36475000000000002</v>
      </c>
      <c r="AK56" s="104">
        <f t="shared" si="27"/>
        <v>0.30395833333333333</v>
      </c>
      <c r="AL56" s="104">
        <f t="shared" si="27"/>
        <v>0.24316666666666667</v>
      </c>
      <c r="AM56" s="104">
        <f t="shared" si="27"/>
        <v>0.18237500000000001</v>
      </c>
      <c r="AN56" s="104">
        <f t="shared" si="27"/>
        <v>0.12158333333333333</v>
      </c>
      <c r="AO56" s="104">
        <f t="shared" si="27"/>
        <v>6.0791666666666667E-2</v>
      </c>
      <c r="AP56" s="104">
        <f t="shared" si="27"/>
        <v>0</v>
      </c>
      <c r="AQ56" s="118">
        <f>SUM(F56:AP56)</f>
        <v>23.12766666666667</v>
      </c>
    </row>
    <row r="57" spans="1:44" s="39" customFormat="1">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row>
    <row r="58" spans="1:44">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row>
    <row r="59" spans="1:44">
      <c r="B59" s="521" t="str">
        <f>'[2]D1-D5 hub Benefit Summary'!B10</f>
        <v>D2</v>
      </c>
      <c r="C59" s="458" t="s">
        <v>182</v>
      </c>
      <c r="G59" s="458"/>
    </row>
    <row r="60" spans="1:44">
      <c r="B60" s="521"/>
      <c r="C60" s="458"/>
      <c r="G60" s="458"/>
    </row>
    <row r="61" spans="1:44" s="39" customFormat="1">
      <c r="F61" s="522" t="s">
        <v>6</v>
      </c>
      <c r="G61" s="522" t="s">
        <v>7</v>
      </c>
      <c r="H61" s="522" t="s">
        <v>8</v>
      </c>
      <c r="I61" s="522" t="s">
        <v>9</v>
      </c>
      <c r="J61" s="522" t="s">
        <v>10</v>
      </c>
      <c r="K61" s="522" t="s">
        <v>11</v>
      </c>
      <c r="L61" s="522" t="s">
        <v>13</v>
      </c>
      <c r="M61" s="522" t="s">
        <v>14</v>
      </c>
      <c r="N61" s="522" t="s">
        <v>15</v>
      </c>
      <c r="O61" s="522" t="s">
        <v>16</v>
      </c>
      <c r="P61" s="522" t="s">
        <v>17</v>
      </c>
      <c r="Q61" s="522" t="s">
        <v>18</v>
      </c>
      <c r="R61" s="522" t="s">
        <v>19</v>
      </c>
      <c r="S61" s="522" t="s">
        <v>20</v>
      </c>
      <c r="T61" s="522" t="s">
        <v>21</v>
      </c>
      <c r="U61" s="522" t="s">
        <v>22</v>
      </c>
      <c r="V61" s="522" t="s">
        <v>23</v>
      </c>
      <c r="W61" s="522" t="s">
        <v>24</v>
      </c>
      <c r="X61" s="522" t="s">
        <v>25</v>
      </c>
      <c r="Y61" s="522" t="s">
        <v>26</v>
      </c>
      <c r="Z61" s="522" t="s">
        <v>27</v>
      </c>
      <c r="AA61" s="522" t="s">
        <v>28</v>
      </c>
      <c r="AB61" s="522" t="s">
        <v>29</v>
      </c>
      <c r="AC61" s="522" t="s">
        <v>46</v>
      </c>
      <c r="AD61" s="522" t="s">
        <v>47</v>
      </c>
      <c r="AE61" s="522" t="s">
        <v>48</v>
      </c>
      <c r="AF61" s="522" t="s">
        <v>49</v>
      </c>
      <c r="AG61" s="522" t="s">
        <v>50</v>
      </c>
      <c r="AH61" s="522" t="s">
        <v>51</v>
      </c>
      <c r="AI61" s="522" t="s">
        <v>52</v>
      </c>
      <c r="AJ61" s="522" t="s">
        <v>53</v>
      </c>
      <c r="AK61" s="522" t="s">
        <v>54</v>
      </c>
      <c r="AL61" s="522" t="s">
        <v>55</v>
      </c>
      <c r="AM61" s="522" t="s">
        <v>56</v>
      </c>
      <c r="AN61" s="522" t="s">
        <v>57</v>
      </c>
      <c r="AO61" s="522" t="s">
        <v>279</v>
      </c>
      <c r="AP61" s="522" t="s">
        <v>280</v>
      </c>
    </row>
    <row r="62" spans="1:44">
      <c r="E62" s="523" t="s">
        <v>153</v>
      </c>
      <c r="F62" s="458">
        <f t="shared" ref="F62:AP62" si="28">F$37</f>
        <v>1</v>
      </c>
      <c r="G62" s="458">
        <f t="shared" si="28"/>
        <v>2</v>
      </c>
      <c r="H62" s="458">
        <f t="shared" si="28"/>
        <v>3</v>
      </c>
      <c r="I62" s="458">
        <f t="shared" si="28"/>
        <v>4</v>
      </c>
      <c r="J62" s="458">
        <f t="shared" si="28"/>
        <v>5</v>
      </c>
      <c r="K62" s="458">
        <f t="shared" si="28"/>
        <v>6</v>
      </c>
      <c r="L62" s="458">
        <f t="shared" si="28"/>
        <v>7</v>
      </c>
      <c r="M62" s="458">
        <f t="shared" si="28"/>
        <v>8</v>
      </c>
      <c r="N62" s="458">
        <f t="shared" si="28"/>
        <v>9</v>
      </c>
      <c r="O62" s="458">
        <f t="shared" si="28"/>
        <v>10</v>
      </c>
      <c r="P62" s="458">
        <f t="shared" si="28"/>
        <v>11</v>
      </c>
      <c r="Q62" s="458">
        <f t="shared" si="28"/>
        <v>12</v>
      </c>
      <c r="R62" s="458">
        <f t="shared" si="28"/>
        <v>13</v>
      </c>
      <c r="S62" s="458">
        <f t="shared" si="28"/>
        <v>14</v>
      </c>
      <c r="T62" s="458">
        <f t="shared" si="28"/>
        <v>15</v>
      </c>
      <c r="U62" s="458">
        <f t="shared" si="28"/>
        <v>16</v>
      </c>
      <c r="V62" s="458">
        <f t="shared" si="28"/>
        <v>17</v>
      </c>
      <c r="W62" s="458">
        <f t="shared" si="28"/>
        <v>18</v>
      </c>
      <c r="X62" s="458">
        <f t="shared" si="28"/>
        <v>19</v>
      </c>
      <c r="Y62" s="458">
        <f t="shared" si="28"/>
        <v>20</v>
      </c>
      <c r="Z62" s="458">
        <f t="shared" si="28"/>
        <v>21</v>
      </c>
      <c r="AA62" s="458">
        <f t="shared" si="28"/>
        <v>22</v>
      </c>
      <c r="AB62" s="458">
        <f t="shared" si="28"/>
        <v>23</v>
      </c>
      <c r="AC62" s="458">
        <f t="shared" si="28"/>
        <v>24</v>
      </c>
      <c r="AD62" s="458">
        <f t="shared" si="28"/>
        <v>25</v>
      </c>
      <c r="AE62" s="458">
        <f t="shared" si="28"/>
        <v>26</v>
      </c>
      <c r="AF62" s="458">
        <f t="shared" si="28"/>
        <v>27</v>
      </c>
      <c r="AG62" s="458">
        <f t="shared" si="28"/>
        <v>28</v>
      </c>
      <c r="AH62" s="458">
        <f t="shared" si="28"/>
        <v>29</v>
      </c>
      <c r="AI62" s="458">
        <f t="shared" si="28"/>
        <v>30</v>
      </c>
      <c r="AJ62" s="458">
        <f t="shared" si="28"/>
        <v>31</v>
      </c>
      <c r="AK62" s="458">
        <f t="shared" si="28"/>
        <v>32</v>
      </c>
      <c r="AL62" s="458">
        <f t="shared" si="28"/>
        <v>33</v>
      </c>
      <c r="AM62" s="458">
        <f t="shared" si="28"/>
        <v>34</v>
      </c>
      <c r="AN62" s="458">
        <f t="shared" si="28"/>
        <v>35</v>
      </c>
      <c r="AO62" s="458">
        <f t="shared" si="28"/>
        <v>36</v>
      </c>
      <c r="AP62" s="458">
        <f t="shared" si="28"/>
        <v>37</v>
      </c>
      <c r="AQ62" s="526"/>
      <c r="AR62" s="39"/>
    </row>
    <row r="63" spans="1:44">
      <c r="B63" t="s">
        <v>154</v>
      </c>
      <c r="E63" s="72">
        <v>0.01</v>
      </c>
      <c r="F63" s="73">
        <v>0</v>
      </c>
      <c r="G63" s="73">
        <f t="shared" ref="G63:AP63" si="29">F63+$E$63</f>
        <v>0.01</v>
      </c>
      <c r="H63" s="73">
        <f t="shared" si="29"/>
        <v>0.02</v>
      </c>
      <c r="I63" s="73">
        <f t="shared" si="29"/>
        <v>0.03</v>
      </c>
      <c r="J63" s="73">
        <f t="shared" si="29"/>
        <v>0.04</v>
      </c>
      <c r="K63" s="73">
        <f t="shared" si="29"/>
        <v>0.05</v>
      </c>
      <c r="L63" s="73">
        <f t="shared" si="29"/>
        <v>6.0000000000000005E-2</v>
      </c>
      <c r="M63" s="73">
        <f t="shared" si="29"/>
        <v>7.0000000000000007E-2</v>
      </c>
      <c r="N63" s="73">
        <f t="shared" si="29"/>
        <v>0.08</v>
      </c>
      <c r="O63" s="73">
        <f t="shared" si="29"/>
        <v>0.09</v>
      </c>
      <c r="P63" s="73">
        <f t="shared" si="29"/>
        <v>9.9999999999999992E-2</v>
      </c>
      <c r="Q63" s="73">
        <f t="shared" si="29"/>
        <v>0.10999999999999999</v>
      </c>
      <c r="R63" s="73">
        <f t="shared" si="29"/>
        <v>0.11999999999999998</v>
      </c>
      <c r="S63" s="73">
        <f t="shared" si="29"/>
        <v>0.12999999999999998</v>
      </c>
      <c r="T63" s="73">
        <f t="shared" si="29"/>
        <v>0.13999999999999999</v>
      </c>
      <c r="U63" s="73">
        <f t="shared" si="29"/>
        <v>0.15</v>
      </c>
      <c r="V63" s="73">
        <f t="shared" si="29"/>
        <v>0.16</v>
      </c>
      <c r="W63" s="73">
        <f t="shared" si="29"/>
        <v>0.17</v>
      </c>
      <c r="X63" s="73">
        <f t="shared" si="29"/>
        <v>0.18000000000000002</v>
      </c>
      <c r="Y63" s="73">
        <f t="shared" si="29"/>
        <v>0.19000000000000003</v>
      </c>
      <c r="Z63" s="73">
        <f t="shared" si="29"/>
        <v>0.20000000000000004</v>
      </c>
      <c r="AA63" s="73">
        <f t="shared" si="29"/>
        <v>0.21000000000000005</v>
      </c>
      <c r="AB63" s="73">
        <f t="shared" si="29"/>
        <v>0.22000000000000006</v>
      </c>
      <c r="AC63" s="73">
        <f t="shared" si="29"/>
        <v>0.23000000000000007</v>
      </c>
      <c r="AD63" s="73">
        <f t="shared" si="29"/>
        <v>0.24000000000000007</v>
      </c>
      <c r="AE63" s="73">
        <f t="shared" si="29"/>
        <v>0.25000000000000006</v>
      </c>
      <c r="AF63" s="73">
        <f t="shared" si="29"/>
        <v>0.26000000000000006</v>
      </c>
      <c r="AG63" s="73">
        <f t="shared" si="29"/>
        <v>0.27000000000000007</v>
      </c>
      <c r="AH63" s="73">
        <f t="shared" si="29"/>
        <v>0.28000000000000008</v>
      </c>
      <c r="AI63" s="73">
        <f t="shared" si="29"/>
        <v>0.29000000000000009</v>
      </c>
      <c r="AJ63" s="73">
        <f t="shared" si="29"/>
        <v>0.3000000000000001</v>
      </c>
      <c r="AK63" s="73">
        <f t="shared" si="29"/>
        <v>0.31000000000000011</v>
      </c>
      <c r="AL63" s="73">
        <f t="shared" si="29"/>
        <v>0.32000000000000012</v>
      </c>
      <c r="AM63" s="73">
        <f t="shared" si="29"/>
        <v>0.33000000000000013</v>
      </c>
      <c r="AN63" s="73">
        <f t="shared" si="29"/>
        <v>0.34000000000000014</v>
      </c>
      <c r="AO63" s="73">
        <f t="shared" si="29"/>
        <v>0.35000000000000014</v>
      </c>
      <c r="AP63" s="73">
        <f t="shared" si="29"/>
        <v>0.36000000000000015</v>
      </c>
    </row>
    <row r="65" spans="2:43">
      <c r="C65" t="s">
        <v>192</v>
      </c>
      <c r="F65" s="97">
        <f t="shared" ref="F65:AP65" si="30">F$63*F29</f>
        <v>0</v>
      </c>
      <c r="G65" s="97">
        <f t="shared" si="30"/>
        <v>0.41500000000000004</v>
      </c>
      <c r="H65" s="97">
        <f t="shared" si="30"/>
        <v>0.62775000000000003</v>
      </c>
      <c r="I65" s="97">
        <f t="shared" si="30"/>
        <v>0.94162500000000005</v>
      </c>
      <c r="J65" s="97">
        <f t="shared" si="30"/>
        <v>1.2555000000000001</v>
      </c>
      <c r="K65" s="97">
        <f t="shared" si="30"/>
        <v>1.5693750000000002</v>
      </c>
      <c r="L65" s="97">
        <f t="shared" si="30"/>
        <v>1.8832500000000003</v>
      </c>
      <c r="M65" s="97">
        <f t="shared" si="30"/>
        <v>2.1971250000000002</v>
      </c>
      <c r="N65" s="97">
        <f t="shared" si="30"/>
        <v>2.5110000000000001</v>
      </c>
      <c r="O65" s="97">
        <f t="shared" si="30"/>
        <v>2.824875</v>
      </c>
      <c r="P65" s="97">
        <f t="shared" si="30"/>
        <v>0</v>
      </c>
      <c r="Q65" s="97">
        <f t="shared" si="30"/>
        <v>0</v>
      </c>
      <c r="R65" s="97">
        <f t="shared" si="30"/>
        <v>0</v>
      </c>
      <c r="S65" s="97">
        <f t="shared" si="30"/>
        <v>0</v>
      </c>
      <c r="T65" s="97">
        <f t="shared" si="30"/>
        <v>0</v>
      </c>
      <c r="U65" s="97">
        <f t="shared" si="30"/>
        <v>0</v>
      </c>
      <c r="V65" s="97">
        <f t="shared" si="30"/>
        <v>0</v>
      </c>
      <c r="W65" s="97">
        <f t="shared" si="30"/>
        <v>0</v>
      </c>
      <c r="X65" s="97">
        <f t="shared" si="30"/>
        <v>0</v>
      </c>
      <c r="Y65" s="97">
        <f t="shared" si="30"/>
        <v>0</v>
      </c>
      <c r="Z65" s="97">
        <f t="shared" si="30"/>
        <v>0</v>
      </c>
      <c r="AA65" s="97">
        <f t="shared" si="30"/>
        <v>0</v>
      </c>
      <c r="AB65" s="97">
        <f t="shared" si="30"/>
        <v>0</v>
      </c>
      <c r="AC65" s="97">
        <f t="shared" si="30"/>
        <v>0</v>
      </c>
      <c r="AD65" s="97">
        <f t="shared" si="30"/>
        <v>0</v>
      </c>
      <c r="AE65" s="97">
        <f t="shared" si="30"/>
        <v>0</v>
      </c>
      <c r="AF65" s="97">
        <f t="shared" si="30"/>
        <v>0</v>
      </c>
      <c r="AG65" s="97">
        <f t="shared" si="30"/>
        <v>0</v>
      </c>
      <c r="AH65" s="97">
        <f t="shared" si="30"/>
        <v>0</v>
      </c>
      <c r="AI65" s="97">
        <f t="shared" si="30"/>
        <v>0</v>
      </c>
      <c r="AJ65" s="97">
        <f t="shared" si="30"/>
        <v>0</v>
      </c>
      <c r="AK65" s="97">
        <f t="shared" si="30"/>
        <v>0</v>
      </c>
      <c r="AL65" s="97">
        <f t="shared" si="30"/>
        <v>0</v>
      </c>
      <c r="AM65" s="97">
        <f t="shared" si="30"/>
        <v>0</v>
      </c>
      <c r="AN65" s="97">
        <f t="shared" si="30"/>
        <v>0</v>
      </c>
      <c r="AO65" s="97">
        <f t="shared" si="30"/>
        <v>0</v>
      </c>
      <c r="AP65" s="97">
        <f t="shared" si="30"/>
        <v>0</v>
      </c>
      <c r="AQ65" s="103">
        <f>SUM(F65:AP65)</f>
        <v>14.225500000000002</v>
      </c>
    </row>
    <row r="66" spans="2:43">
      <c r="C66" t="s">
        <v>193</v>
      </c>
      <c r="F66" s="98"/>
      <c r="G66" s="97">
        <f t="shared" ref="G66:AP66" si="31">F$63*G30</f>
        <v>0</v>
      </c>
      <c r="H66" s="97">
        <f t="shared" si="31"/>
        <v>0.20725000000000002</v>
      </c>
      <c r="I66" s="97">
        <f t="shared" si="31"/>
        <v>0.41450000000000004</v>
      </c>
      <c r="J66" s="97">
        <f t="shared" si="31"/>
        <v>0.62175000000000002</v>
      </c>
      <c r="K66" s="97">
        <f t="shared" si="31"/>
        <v>0.82900000000000007</v>
      </c>
      <c r="L66" s="97">
        <f t="shared" si="31"/>
        <v>1.0362500000000001</v>
      </c>
      <c r="M66" s="97">
        <f t="shared" si="31"/>
        <v>1.2435000000000003</v>
      </c>
      <c r="N66" s="97">
        <f t="shared" si="31"/>
        <v>1.4507500000000002</v>
      </c>
      <c r="O66" s="97">
        <f t="shared" si="31"/>
        <v>1.6580000000000001</v>
      </c>
      <c r="P66" s="97">
        <f t="shared" si="31"/>
        <v>0</v>
      </c>
      <c r="Q66" s="97">
        <f t="shared" si="31"/>
        <v>0</v>
      </c>
      <c r="R66" s="97">
        <f t="shared" si="31"/>
        <v>0</v>
      </c>
      <c r="S66" s="97">
        <f t="shared" si="31"/>
        <v>0</v>
      </c>
      <c r="T66" s="97">
        <f t="shared" si="31"/>
        <v>0</v>
      </c>
      <c r="U66" s="97">
        <f t="shared" si="31"/>
        <v>0</v>
      </c>
      <c r="V66" s="97">
        <f t="shared" si="31"/>
        <v>0</v>
      </c>
      <c r="W66" s="97">
        <f t="shared" si="31"/>
        <v>0</v>
      </c>
      <c r="X66" s="97">
        <f t="shared" si="31"/>
        <v>0</v>
      </c>
      <c r="Y66" s="97">
        <f t="shared" si="31"/>
        <v>0</v>
      </c>
      <c r="Z66" s="97">
        <f t="shared" si="31"/>
        <v>0</v>
      </c>
      <c r="AA66" s="97">
        <f t="shared" si="31"/>
        <v>0</v>
      </c>
      <c r="AB66" s="97">
        <f t="shared" si="31"/>
        <v>0</v>
      </c>
      <c r="AC66" s="97">
        <f t="shared" si="31"/>
        <v>0</v>
      </c>
      <c r="AD66" s="97">
        <f t="shared" si="31"/>
        <v>0</v>
      </c>
      <c r="AE66" s="97">
        <f t="shared" si="31"/>
        <v>0</v>
      </c>
      <c r="AF66" s="97">
        <f t="shared" si="31"/>
        <v>0</v>
      </c>
      <c r="AG66" s="97">
        <f t="shared" si="31"/>
        <v>0</v>
      </c>
      <c r="AH66" s="97">
        <f t="shared" si="31"/>
        <v>0</v>
      </c>
      <c r="AI66" s="97">
        <f t="shared" si="31"/>
        <v>0</v>
      </c>
      <c r="AJ66" s="97">
        <f t="shared" si="31"/>
        <v>0</v>
      </c>
      <c r="AK66" s="97">
        <f t="shared" si="31"/>
        <v>0</v>
      </c>
      <c r="AL66" s="97">
        <f t="shared" si="31"/>
        <v>0</v>
      </c>
      <c r="AM66" s="97">
        <f t="shared" si="31"/>
        <v>0</v>
      </c>
      <c r="AN66" s="97">
        <f t="shared" si="31"/>
        <v>0</v>
      </c>
      <c r="AO66" s="97">
        <f t="shared" si="31"/>
        <v>0</v>
      </c>
      <c r="AP66" s="97">
        <f t="shared" si="31"/>
        <v>0</v>
      </c>
      <c r="AQ66" s="103">
        <f>SUM(F66:AP66)</f>
        <v>7.4610000000000012</v>
      </c>
    </row>
    <row r="67" spans="2:43">
      <c r="F67" s="10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530">
        <f>SUM(AQ65:AQ66)</f>
        <v>21.686500000000002</v>
      </c>
    </row>
    <row r="68" spans="2:43">
      <c r="C68" t="s">
        <v>194</v>
      </c>
      <c r="F68" s="97">
        <f t="shared" ref="F68:AP68" si="32">F$63*F31</f>
        <v>0</v>
      </c>
      <c r="G68" s="97">
        <f t="shared" si="32"/>
        <v>0.93700000000000006</v>
      </c>
      <c r="H68" s="97">
        <f t="shared" si="32"/>
        <v>0.90600000000000014</v>
      </c>
      <c r="I68" s="97">
        <f t="shared" si="32"/>
        <v>1.359</v>
      </c>
      <c r="J68" s="97">
        <f t="shared" si="32"/>
        <v>1.8120000000000003</v>
      </c>
      <c r="K68" s="97">
        <f t="shared" si="32"/>
        <v>2.2650000000000001</v>
      </c>
      <c r="L68" s="97">
        <f t="shared" si="32"/>
        <v>2.7180000000000004</v>
      </c>
      <c r="M68" s="97">
        <f t="shared" si="32"/>
        <v>3.1710000000000007</v>
      </c>
      <c r="N68" s="97">
        <f t="shared" si="32"/>
        <v>3.6240000000000006</v>
      </c>
      <c r="O68" s="97">
        <f t="shared" si="32"/>
        <v>4.077</v>
      </c>
      <c r="P68" s="97">
        <f t="shared" si="32"/>
        <v>0</v>
      </c>
      <c r="Q68" s="97">
        <f t="shared" si="32"/>
        <v>0</v>
      </c>
      <c r="R68" s="97">
        <f t="shared" si="32"/>
        <v>0</v>
      </c>
      <c r="S68" s="97">
        <f t="shared" si="32"/>
        <v>0</v>
      </c>
      <c r="T68" s="97">
        <f t="shared" si="32"/>
        <v>0</v>
      </c>
      <c r="U68" s="97">
        <f t="shared" si="32"/>
        <v>0</v>
      </c>
      <c r="V68" s="97">
        <f t="shared" si="32"/>
        <v>0</v>
      </c>
      <c r="W68" s="97">
        <f t="shared" si="32"/>
        <v>0</v>
      </c>
      <c r="X68" s="97">
        <f t="shared" si="32"/>
        <v>0</v>
      </c>
      <c r="Y68" s="97">
        <f t="shared" si="32"/>
        <v>0</v>
      </c>
      <c r="Z68" s="97">
        <f t="shared" si="32"/>
        <v>0</v>
      </c>
      <c r="AA68" s="97">
        <f t="shared" si="32"/>
        <v>0</v>
      </c>
      <c r="AB68" s="97">
        <f t="shared" si="32"/>
        <v>0</v>
      </c>
      <c r="AC68" s="97">
        <f t="shared" si="32"/>
        <v>0</v>
      </c>
      <c r="AD68" s="97">
        <f t="shared" si="32"/>
        <v>0</v>
      </c>
      <c r="AE68" s="97">
        <f t="shared" si="32"/>
        <v>0</v>
      </c>
      <c r="AF68" s="97">
        <f t="shared" si="32"/>
        <v>0</v>
      </c>
      <c r="AG68" s="97">
        <f t="shared" si="32"/>
        <v>0</v>
      </c>
      <c r="AH68" s="97">
        <f t="shared" si="32"/>
        <v>0</v>
      </c>
      <c r="AI68" s="97">
        <f t="shared" si="32"/>
        <v>0</v>
      </c>
      <c r="AJ68" s="97">
        <f t="shared" si="32"/>
        <v>0</v>
      </c>
      <c r="AK68" s="97">
        <f t="shared" si="32"/>
        <v>0</v>
      </c>
      <c r="AL68" s="97">
        <f t="shared" si="32"/>
        <v>0</v>
      </c>
      <c r="AM68" s="97">
        <f t="shared" si="32"/>
        <v>0</v>
      </c>
      <c r="AN68" s="97">
        <f t="shared" si="32"/>
        <v>0</v>
      </c>
      <c r="AO68" s="97">
        <f t="shared" si="32"/>
        <v>0</v>
      </c>
      <c r="AP68" s="97">
        <f t="shared" si="32"/>
        <v>0</v>
      </c>
      <c r="AQ68" s="108"/>
    </row>
    <row r="69" spans="2:43">
      <c r="C69" t="s">
        <v>195</v>
      </c>
      <c r="F69" s="98"/>
      <c r="G69" s="97">
        <f t="shared" ref="G69:AP69" si="33">F$63*G32</f>
        <v>0</v>
      </c>
      <c r="H69" s="97">
        <f t="shared" si="33"/>
        <v>0.27649999999999997</v>
      </c>
      <c r="I69" s="97">
        <f t="shared" si="33"/>
        <v>0.55299999999999994</v>
      </c>
      <c r="J69" s="97">
        <f t="shared" si="33"/>
        <v>0.8294999999999999</v>
      </c>
      <c r="K69" s="97">
        <f t="shared" si="33"/>
        <v>1.1059999999999999</v>
      </c>
      <c r="L69" s="97">
        <f t="shared" si="33"/>
        <v>1.3825000000000001</v>
      </c>
      <c r="M69" s="97">
        <f t="shared" si="33"/>
        <v>1.659</v>
      </c>
      <c r="N69" s="97">
        <f t="shared" si="33"/>
        <v>1.9355</v>
      </c>
      <c r="O69" s="97">
        <f t="shared" si="33"/>
        <v>2.2119999999999997</v>
      </c>
      <c r="P69" s="97">
        <f t="shared" si="33"/>
        <v>0</v>
      </c>
      <c r="Q69" s="97">
        <f t="shared" si="33"/>
        <v>0</v>
      </c>
      <c r="R69" s="97">
        <f t="shared" si="33"/>
        <v>0</v>
      </c>
      <c r="S69" s="97">
        <f t="shared" si="33"/>
        <v>0</v>
      </c>
      <c r="T69" s="97">
        <f t="shared" si="33"/>
        <v>0</v>
      </c>
      <c r="U69" s="97">
        <f t="shared" si="33"/>
        <v>0</v>
      </c>
      <c r="V69" s="97">
        <f t="shared" si="33"/>
        <v>0</v>
      </c>
      <c r="W69" s="97">
        <f t="shared" si="33"/>
        <v>0</v>
      </c>
      <c r="X69" s="97">
        <f t="shared" si="33"/>
        <v>0</v>
      </c>
      <c r="Y69" s="97">
        <f t="shared" si="33"/>
        <v>0</v>
      </c>
      <c r="Z69" s="97">
        <f t="shared" si="33"/>
        <v>0</v>
      </c>
      <c r="AA69" s="97">
        <f t="shared" si="33"/>
        <v>0</v>
      </c>
      <c r="AB69" s="97">
        <f t="shared" si="33"/>
        <v>0</v>
      </c>
      <c r="AC69" s="97">
        <f t="shared" si="33"/>
        <v>0</v>
      </c>
      <c r="AD69" s="97">
        <f t="shared" si="33"/>
        <v>0</v>
      </c>
      <c r="AE69" s="97">
        <f t="shared" si="33"/>
        <v>0</v>
      </c>
      <c r="AF69" s="97">
        <f t="shared" si="33"/>
        <v>0</v>
      </c>
      <c r="AG69" s="97">
        <f t="shared" si="33"/>
        <v>0</v>
      </c>
      <c r="AH69" s="97">
        <f t="shared" si="33"/>
        <v>0</v>
      </c>
      <c r="AI69" s="97">
        <f t="shared" si="33"/>
        <v>0</v>
      </c>
      <c r="AJ69" s="97">
        <f t="shared" si="33"/>
        <v>0</v>
      </c>
      <c r="AK69" s="97">
        <f t="shared" si="33"/>
        <v>0</v>
      </c>
      <c r="AL69" s="97">
        <f t="shared" si="33"/>
        <v>0</v>
      </c>
      <c r="AM69" s="97">
        <f t="shared" si="33"/>
        <v>0</v>
      </c>
      <c r="AN69" s="97">
        <f t="shared" si="33"/>
        <v>0</v>
      </c>
      <c r="AO69" s="97">
        <f t="shared" si="33"/>
        <v>0</v>
      </c>
      <c r="AP69" s="97">
        <f t="shared" si="33"/>
        <v>0</v>
      </c>
      <c r="AQ69" s="108"/>
    </row>
    <row r="70" spans="2:43">
      <c r="AQ70" s="531"/>
    </row>
    <row r="71" spans="2:43">
      <c r="B71" t="s">
        <v>135</v>
      </c>
      <c r="C71" t="s">
        <v>175</v>
      </c>
      <c r="F71" s="107"/>
      <c r="G71" s="107"/>
      <c r="H71" s="97">
        <f>($F$68+$F$69)*$C$83</f>
        <v>0</v>
      </c>
      <c r="I71" s="97">
        <f t="shared" ref="I71:AF71" si="34">($F$68+$F$69)*$C$83</f>
        <v>0</v>
      </c>
      <c r="J71" s="97">
        <f t="shared" si="34"/>
        <v>0</v>
      </c>
      <c r="K71" s="97">
        <f t="shared" si="34"/>
        <v>0</v>
      </c>
      <c r="L71" s="97">
        <f t="shared" si="34"/>
        <v>0</v>
      </c>
      <c r="M71" s="97">
        <f t="shared" si="34"/>
        <v>0</v>
      </c>
      <c r="N71" s="97">
        <f t="shared" si="34"/>
        <v>0</v>
      </c>
      <c r="O71" s="97">
        <f t="shared" si="34"/>
        <v>0</v>
      </c>
      <c r="P71" s="97">
        <f t="shared" si="34"/>
        <v>0</v>
      </c>
      <c r="Q71" s="97">
        <f t="shared" si="34"/>
        <v>0</v>
      </c>
      <c r="R71" s="97">
        <f t="shared" si="34"/>
        <v>0</v>
      </c>
      <c r="S71" s="97">
        <f t="shared" si="34"/>
        <v>0</v>
      </c>
      <c r="T71" s="97">
        <f t="shared" si="34"/>
        <v>0</v>
      </c>
      <c r="U71" s="97">
        <f t="shared" si="34"/>
        <v>0</v>
      </c>
      <c r="V71" s="97">
        <f t="shared" si="34"/>
        <v>0</v>
      </c>
      <c r="W71" s="97">
        <f t="shared" si="34"/>
        <v>0</v>
      </c>
      <c r="X71" s="97">
        <f t="shared" si="34"/>
        <v>0</v>
      </c>
      <c r="Y71" s="97">
        <f t="shared" si="34"/>
        <v>0</v>
      </c>
      <c r="Z71" s="97">
        <f t="shared" si="34"/>
        <v>0</v>
      </c>
      <c r="AA71" s="97">
        <f t="shared" si="34"/>
        <v>0</v>
      </c>
      <c r="AB71" s="97">
        <f t="shared" si="34"/>
        <v>0</v>
      </c>
      <c r="AC71" s="97">
        <f t="shared" si="34"/>
        <v>0</v>
      </c>
      <c r="AD71" s="97">
        <f t="shared" si="34"/>
        <v>0</v>
      </c>
      <c r="AE71" s="97">
        <f t="shared" si="34"/>
        <v>0</v>
      </c>
      <c r="AF71" s="97">
        <f t="shared" si="34"/>
        <v>0</v>
      </c>
      <c r="AG71" s="97"/>
      <c r="AH71" s="97"/>
      <c r="AI71" s="97"/>
      <c r="AJ71" s="97"/>
      <c r="AK71" s="97"/>
      <c r="AL71" s="97"/>
      <c r="AM71" s="97"/>
      <c r="AN71" s="97"/>
      <c r="AO71" s="97"/>
      <c r="AP71" s="97"/>
      <c r="AQ71" s="103">
        <f>SUM(F71:AP71)</f>
        <v>0</v>
      </c>
    </row>
    <row r="72" spans="2:43">
      <c r="C72" t="s">
        <v>174</v>
      </c>
      <c r="F72" s="97"/>
      <c r="G72" s="97"/>
      <c r="H72" s="97"/>
      <c r="I72" s="97">
        <f>($G$68+$G$69)*$C$83</f>
        <v>7.0275000000000004E-2</v>
      </c>
      <c r="J72" s="97">
        <f t="shared" ref="J72:AG72" si="35">($G$68+$G$69)*$C$83</f>
        <v>7.0275000000000004E-2</v>
      </c>
      <c r="K72" s="97">
        <f t="shared" si="35"/>
        <v>7.0275000000000004E-2</v>
      </c>
      <c r="L72" s="97">
        <f t="shared" si="35"/>
        <v>7.0275000000000004E-2</v>
      </c>
      <c r="M72" s="97">
        <f t="shared" si="35"/>
        <v>7.0275000000000004E-2</v>
      </c>
      <c r="N72" s="97">
        <f t="shared" si="35"/>
        <v>7.0275000000000004E-2</v>
      </c>
      <c r="O72" s="97">
        <f t="shared" si="35"/>
        <v>7.0275000000000004E-2</v>
      </c>
      <c r="P72" s="97">
        <f t="shared" si="35"/>
        <v>7.0275000000000004E-2</v>
      </c>
      <c r="Q72" s="97">
        <f t="shared" si="35"/>
        <v>7.0275000000000004E-2</v>
      </c>
      <c r="R72" s="97">
        <f t="shared" si="35"/>
        <v>7.0275000000000004E-2</v>
      </c>
      <c r="S72" s="97">
        <f t="shared" si="35"/>
        <v>7.0275000000000004E-2</v>
      </c>
      <c r="T72" s="97">
        <f t="shared" si="35"/>
        <v>7.0275000000000004E-2</v>
      </c>
      <c r="U72" s="97">
        <f t="shared" si="35"/>
        <v>7.0275000000000004E-2</v>
      </c>
      <c r="V72" s="97">
        <f t="shared" si="35"/>
        <v>7.0275000000000004E-2</v>
      </c>
      <c r="W72" s="97">
        <f t="shared" si="35"/>
        <v>7.0275000000000004E-2</v>
      </c>
      <c r="X72" s="97">
        <f t="shared" si="35"/>
        <v>7.0275000000000004E-2</v>
      </c>
      <c r="Y72" s="97">
        <f t="shared" si="35"/>
        <v>7.0275000000000004E-2</v>
      </c>
      <c r="Z72" s="97">
        <f t="shared" si="35"/>
        <v>7.0275000000000004E-2</v>
      </c>
      <c r="AA72" s="97">
        <f t="shared" si="35"/>
        <v>7.0275000000000004E-2</v>
      </c>
      <c r="AB72" s="97">
        <f t="shared" si="35"/>
        <v>7.0275000000000004E-2</v>
      </c>
      <c r="AC72" s="97">
        <f t="shared" si="35"/>
        <v>7.0275000000000004E-2</v>
      </c>
      <c r="AD72" s="97">
        <f t="shared" si="35"/>
        <v>7.0275000000000004E-2</v>
      </c>
      <c r="AE72" s="97">
        <f t="shared" si="35"/>
        <v>7.0275000000000004E-2</v>
      </c>
      <c r="AF72" s="97">
        <f t="shared" si="35"/>
        <v>7.0275000000000004E-2</v>
      </c>
      <c r="AG72" s="97">
        <f t="shared" si="35"/>
        <v>7.0275000000000004E-2</v>
      </c>
      <c r="AH72" s="97"/>
      <c r="AI72" s="97"/>
      <c r="AJ72" s="97"/>
      <c r="AK72" s="97"/>
      <c r="AL72" s="97"/>
      <c r="AM72" s="97"/>
      <c r="AN72" s="97"/>
      <c r="AO72" s="97"/>
      <c r="AP72" s="97"/>
      <c r="AQ72" s="103">
        <f t="shared" ref="AQ72:AQ81" si="36">SUM(F72:AP72)</f>
        <v>1.7568750000000006</v>
      </c>
    </row>
    <row r="73" spans="2:43">
      <c r="C73" t="s">
        <v>173</v>
      </c>
      <c r="F73" s="97"/>
      <c r="G73" s="97"/>
      <c r="H73" s="97"/>
      <c r="I73" s="97"/>
      <c r="J73" s="97">
        <f>($H$68+$H$69)*$C$83</f>
        <v>8.8687500000000002E-2</v>
      </c>
      <c r="K73" s="97">
        <f t="shared" ref="K73:AH73" si="37">($H$68+$H$69)*$C$83</f>
        <v>8.8687500000000002E-2</v>
      </c>
      <c r="L73" s="97">
        <f t="shared" si="37"/>
        <v>8.8687500000000002E-2</v>
      </c>
      <c r="M73" s="97">
        <f t="shared" si="37"/>
        <v>8.8687500000000002E-2</v>
      </c>
      <c r="N73" s="97">
        <f t="shared" si="37"/>
        <v>8.8687500000000002E-2</v>
      </c>
      <c r="O73" s="97">
        <f t="shared" si="37"/>
        <v>8.8687500000000002E-2</v>
      </c>
      <c r="P73" s="97">
        <f t="shared" si="37"/>
        <v>8.8687500000000002E-2</v>
      </c>
      <c r="Q73" s="97">
        <f t="shared" si="37"/>
        <v>8.8687500000000002E-2</v>
      </c>
      <c r="R73" s="97">
        <f t="shared" si="37"/>
        <v>8.8687500000000002E-2</v>
      </c>
      <c r="S73" s="97">
        <f t="shared" si="37"/>
        <v>8.8687500000000002E-2</v>
      </c>
      <c r="T73" s="97">
        <f t="shared" si="37"/>
        <v>8.8687500000000002E-2</v>
      </c>
      <c r="U73" s="97">
        <f t="shared" si="37"/>
        <v>8.8687500000000002E-2</v>
      </c>
      <c r="V73" s="97">
        <f t="shared" si="37"/>
        <v>8.8687500000000002E-2</v>
      </c>
      <c r="W73" s="97">
        <f t="shared" si="37"/>
        <v>8.8687500000000002E-2</v>
      </c>
      <c r="X73" s="97">
        <f t="shared" si="37"/>
        <v>8.8687500000000002E-2</v>
      </c>
      <c r="Y73" s="97">
        <f t="shared" si="37"/>
        <v>8.8687500000000002E-2</v>
      </c>
      <c r="Z73" s="97">
        <f t="shared" si="37"/>
        <v>8.8687500000000002E-2</v>
      </c>
      <c r="AA73" s="97">
        <f t="shared" si="37"/>
        <v>8.8687500000000002E-2</v>
      </c>
      <c r="AB73" s="97">
        <f t="shared" si="37"/>
        <v>8.8687500000000002E-2</v>
      </c>
      <c r="AC73" s="97">
        <f t="shared" si="37"/>
        <v>8.8687500000000002E-2</v>
      </c>
      <c r="AD73" s="97">
        <f t="shared" si="37"/>
        <v>8.8687500000000002E-2</v>
      </c>
      <c r="AE73" s="97">
        <f t="shared" si="37"/>
        <v>8.8687500000000002E-2</v>
      </c>
      <c r="AF73" s="97">
        <f t="shared" si="37"/>
        <v>8.8687500000000002E-2</v>
      </c>
      <c r="AG73" s="97">
        <f t="shared" si="37"/>
        <v>8.8687500000000002E-2</v>
      </c>
      <c r="AH73" s="97">
        <f t="shared" si="37"/>
        <v>8.8687500000000002E-2</v>
      </c>
      <c r="AI73" s="97"/>
      <c r="AJ73" s="97"/>
      <c r="AK73" s="97"/>
      <c r="AL73" s="97"/>
      <c r="AM73" s="97"/>
      <c r="AN73" s="97"/>
      <c r="AO73" s="97"/>
      <c r="AP73" s="97"/>
      <c r="AQ73" s="103">
        <f t="shared" si="36"/>
        <v>2.2171875000000001</v>
      </c>
    </row>
    <row r="74" spans="2:43">
      <c r="C74" t="s">
        <v>172</v>
      </c>
      <c r="F74" s="97"/>
      <c r="G74" s="97"/>
      <c r="H74" s="97"/>
      <c r="I74" s="97"/>
      <c r="J74" s="97"/>
      <c r="K74" s="97">
        <f>($I$68+$I$69)*$C$83</f>
        <v>0.1434</v>
      </c>
      <c r="L74" s="97">
        <f t="shared" ref="L74:AI74" si="38">($I$68+$I$69)*$C$83</f>
        <v>0.1434</v>
      </c>
      <c r="M74" s="97">
        <f t="shared" si="38"/>
        <v>0.1434</v>
      </c>
      <c r="N74" s="97">
        <f t="shared" si="38"/>
        <v>0.1434</v>
      </c>
      <c r="O74" s="97">
        <f t="shared" si="38"/>
        <v>0.1434</v>
      </c>
      <c r="P74" s="97">
        <f t="shared" si="38"/>
        <v>0.1434</v>
      </c>
      <c r="Q74" s="97">
        <f t="shared" si="38"/>
        <v>0.1434</v>
      </c>
      <c r="R74" s="97">
        <f t="shared" si="38"/>
        <v>0.1434</v>
      </c>
      <c r="S74" s="97">
        <f t="shared" si="38"/>
        <v>0.1434</v>
      </c>
      <c r="T74" s="97">
        <f t="shared" si="38"/>
        <v>0.1434</v>
      </c>
      <c r="U74" s="97">
        <f t="shared" si="38"/>
        <v>0.1434</v>
      </c>
      <c r="V74" s="97">
        <f t="shared" si="38"/>
        <v>0.1434</v>
      </c>
      <c r="W74" s="97">
        <f t="shared" si="38"/>
        <v>0.1434</v>
      </c>
      <c r="X74" s="97">
        <f t="shared" si="38"/>
        <v>0.1434</v>
      </c>
      <c r="Y74" s="97">
        <f t="shared" si="38"/>
        <v>0.1434</v>
      </c>
      <c r="Z74" s="97">
        <f t="shared" si="38"/>
        <v>0.1434</v>
      </c>
      <c r="AA74" s="97">
        <f t="shared" si="38"/>
        <v>0.1434</v>
      </c>
      <c r="AB74" s="97">
        <f t="shared" si="38"/>
        <v>0.1434</v>
      </c>
      <c r="AC74" s="97">
        <f t="shared" si="38"/>
        <v>0.1434</v>
      </c>
      <c r="AD74" s="97">
        <f t="shared" si="38"/>
        <v>0.1434</v>
      </c>
      <c r="AE74" s="97">
        <f t="shared" si="38"/>
        <v>0.1434</v>
      </c>
      <c r="AF74" s="97">
        <f t="shared" si="38"/>
        <v>0.1434</v>
      </c>
      <c r="AG74" s="97">
        <f t="shared" si="38"/>
        <v>0.1434</v>
      </c>
      <c r="AH74" s="97">
        <f t="shared" si="38"/>
        <v>0.1434</v>
      </c>
      <c r="AI74" s="97">
        <f t="shared" si="38"/>
        <v>0.1434</v>
      </c>
      <c r="AJ74" s="97"/>
      <c r="AK74" s="97"/>
      <c r="AL74" s="97"/>
      <c r="AM74" s="97"/>
      <c r="AN74" s="97"/>
      <c r="AO74" s="97"/>
      <c r="AP74" s="97"/>
      <c r="AQ74" s="103">
        <f t="shared" si="36"/>
        <v>3.5850000000000022</v>
      </c>
    </row>
    <row r="75" spans="2:43">
      <c r="C75" t="s">
        <v>171</v>
      </c>
      <c r="F75" s="97"/>
      <c r="G75" s="97"/>
      <c r="H75" s="97"/>
      <c r="I75" s="97"/>
      <c r="J75" s="97"/>
      <c r="K75" s="97"/>
      <c r="L75" s="97">
        <f>($J$68+$J$69)*$C$83</f>
        <v>0.1981125</v>
      </c>
      <c r="M75" s="97">
        <f t="shared" ref="M75:AJ75" si="39">($J$68+$J$69)*$C$83</f>
        <v>0.1981125</v>
      </c>
      <c r="N75" s="97">
        <f t="shared" si="39"/>
        <v>0.1981125</v>
      </c>
      <c r="O75" s="97">
        <f t="shared" si="39"/>
        <v>0.1981125</v>
      </c>
      <c r="P75" s="97">
        <f t="shared" si="39"/>
        <v>0.1981125</v>
      </c>
      <c r="Q75" s="97">
        <f t="shared" si="39"/>
        <v>0.1981125</v>
      </c>
      <c r="R75" s="97">
        <f t="shared" si="39"/>
        <v>0.1981125</v>
      </c>
      <c r="S75" s="97">
        <f t="shared" si="39"/>
        <v>0.1981125</v>
      </c>
      <c r="T75" s="97">
        <f t="shared" si="39"/>
        <v>0.1981125</v>
      </c>
      <c r="U75" s="97">
        <f t="shared" si="39"/>
        <v>0.1981125</v>
      </c>
      <c r="V75" s="97">
        <f t="shared" si="39"/>
        <v>0.1981125</v>
      </c>
      <c r="W75" s="97">
        <f t="shared" si="39"/>
        <v>0.1981125</v>
      </c>
      <c r="X75" s="97">
        <f t="shared" si="39"/>
        <v>0.1981125</v>
      </c>
      <c r="Y75" s="97">
        <f t="shared" si="39"/>
        <v>0.1981125</v>
      </c>
      <c r="Z75" s="97">
        <f t="shared" si="39"/>
        <v>0.1981125</v>
      </c>
      <c r="AA75" s="97">
        <f t="shared" si="39"/>
        <v>0.1981125</v>
      </c>
      <c r="AB75" s="97">
        <f t="shared" si="39"/>
        <v>0.1981125</v>
      </c>
      <c r="AC75" s="97">
        <f t="shared" si="39"/>
        <v>0.1981125</v>
      </c>
      <c r="AD75" s="97">
        <f t="shared" si="39"/>
        <v>0.1981125</v>
      </c>
      <c r="AE75" s="97">
        <f t="shared" si="39"/>
        <v>0.1981125</v>
      </c>
      <c r="AF75" s="97">
        <f t="shared" si="39"/>
        <v>0.1981125</v>
      </c>
      <c r="AG75" s="97">
        <f t="shared" si="39"/>
        <v>0.1981125</v>
      </c>
      <c r="AH75" s="97">
        <f t="shared" si="39"/>
        <v>0.1981125</v>
      </c>
      <c r="AI75" s="97">
        <f t="shared" si="39"/>
        <v>0.1981125</v>
      </c>
      <c r="AJ75" s="97">
        <f t="shared" si="39"/>
        <v>0.1981125</v>
      </c>
      <c r="AK75" s="97"/>
      <c r="AL75" s="97"/>
      <c r="AM75" s="97"/>
      <c r="AN75" s="97"/>
      <c r="AO75" s="97"/>
      <c r="AP75" s="97"/>
      <c r="AQ75" s="103">
        <f t="shared" si="36"/>
        <v>4.9528124999999994</v>
      </c>
    </row>
    <row r="76" spans="2:43">
      <c r="C76" t="s">
        <v>170</v>
      </c>
      <c r="F76" s="97"/>
      <c r="G76" s="97"/>
      <c r="H76" s="97"/>
      <c r="I76" s="97"/>
      <c r="J76" s="97"/>
      <c r="K76" s="97"/>
      <c r="L76" s="97"/>
      <c r="M76" s="97">
        <f>($K$68+$K$69)*$C$83</f>
        <v>0.25282499999999997</v>
      </c>
      <c r="N76" s="97">
        <f t="shared" ref="N76:AK76" si="40">($K$68+$K$69)*$C$83</f>
        <v>0.25282499999999997</v>
      </c>
      <c r="O76" s="97">
        <f t="shared" si="40"/>
        <v>0.25282499999999997</v>
      </c>
      <c r="P76" s="97">
        <f t="shared" si="40"/>
        <v>0.25282499999999997</v>
      </c>
      <c r="Q76" s="97">
        <f t="shared" si="40"/>
        <v>0.25282499999999997</v>
      </c>
      <c r="R76" s="97">
        <f t="shared" si="40"/>
        <v>0.25282499999999997</v>
      </c>
      <c r="S76" s="97">
        <f t="shared" si="40"/>
        <v>0.25282499999999997</v>
      </c>
      <c r="T76" s="97">
        <f t="shared" si="40"/>
        <v>0.25282499999999997</v>
      </c>
      <c r="U76" s="97">
        <f t="shared" si="40"/>
        <v>0.25282499999999997</v>
      </c>
      <c r="V76" s="97">
        <f t="shared" si="40"/>
        <v>0.25282499999999997</v>
      </c>
      <c r="W76" s="97">
        <f t="shared" si="40"/>
        <v>0.25282499999999997</v>
      </c>
      <c r="X76" s="97">
        <f t="shared" si="40"/>
        <v>0.25282499999999997</v>
      </c>
      <c r="Y76" s="97">
        <f t="shared" si="40"/>
        <v>0.25282499999999997</v>
      </c>
      <c r="Z76" s="97">
        <f t="shared" si="40"/>
        <v>0.25282499999999997</v>
      </c>
      <c r="AA76" s="97">
        <f t="shared" si="40"/>
        <v>0.25282499999999997</v>
      </c>
      <c r="AB76" s="97">
        <f t="shared" si="40"/>
        <v>0.25282499999999997</v>
      </c>
      <c r="AC76" s="97">
        <f t="shared" si="40"/>
        <v>0.25282499999999997</v>
      </c>
      <c r="AD76" s="97">
        <f t="shared" si="40"/>
        <v>0.25282499999999997</v>
      </c>
      <c r="AE76" s="97">
        <f t="shared" si="40"/>
        <v>0.25282499999999997</v>
      </c>
      <c r="AF76" s="97">
        <f t="shared" si="40"/>
        <v>0.25282499999999997</v>
      </c>
      <c r="AG76" s="97">
        <f t="shared" si="40"/>
        <v>0.25282499999999997</v>
      </c>
      <c r="AH76" s="97">
        <f t="shared" si="40"/>
        <v>0.25282499999999997</v>
      </c>
      <c r="AI76" s="97">
        <f t="shared" si="40"/>
        <v>0.25282499999999997</v>
      </c>
      <c r="AJ76" s="97">
        <f t="shared" si="40"/>
        <v>0.25282499999999997</v>
      </c>
      <c r="AK76" s="97">
        <f t="shared" si="40"/>
        <v>0.25282499999999997</v>
      </c>
      <c r="AL76" s="97"/>
      <c r="AM76" s="97"/>
      <c r="AN76" s="97"/>
      <c r="AO76" s="97"/>
      <c r="AP76" s="97"/>
      <c r="AQ76" s="103">
        <f t="shared" si="36"/>
        <v>6.3206249999999971</v>
      </c>
    </row>
    <row r="77" spans="2:43">
      <c r="C77" t="s">
        <v>169</v>
      </c>
      <c r="F77" s="97"/>
      <c r="G77" s="97"/>
      <c r="H77" s="97"/>
      <c r="I77" s="97"/>
      <c r="J77" s="97"/>
      <c r="K77" s="97"/>
      <c r="L77" s="97"/>
      <c r="M77" s="97"/>
      <c r="N77" s="97">
        <f>($L$68+$L$69)*$C$83</f>
        <v>0.30753750000000002</v>
      </c>
      <c r="O77" s="97">
        <f t="shared" ref="O77:AL77" si="41">($L$68+$L$69)*$C$83</f>
        <v>0.30753750000000002</v>
      </c>
      <c r="P77" s="97">
        <f t="shared" si="41"/>
        <v>0.30753750000000002</v>
      </c>
      <c r="Q77" s="97">
        <f t="shared" si="41"/>
        <v>0.30753750000000002</v>
      </c>
      <c r="R77" s="97">
        <f t="shared" si="41"/>
        <v>0.30753750000000002</v>
      </c>
      <c r="S77" s="97">
        <f t="shared" si="41"/>
        <v>0.30753750000000002</v>
      </c>
      <c r="T77" s="97">
        <f t="shared" si="41"/>
        <v>0.30753750000000002</v>
      </c>
      <c r="U77" s="97">
        <f t="shared" si="41"/>
        <v>0.30753750000000002</v>
      </c>
      <c r="V77" s="97">
        <f t="shared" si="41"/>
        <v>0.30753750000000002</v>
      </c>
      <c r="W77" s="97">
        <f t="shared" si="41"/>
        <v>0.30753750000000002</v>
      </c>
      <c r="X77" s="97">
        <f t="shared" si="41"/>
        <v>0.30753750000000002</v>
      </c>
      <c r="Y77" s="97">
        <f t="shared" si="41"/>
        <v>0.30753750000000002</v>
      </c>
      <c r="Z77" s="97">
        <f t="shared" si="41"/>
        <v>0.30753750000000002</v>
      </c>
      <c r="AA77" s="97">
        <f t="shared" si="41"/>
        <v>0.30753750000000002</v>
      </c>
      <c r="AB77" s="97">
        <f t="shared" si="41"/>
        <v>0.30753750000000002</v>
      </c>
      <c r="AC77" s="97">
        <f t="shared" si="41"/>
        <v>0.30753750000000002</v>
      </c>
      <c r="AD77" s="97">
        <f t="shared" si="41"/>
        <v>0.30753750000000002</v>
      </c>
      <c r="AE77" s="97">
        <f t="shared" si="41"/>
        <v>0.30753750000000002</v>
      </c>
      <c r="AF77" s="97">
        <f t="shared" si="41"/>
        <v>0.30753750000000002</v>
      </c>
      <c r="AG77" s="97">
        <f t="shared" si="41"/>
        <v>0.30753750000000002</v>
      </c>
      <c r="AH77" s="97">
        <f t="shared" si="41"/>
        <v>0.30753750000000002</v>
      </c>
      <c r="AI77" s="97">
        <f t="shared" si="41"/>
        <v>0.30753750000000002</v>
      </c>
      <c r="AJ77" s="97">
        <f t="shared" si="41"/>
        <v>0.30753750000000002</v>
      </c>
      <c r="AK77" s="97">
        <f t="shared" si="41"/>
        <v>0.30753750000000002</v>
      </c>
      <c r="AL77" s="97">
        <f t="shared" si="41"/>
        <v>0.30753750000000002</v>
      </c>
      <c r="AM77" s="97"/>
      <c r="AN77" s="97"/>
      <c r="AO77" s="97"/>
      <c r="AP77" s="97"/>
      <c r="AQ77" s="103">
        <f t="shared" si="36"/>
        <v>7.6884375000000045</v>
      </c>
    </row>
    <row r="78" spans="2:43">
      <c r="C78" t="s">
        <v>168</v>
      </c>
      <c r="F78" s="97"/>
      <c r="G78" s="97"/>
      <c r="H78" s="97"/>
      <c r="I78" s="97"/>
      <c r="J78" s="97"/>
      <c r="K78" s="97"/>
      <c r="L78" s="97"/>
      <c r="M78" s="97"/>
      <c r="N78" s="97"/>
      <c r="O78" s="97">
        <f>($M$68+$M$69)*$C$83</f>
        <v>0.36225000000000007</v>
      </c>
      <c r="P78" s="97">
        <f t="shared" ref="P78:AM78" si="42">($M$68+$M$69)*$C$83</f>
        <v>0.36225000000000007</v>
      </c>
      <c r="Q78" s="97">
        <f t="shared" si="42"/>
        <v>0.36225000000000007</v>
      </c>
      <c r="R78" s="97">
        <f t="shared" si="42"/>
        <v>0.36225000000000007</v>
      </c>
      <c r="S78" s="97">
        <f t="shared" si="42"/>
        <v>0.36225000000000007</v>
      </c>
      <c r="T78" s="97">
        <f t="shared" si="42"/>
        <v>0.36225000000000007</v>
      </c>
      <c r="U78" s="97">
        <f t="shared" si="42"/>
        <v>0.36225000000000007</v>
      </c>
      <c r="V78" s="97">
        <f t="shared" si="42"/>
        <v>0.36225000000000007</v>
      </c>
      <c r="W78" s="97">
        <f t="shared" si="42"/>
        <v>0.36225000000000007</v>
      </c>
      <c r="X78" s="97">
        <f t="shared" si="42"/>
        <v>0.36225000000000007</v>
      </c>
      <c r="Y78" s="97">
        <f t="shared" si="42"/>
        <v>0.36225000000000007</v>
      </c>
      <c r="Z78" s="97">
        <f t="shared" si="42"/>
        <v>0.36225000000000007</v>
      </c>
      <c r="AA78" s="97">
        <f t="shared" si="42"/>
        <v>0.36225000000000007</v>
      </c>
      <c r="AB78" s="97">
        <f t="shared" si="42"/>
        <v>0.36225000000000007</v>
      </c>
      <c r="AC78" s="97">
        <f t="shared" si="42"/>
        <v>0.36225000000000007</v>
      </c>
      <c r="AD78" s="97">
        <f t="shared" si="42"/>
        <v>0.36225000000000007</v>
      </c>
      <c r="AE78" s="97">
        <f t="shared" si="42"/>
        <v>0.36225000000000007</v>
      </c>
      <c r="AF78" s="97">
        <f t="shared" si="42"/>
        <v>0.36225000000000007</v>
      </c>
      <c r="AG78" s="97">
        <f t="shared" si="42"/>
        <v>0.36225000000000007</v>
      </c>
      <c r="AH78" s="97">
        <f t="shared" si="42"/>
        <v>0.36225000000000007</v>
      </c>
      <c r="AI78" s="97">
        <f t="shared" si="42"/>
        <v>0.36225000000000007</v>
      </c>
      <c r="AJ78" s="97">
        <f t="shared" si="42"/>
        <v>0.36225000000000007</v>
      </c>
      <c r="AK78" s="97">
        <f t="shared" si="42"/>
        <v>0.36225000000000007</v>
      </c>
      <c r="AL78" s="97">
        <f t="shared" si="42"/>
        <v>0.36225000000000007</v>
      </c>
      <c r="AM78" s="97">
        <f t="shared" si="42"/>
        <v>0.36225000000000007</v>
      </c>
      <c r="AN78" s="97"/>
      <c r="AO78" s="97"/>
      <c r="AP78" s="97"/>
      <c r="AQ78" s="103">
        <f t="shared" si="36"/>
        <v>9.0562500000000039</v>
      </c>
    </row>
    <row r="79" spans="2:43">
      <c r="C79" t="s">
        <v>167</v>
      </c>
      <c r="F79" s="97"/>
      <c r="G79" s="97"/>
      <c r="H79" s="97"/>
      <c r="I79" s="97"/>
      <c r="J79" s="97"/>
      <c r="K79" s="97"/>
      <c r="L79" s="97"/>
      <c r="M79" s="97"/>
      <c r="N79" s="97"/>
      <c r="O79" s="97"/>
      <c r="P79" s="97">
        <f>($N$68+$N$69)*$C$83</f>
        <v>0.41696250000000007</v>
      </c>
      <c r="Q79" s="97">
        <f t="shared" ref="Q79:AN79" si="43">($N$68+$N$69)*$C$83</f>
        <v>0.41696250000000007</v>
      </c>
      <c r="R79" s="97">
        <f t="shared" si="43"/>
        <v>0.41696250000000007</v>
      </c>
      <c r="S79" s="97">
        <f t="shared" si="43"/>
        <v>0.41696250000000007</v>
      </c>
      <c r="T79" s="97">
        <f t="shared" si="43"/>
        <v>0.41696250000000007</v>
      </c>
      <c r="U79" s="97">
        <f t="shared" si="43"/>
        <v>0.41696250000000007</v>
      </c>
      <c r="V79" s="97">
        <f t="shared" si="43"/>
        <v>0.41696250000000007</v>
      </c>
      <c r="W79" s="97">
        <f t="shared" si="43"/>
        <v>0.41696250000000007</v>
      </c>
      <c r="X79" s="97">
        <f t="shared" si="43"/>
        <v>0.41696250000000007</v>
      </c>
      <c r="Y79" s="97">
        <f t="shared" si="43"/>
        <v>0.41696250000000007</v>
      </c>
      <c r="Z79" s="97">
        <f t="shared" si="43"/>
        <v>0.41696250000000007</v>
      </c>
      <c r="AA79" s="97">
        <f t="shared" si="43"/>
        <v>0.41696250000000007</v>
      </c>
      <c r="AB79" s="97">
        <f t="shared" si="43"/>
        <v>0.41696250000000007</v>
      </c>
      <c r="AC79" s="97">
        <f t="shared" si="43"/>
        <v>0.41696250000000007</v>
      </c>
      <c r="AD79" s="97">
        <f t="shared" si="43"/>
        <v>0.41696250000000007</v>
      </c>
      <c r="AE79" s="97">
        <f t="shared" si="43"/>
        <v>0.41696250000000007</v>
      </c>
      <c r="AF79" s="97">
        <f t="shared" si="43"/>
        <v>0.41696250000000007</v>
      </c>
      <c r="AG79" s="97">
        <f t="shared" si="43"/>
        <v>0.41696250000000007</v>
      </c>
      <c r="AH79" s="97">
        <f t="shared" si="43"/>
        <v>0.41696250000000007</v>
      </c>
      <c r="AI79" s="97">
        <f t="shared" si="43"/>
        <v>0.41696250000000007</v>
      </c>
      <c r="AJ79" s="97">
        <f t="shared" si="43"/>
        <v>0.41696250000000007</v>
      </c>
      <c r="AK79" s="97">
        <f t="shared" si="43"/>
        <v>0.41696250000000007</v>
      </c>
      <c r="AL79" s="97">
        <f t="shared" si="43"/>
        <v>0.41696250000000007</v>
      </c>
      <c r="AM79" s="97">
        <f t="shared" si="43"/>
        <v>0.41696250000000007</v>
      </c>
      <c r="AN79" s="97">
        <f t="shared" si="43"/>
        <v>0.41696250000000007</v>
      </c>
      <c r="AO79" s="97"/>
      <c r="AP79" s="97"/>
      <c r="AQ79" s="103">
        <f t="shared" si="36"/>
        <v>10.424062500000005</v>
      </c>
    </row>
    <row r="80" spans="2:43">
      <c r="C80" t="s">
        <v>166</v>
      </c>
      <c r="F80" s="97"/>
      <c r="G80" s="97"/>
      <c r="H80" s="97"/>
      <c r="I80" s="97"/>
      <c r="J80" s="97"/>
      <c r="K80" s="97"/>
      <c r="L80" s="97"/>
      <c r="M80" s="97"/>
      <c r="N80" s="97"/>
      <c r="O80" s="97"/>
      <c r="P80" s="97"/>
      <c r="Q80" s="97">
        <f>($O$68+$O$69)*$C$83</f>
        <v>0.47167499999999996</v>
      </c>
      <c r="R80" s="97">
        <f t="shared" ref="R80:AO80" si="44">($O$68+$O$69)*$C$83</f>
        <v>0.47167499999999996</v>
      </c>
      <c r="S80" s="97">
        <f t="shared" si="44"/>
        <v>0.47167499999999996</v>
      </c>
      <c r="T80" s="97">
        <f t="shared" si="44"/>
        <v>0.47167499999999996</v>
      </c>
      <c r="U80" s="97">
        <f t="shared" si="44"/>
        <v>0.47167499999999996</v>
      </c>
      <c r="V80" s="97">
        <f t="shared" si="44"/>
        <v>0.47167499999999996</v>
      </c>
      <c r="W80" s="97">
        <f t="shared" si="44"/>
        <v>0.47167499999999996</v>
      </c>
      <c r="X80" s="97">
        <f t="shared" si="44"/>
        <v>0.47167499999999996</v>
      </c>
      <c r="Y80" s="97">
        <f t="shared" si="44"/>
        <v>0.47167499999999996</v>
      </c>
      <c r="Z80" s="97">
        <f t="shared" si="44"/>
        <v>0.47167499999999996</v>
      </c>
      <c r="AA80" s="97">
        <f t="shared" si="44"/>
        <v>0.47167499999999996</v>
      </c>
      <c r="AB80" s="97">
        <f t="shared" si="44"/>
        <v>0.47167499999999996</v>
      </c>
      <c r="AC80" s="97">
        <f t="shared" si="44"/>
        <v>0.47167499999999996</v>
      </c>
      <c r="AD80" s="97">
        <f t="shared" si="44"/>
        <v>0.47167499999999996</v>
      </c>
      <c r="AE80" s="97">
        <f t="shared" si="44"/>
        <v>0.47167499999999996</v>
      </c>
      <c r="AF80" s="97">
        <f t="shared" si="44"/>
        <v>0.47167499999999996</v>
      </c>
      <c r="AG80" s="97">
        <f t="shared" si="44"/>
        <v>0.47167499999999996</v>
      </c>
      <c r="AH80" s="97">
        <f t="shared" si="44"/>
        <v>0.47167499999999996</v>
      </c>
      <c r="AI80" s="97">
        <f t="shared" si="44"/>
        <v>0.47167499999999996</v>
      </c>
      <c r="AJ80" s="97">
        <f t="shared" si="44"/>
        <v>0.47167499999999996</v>
      </c>
      <c r="AK80" s="97">
        <f t="shared" si="44"/>
        <v>0.47167499999999996</v>
      </c>
      <c r="AL80" s="97">
        <f t="shared" si="44"/>
        <v>0.47167499999999996</v>
      </c>
      <c r="AM80" s="97">
        <f t="shared" si="44"/>
        <v>0.47167499999999996</v>
      </c>
      <c r="AN80" s="97">
        <f t="shared" si="44"/>
        <v>0.47167499999999996</v>
      </c>
      <c r="AO80" s="97">
        <f t="shared" si="44"/>
        <v>0.47167499999999996</v>
      </c>
      <c r="AP80" s="97"/>
      <c r="AQ80" s="103">
        <f t="shared" si="36"/>
        <v>11.791874999999996</v>
      </c>
    </row>
    <row r="81" spans="1:43">
      <c r="C81" t="s">
        <v>196</v>
      </c>
      <c r="F81" s="97"/>
      <c r="G81" s="97"/>
      <c r="H81" s="97"/>
      <c r="I81" s="97"/>
      <c r="J81" s="97"/>
      <c r="K81" s="97"/>
      <c r="L81" s="97"/>
      <c r="M81" s="97"/>
      <c r="N81" s="97"/>
      <c r="O81" s="97"/>
      <c r="P81" s="97"/>
      <c r="Q81" s="97"/>
      <c r="R81" s="97">
        <f>($P$68+$P$69)*$C$83</f>
        <v>0</v>
      </c>
      <c r="S81" s="97">
        <f t="shared" ref="S81:AP81" si="45">($P$68+$P$69)*$C$83</f>
        <v>0</v>
      </c>
      <c r="T81" s="97">
        <f t="shared" si="45"/>
        <v>0</v>
      </c>
      <c r="U81" s="97">
        <f t="shared" si="45"/>
        <v>0</v>
      </c>
      <c r="V81" s="97">
        <f t="shared" si="45"/>
        <v>0</v>
      </c>
      <c r="W81" s="97">
        <f t="shared" si="45"/>
        <v>0</v>
      </c>
      <c r="X81" s="97">
        <f t="shared" si="45"/>
        <v>0</v>
      </c>
      <c r="Y81" s="97">
        <f t="shared" si="45"/>
        <v>0</v>
      </c>
      <c r="Z81" s="97">
        <f t="shared" si="45"/>
        <v>0</v>
      </c>
      <c r="AA81" s="97">
        <f t="shared" si="45"/>
        <v>0</v>
      </c>
      <c r="AB81" s="97">
        <f t="shared" si="45"/>
        <v>0</v>
      </c>
      <c r="AC81" s="97">
        <f t="shared" si="45"/>
        <v>0</v>
      </c>
      <c r="AD81" s="97">
        <f t="shared" si="45"/>
        <v>0</v>
      </c>
      <c r="AE81" s="97">
        <f t="shared" si="45"/>
        <v>0</v>
      </c>
      <c r="AF81" s="97">
        <f t="shared" si="45"/>
        <v>0</v>
      </c>
      <c r="AG81" s="97">
        <f t="shared" si="45"/>
        <v>0</v>
      </c>
      <c r="AH81" s="97">
        <f t="shared" si="45"/>
        <v>0</v>
      </c>
      <c r="AI81" s="97">
        <f t="shared" si="45"/>
        <v>0</v>
      </c>
      <c r="AJ81" s="97">
        <f t="shared" si="45"/>
        <v>0</v>
      </c>
      <c r="AK81" s="97">
        <f t="shared" si="45"/>
        <v>0</v>
      </c>
      <c r="AL81" s="97">
        <f t="shared" si="45"/>
        <v>0</v>
      </c>
      <c r="AM81" s="97">
        <f t="shared" si="45"/>
        <v>0</v>
      </c>
      <c r="AN81" s="97">
        <f t="shared" si="45"/>
        <v>0</v>
      </c>
      <c r="AO81" s="97">
        <f t="shared" si="45"/>
        <v>0</v>
      </c>
      <c r="AP81" s="97">
        <f t="shared" si="45"/>
        <v>0</v>
      </c>
      <c r="AQ81" s="103">
        <f t="shared" si="36"/>
        <v>0</v>
      </c>
    </row>
    <row r="82" spans="1:43">
      <c r="F82" s="39"/>
      <c r="G82" s="39"/>
      <c r="AQ82" s="527">
        <f>SUM(AQ71:AQ81)</f>
        <v>57.793125000000011</v>
      </c>
    </row>
    <row r="83" spans="1:43">
      <c r="B83" t="s">
        <v>181</v>
      </c>
      <c r="C83" s="85">
        <v>7.4999999999999997E-2</v>
      </c>
    </row>
    <row r="84" spans="1:43">
      <c r="C84" s="84"/>
    </row>
    <row r="85" spans="1:43">
      <c r="C85" t="s">
        <v>197</v>
      </c>
      <c r="F85" s="104">
        <f>SUM(F65:F66)+SUM(F71:F81)</f>
        <v>0</v>
      </c>
      <c r="G85" s="104">
        <f t="shared" ref="G85:AP85" si="46">SUM(G65:G66)+SUM(G71:G81)</f>
        <v>0.41500000000000004</v>
      </c>
      <c r="H85" s="104">
        <f t="shared" si="46"/>
        <v>0.83500000000000008</v>
      </c>
      <c r="I85" s="104">
        <f t="shared" si="46"/>
        <v>1.4264000000000001</v>
      </c>
      <c r="J85" s="104">
        <f t="shared" si="46"/>
        <v>2.0362125</v>
      </c>
      <c r="K85" s="104">
        <f t="shared" si="46"/>
        <v>2.7007375000000002</v>
      </c>
      <c r="L85" s="104">
        <f t="shared" si="46"/>
        <v>3.419975</v>
      </c>
      <c r="M85" s="104">
        <f t="shared" si="46"/>
        <v>4.193925000000001</v>
      </c>
      <c r="N85" s="104">
        <f t="shared" si="46"/>
        <v>5.0225875000000002</v>
      </c>
      <c r="O85" s="104">
        <f t="shared" si="46"/>
        <v>5.9059624999999993</v>
      </c>
      <c r="P85" s="104">
        <f t="shared" si="46"/>
        <v>1.84005</v>
      </c>
      <c r="Q85" s="104">
        <f t="shared" si="46"/>
        <v>2.311725</v>
      </c>
      <c r="R85" s="104">
        <f t="shared" si="46"/>
        <v>2.311725</v>
      </c>
      <c r="S85" s="104">
        <f t="shared" si="46"/>
        <v>2.311725</v>
      </c>
      <c r="T85" s="104">
        <f t="shared" si="46"/>
        <v>2.311725</v>
      </c>
      <c r="U85" s="104">
        <f t="shared" si="46"/>
        <v>2.311725</v>
      </c>
      <c r="V85" s="104">
        <f t="shared" si="46"/>
        <v>2.311725</v>
      </c>
      <c r="W85" s="104">
        <f t="shared" si="46"/>
        <v>2.311725</v>
      </c>
      <c r="X85" s="104">
        <f t="shared" si="46"/>
        <v>2.311725</v>
      </c>
      <c r="Y85" s="104">
        <f t="shared" si="46"/>
        <v>2.311725</v>
      </c>
      <c r="Z85" s="104">
        <f t="shared" si="46"/>
        <v>2.311725</v>
      </c>
      <c r="AA85" s="104">
        <f t="shared" si="46"/>
        <v>2.311725</v>
      </c>
      <c r="AB85" s="104">
        <f t="shared" si="46"/>
        <v>2.311725</v>
      </c>
      <c r="AC85" s="104">
        <f t="shared" si="46"/>
        <v>2.311725</v>
      </c>
      <c r="AD85" s="104">
        <f t="shared" si="46"/>
        <v>2.311725</v>
      </c>
      <c r="AE85" s="104">
        <f t="shared" si="46"/>
        <v>2.311725</v>
      </c>
      <c r="AF85" s="104">
        <f t="shared" si="46"/>
        <v>2.311725</v>
      </c>
      <c r="AG85" s="104">
        <f t="shared" si="46"/>
        <v>2.311725</v>
      </c>
      <c r="AH85" s="104">
        <f t="shared" si="46"/>
        <v>2.2414500000000004</v>
      </c>
      <c r="AI85" s="104">
        <f t="shared" si="46"/>
        <v>2.1527625000000001</v>
      </c>
      <c r="AJ85" s="104">
        <f t="shared" si="46"/>
        <v>2.0093625000000004</v>
      </c>
      <c r="AK85" s="104">
        <f t="shared" si="46"/>
        <v>1.8112500000000002</v>
      </c>
      <c r="AL85" s="104">
        <f t="shared" si="46"/>
        <v>1.5584250000000002</v>
      </c>
      <c r="AM85" s="104">
        <f t="shared" si="46"/>
        <v>1.2508875000000002</v>
      </c>
      <c r="AN85" s="104">
        <f t="shared" si="46"/>
        <v>0.88863749999999997</v>
      </c>
      <c r="AO85" s="104">
        <f t="shared" si="46"/>
        <v>0.47167499999999996</v>
      </c>
      <c r="AP85" s="104">
        <f t="shared" si="46"/>
        <v>0</v>
      </c>
      <c r="AQ85" s="106">
        <f>SUM(F85:AP85)</f>
        <v>79.479625000000041</v>
      </c>
    </row>
    <row r="86" spans="1:43">
      <c r="C86" t="s">
        <v>198</v>
      </c>
      <c r="F86" s="116">
        <v>0.5</v>
      </c>
    </row>
    <row r="87" spans="1:43">
      <c r="C87" t="s">
        <v>130</v>
      </c>
      <c r="F87" s="104">
        <f>F85*$F$86</f>
        <v>0</v>
      </c>
      <c r="G87" s="104">
        <f t="shared" ref="G87:AP87" si="47">G85*$F$86</f>
        <v>0.20750000000000002</v>
      </c>
      <c r="H87" s="104">
        <f t="shared" si="47"/>
        <v>0.41750000000000004</v>
      </c>
      <c r="I87" s="104">
        <f t="shared" si="47"/>
        <v>0.71320000000000006</v>
      </c>
      <c r="J87" s="104">
        <f t="shared" si="47"/>
        <v>1.01810625</v>
      </c>
      <c r="K87" s="104">
        <f t="shared" si="47"/>
        <v>1.3503687500000001</v>
      </c>
      <c r="L87" s="104">
        <f t="shared" si="47"/>
        <v>1.7099875</v>
      </c>
      <c r="M87" s="104">
        <f t="shared" si="47"/>
        <v>2.0969625000000005</v>
      </c>
      <c r="N87" s="104">
        <f t="shared" si="47"/>
        <v>2.5112937500000001</v>
      </c>
      <c r="O87" s="104">
        <f t="shared" si="47"/>
        <v>2.9529812499999997</v>
      </c>
      <c r="P87" s="104">
        <f t="shared" si="47"/>
        <v>0.92002499999999998</v>
      </c>
      <c r="Q87" s="104">
        <f t="shared" si="47"/>
        <v>1.1558625</v>
      </c>
      <c r="R87" s="104">
        <f t="shared" si="47"/>
        <v>1.1558625</v>
      </c>
      <c r="S87" s="104">
        <f t="shared" si="47"/>
        <v>1.1558625</v>
      </c>
      <c r="T87" s="104">
        <f t="shared" si="47"/>
        <v>1.1558625</v>
      </c>
      <c r="U87" s="104">
        <f t="shared" si="47"/>
        <v>1.1558625</v>
      </c>
      <c r="V87" s="104">
        <f t="shared" si="47"/>
        <v>1.1558625</v>
      </c>
      <c r="W87" s="104">
        <f t="shared" si="47"/>
        <v>1.1558625</v>
      </c>
      <c r="X87" s="104">
        <f t="shared" si="47"/>
        <v>1.1558625</v>
      </c>
      <c r="Y87" s="104">
        <f t="shared" si="47"/>
        <v>1.1558625</v>
      </c>
      <c r="Z87" s="104">
        <f t="shared" si="47"/>
        <v>1.1558625</v>
      </c>
      <c r="AA87" s="104">
        <f t="shared" si="47"/>
        <v>1.1558625</v>
      </c>
      <c r="AB87" s="104">
        <f t="shared" si="47"/>
        <v>1.1558625</v>
      </c>
      <c r="AC87" s="104">
        <f t="shared" si="47"/>
        <v>1.1558625</v>
      </c>
      <c r="AD87" s="104">
        <f t="shared" si="47"/>
        <v>1.1558625</v>
      </c>
      <c r="AE87" s="104">
        <f t="shared" si="47"/>
        <v>1.1558625</v>
      </c>
      <c r="AF87" s="104">
        <f t="shared" si="47"/>
        <v>1.1558625</v>
      </c>
      <c r="AG87" s="104">
        <f t="shared" si="47"/>
        <v>1.1558625</v>
      </c>
      <c r="AH87" s="104">
        <f t="shared" si="47"/>
        <v>1.1207250000000002</v>
      </c>
      <c r="AI87" s="104">
        <f t="shared" si="47"/>
        <v>1.0763812500000001</v>
      </c>
      <c r="AJ87" s="104">
        <f t="shared" si="47"/>
        <v>1.0046812500000002</v>
      </c>
      <c r="AK87" s="104">
        <f t="shared" si="47"/>
        <v>0.90562500000000012</v>
      </c>
      <c r="AL87" s="104">
        <f t="shared" si="47"/>
        <v>0.77921250000000009</v>
      </c>
      <c r="AM87" s="104">
        <f t="shared" si="47"/>
        <v>0.62544375000000008</v>
      </c>
      <c r="AN87" s="104">
        <f t="shared" si="47"/>
        <v>0.44431874999999998</v>
      </c>
      <c r="AO87" s="104">
        <f t="shared" si="47"/>
        <v>0.23583749999999998</v>
      </c>
      <c r="AP87" s="104">
        <f t="shared" si="47"/>
        <v>0</v>
      </c>
      <c r="AQ87" s="106">
        <f>SUM(F87:AP87)</f>
        <v>39.739812500000021</v>
      </c>
    </row>
    <row r="88" spans="1:43">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13"/>
    </row>
    <row r="89" spans="1:43">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row>
    <row r="90" spans="1:43">
      <c r="B90" s="521" t="str">
        <f>'[2]D1-D5 hub Benefit Summary'!B12</f>
        <v>D3</v>
      </c>
      <c r="C90" s="458" t="s">
        <v>134</v>
      </c>
    </row>
    <row r="92" spans="1:43">
      <c r="B92" t="s">
        <v>156</v>
      </c>
    </row>
    <row r="94" spans="1:43">
      <c r="C94" t="s">
        <v>133</v>
      </c>
      <c r="E94" s="69">
        <v>0.22500000000000001</v>
      </c>
      <c r="F94" t="s">
        <v>132</v>
      </c>
    </row>
    <row r="95" spans="1:43">
      <c r="C95" t="s">
        <v>131</v>
      </c>
      <c r="E95" s="69">
        <v>0.15</v>
      </c>
    </row>
    <row r="96" spans="1:43">
      <c r="C96" t="s">
        <v>130</v>
      </c>
      <c r="E96" s="67">
        <f>SUM(E94:E95)</f>
        <v>0.375</v>
      </c>
    </row>
    <row r="97" spans="2:43">
      <c r="C97" t="s">
        <v>129</v>
      </c>
      <c r="E97" s="69">
        <v>1.5</v>
      </c>
    </row>
    <row r="98" spans="2:43">
      <c r="C98" t="s">
        <v>282</v>
      </c>
      <c r="E98" s="231">
        <f>E97*E96/12</f>
        <v>4.6875E-2</v>
      </c>
    </row>
    <row r="99" spans="2:43">
      <c r="E99" s="65"/>
    </row>
    <row r="100" spans="2:43" s="39" customFormat="1">
      <c r="F100" s="522" t="s">
        <v>6</v>
      </c>
      <c r="G100" s="522" t="s">
        <v>7</v>
      </c>
      <c r="H100" s="522" t="s">
        <v>8</v>
      </c>
      <c r="I100" s="522" t="s">
        <v>9</v>
      </c>
      <c r="J100" s="522" t="s">
        <v>10</v>
      </c>
      <c r="K100" s="522" t="s">
        <v>11</v>
      </c>
      <c r="L100" s="522" t="s">
        <v>13</v>
      </c>
      <c r="M100" s="522" t="s">
        <v>14</v>
      </c>
      <c r="N100" s="522" t="s">
        <v>15</v>
      </c>
      <c r="O100" s="522" t="s">
        <v>16</v>
      </c>
      <c r="P100" s="522" t="s">
        <v>17</v>
      </c>
      <c r="Q100" s="522" t="s">
        <v>18</v>
      </c>
      <c r="R100" s="522" t="s">
        <v>19</v>
      </c>
      <c r="S100" s="522" t="s">
        <v>20</v>
      </c>
      <c r="T100" s="522" t="s">
        <v>21</v>
      </c>
      <c r="U100" s="522" t="s">
        <v>22</v>
      </c>
      <c r="V100" s="522" t="s">
        <v>23</v>
      </c>
      <c r="W100" s="522" t="s">
        <v>24</v>
      </c>
      <c r="X100" s="522" t="s">
        <v>25</v>
      </c>
      <c r="Y100" s="522" t="s">
        <v>26</v>
      </c>
      <c r="Z100" s="522" t="s">
        <v>27</v>
      </c>
      <c r="AA100" s="522" t="s">
        <v>28</v>
      </c>
      <c r="AB100" s="522" t="s">
        <v>29</v>
      </c>
      <c r="AC100" s="522" t="s">
        <v>46</v>
      </c>
      <c r="AD100" s="522" t="s">
        <v>47</v>
      </c>
      <c r="AE100" s="522" t="s">
        <v>48</v>
      </c>
      <c r="AF100" s="522" t="s">
        <v>49</v>
      </c>
      <c r="AG100" s="522" t="s">
        <v>50</v>
      </c>
      <c r="AH100" s="522" t="s">
        <v>51</v>
      </c>
      <c r="AI100" s="522" t="s">
        <v>52</v>
      </c>
      <c r="AJ100" s="522" t="s">
        <v>53</v>
      </c>
      <c r="AK100" s="522" t="s">
        <v>54</v>
      </c>
      <c r="AL100" s="522" t="s">
        <v>55</v>
      </c>
      <c r="AM100" s="522" t="s">
        <v>56</v>
      </c>
      <c r="AN100" s="522" t="s">
        <v>57</v>
      </c>
      <c r="AO100" s="522" t="s">
        <v>279</v>
      </c>
      <c r="AP100" s="522" t="s">
        <v>280</v>
      </c>
    </row>
    <row r="101" spans="2:43">
      <c r="B101" t="s">
        <v>128</v>
      </c>
      <c r="E101" s="523" t="s">
        <v>153</v>
      </c>
      <c r="F101" s="458">
        <f t="shared" ref="F101:AP101" si="48">F$37</f>
        <v>1</v>
      </c>
      <c r="G101" s="458">
        <f t="shared" si="48"/>
        <v>2</v>
      </c>
      <c r="H101" s="458">
        <f t="shared" si="48"/>
        <v>3</v>
      </c>
      <c r="I101" s="458">
        <f t="shared" si="48"/>
        <v>4</v>
      </c>
      <c r="J101" s="458">
        <f t="shared" si="48"/>
        <v>5</v>
      </c>
      <c r="K101" s="458">
        <f t="shared" si="48"/>
        <v>6</v>
      </c>
      <c r="L101" s="458">
        <f t="shared" si="48"/>
        <v>7</v>
      </c>
      <c r="M101" s="458">
        <f t="shared" si="48"/>
        <v>8</v>
      </c>
      <c r="N101" s="458">
        <f t="shared" si="48"/>
        <v>9</v>
      </c>
      <c r="O101" s="458">
        <f t="shared" si="48"/>
        <v>10</v>
      </c>
      <c r="P101" s="458">
        <f t="shared" si="48"/>
        <v>11</v>
      </c>
      <c r="Q101" s="458">
        <f t="shared" si="48"/>
        <v>12</v>
      </c>
      <c r="R101" s="458">
        <f t="shared" si="48"/>
        <v>13</v>
      </c>
      <c r="S101" s="458">
        <f t="shared" si="48"/>
        <v>14</v>
      </c>
      <c r="T101" s="458">
        <f t="shared" si="48"/>
        <v>15</v>
      </c>
      <c r="U101" s="458">
        <f t="shared" si="48"/>
        <v>16</v>
      </c>
      <c r="V101" s="458">
        <f t="shared" si="48"/>
        <v>17</v>
      </c>
      <c r="W101" s="458">
        <f t="shared" si="48"/>
        <v>18</v>
      </c>
      <c r="X101" s="458">
        <f t="shared" si="48"/>
        <v>19</v>
      </c>
      <c r="Y101" s="458">
        <f t="shared" si="48"/>
        <v>20</v>
      </c>
      <c r="Z101" s="458">
        <f t="shared" si="48"/>
        <v>21</v>
      </c>
      <c r="AA101" s="458">
        <f t="shared" si="48"/>
        <v>22</v>
      </c>
      <c r="AB101" s="458">
        <f t="shared" si="48"/>
        <v>23</v>
      </c>
      <c r="AC101" s="458">
        <f t="shared" si="48"/>
        <v>24</v>
      </c>
      <c r="AD101" s="458">
        <f t="shared" si="48"/>
        <v>25</v>
      </c>
      <c r="AE101" s="458">
        <f t="shared" si="48"/>
        <v>26</v>
      </c>
      <c r="AF101" s="458">
        <f t="shared" si="48"/>
        <v>27</v>
      </c>
      <c r="AG101" s="458">
        <f t="shared" si="48"/>
        <v>28</v>
      </c>
      <c r="AH101" s="458">
        <f t="shared" si="48"/>
        <v>29</v>
      </c>
      <c r="AI101" s="458">
        <f t="shared" si="48"/>
        <v>30</v>
      </c>
      <c r="AJ101" s="458">
        <f t="shared" si="48"/>
        <v>31</v>
      </c>
      <c r="AK101" s="458">
        <f t="shared" si="48"/>
        <v>32</v>
      </c>
      <c r="AL101" s="458">
        <f t="shared" si="48"/>
        <v>33</v>
      </c>
      <c r="AM101" s="458">
        <f t="shared" si="48"/>
        <v>34</v>
      </c>
      <c r="AN101" s="458">
        <f t="shared" si="48"/>
        <v>35</v>
      </c>
      <c r="AO101" s="458">
        <f t="shared" si="48"/>
        <v>36</v>
      </c>
      <c r="AP101" s="458">
        <f t="shared" si="48"/>
        <v>37</v>
      </c>
      <c r="AQ101" s="526"/>
    </row>
    <row r="103" spans="2:43">
      <c r="B103" t="s">
        <v>135</v>
      </c>
      <c r="C103" t="s">
        <v>175</v>
      </c>
      <c r="H103" s="97">
        <f t="shared" ref="H103:AF103" si="49">$E$98*$F$35</f>
        <v>0.28125</v>
      </c>
      <c r="I103" s="97">
        <f t="shared" si="49"/>
        <v>0.28125</v>
      </c>
      <c r="J103" s="97">
        <f t="shared" si="49"/>
        <v>0.28125</v>
      </c>
      <c r="K103" s="97">
        <f t="shared" si="49"/>
        <v>0.28125</v>
      </c>
      <c r="L103" s="97">
        <f t="shared" si="49"/>
        <v>0.28125</v>
      </c>
      <c r="M103" s="97">
        <f t="shared" si="49"/>
        <v>0.28125</v>
      </c>
      <c r="N103" s="97">
        <f t="shared" si="49"/>
        <v>0.28125</v>
      </c>
      <c r="O103" s="97">
        <f t="shared" si="49"/>
        <v>0.28125</v>
      </c>
      <c r="P103" s="97">
        <f t="shared" si="49"/>
        <v>0.28125</v>
      </c>
      <c r="Q103" s="97">
        <f t="shared" si="49"/>
        <v>0.28125</v>
      </c>
      <c r="R103" s="97">
        <f t="shared" si="49"/>
        <v>0.28125</v>
      </c>
      <c r="S103" s="97">
        <f t="shared" si="49"/>
        <v>0.28125</v>
      </c>
      <c r="T103" s="97">
        <f t="shared" si="49"/>
        <v>0.28125</v>
      </c>
      <c r="U103" s="97">
        <f t="shared" si="49"/>
        <v>0.28125</v>
      </c>
      <c r="V103" s="97">
        <f t="shared" si="49"/>
        <v>0.28125</v>
      </c>
      <c r="W103" s="97">
        <f t="shared" si="49"/>
        <v>0.28125</v>
      </c>
      <c r="X103" s="97">
        <f t="shared" si="49"/>
        <v>0.28125</v>
      </c>
      <c r="Y103" s="97">
        <f t="shared" si="49"/>
        <v>0.28125</v>
      </c>
      <c r="Z103" s="97">
        <f t="shared" si="49"/>
        <v>0.28125</v>
      </c>
      <c r="AA103" s="97">
        <f t="shared" si="49"/>
        <v>0.28125</v>
      </c>
      <c r="AB103" s="97">
        <f t="shared" si="49"/>
        <v>0.28125</v>
      </c>
      <c r="AC103" s="97">
        <f t="shared" si="49"/>
        <v>0.28125</v>
      </c>
      <c r="AD103" s="97">
        <f t="shared" si="49"/>
        <v>0.28125</v>
      </c>
      <c r="AE103" s="97">
        <f t="shared" si="49"/>
        <v>0.28125</v>
      </c>
      <c r="AF103" s="97">
        <f t="shared" si="49"/>
        <v>0.28125</v>
      </c>
      <c r="AQ103" s="103">
        <f>SUM(F103:AP103)</f>
        <v>7.03125</v>
      </c>
    </row>
    <row r="104" spans="2:43">
      <c r="C104" t="s">
        <v>174</v>
      </c>
      <c r="I104" s="97">
        <f t="shared" ref="I104:AG104" si="50">$E$98*$G$35</f>
        <v>0.28125</v>
      </c>
      <c r="J104" s="97">
        <f t="shared" si="50"/>
        <v>0.28125</v>
      </c>
      <c r="K104" s="97">
        <f t="shared" si="50"/>
        <v>0.28125</v>
      </c>
      <c r="L104" s="97">
        <f t="shared" si="50"/>
        <v>0.28125</v>
      </c>
      <c r="M104" s="97">
        <f t="shared" si="50"/>
        <v>0.28125</v>
      </c>
      <c r="N104" s="97">
        <f t="shared" si="50"/>
        <v>0.28125</v>
      </c>
      <c r="O104" s="97">
        <f t="shared" si="50"/>
        <v>0.28125</v>
      </c>
      <c r="P104" s="97">
        <f t="shared" si="50"/>
        <v>0.28125</v>
      </c>
      <c r="Q104" s="97">
        <f t="shared" si="50"/>
        <v>0.28125</v>
      </c>
      <c r="R104" s="97">
        <f t="shared" si="50"/>
        <v>0.28125</v>
      </c>
      <c r="S104" s="97">
        <f t="shared" si="50"/>
        <v>0.28125</v>
      </c>
      <c r="T104" s="97">
        <f t="shared" si="50"/>
        <v>0.28125</v>
      </c>
      <c r="U104" s="97">
        <f t="shared" si="50"/>
        <v>0.28125</v>
      </c>
      <c r="V104" s="97">
        <f t="shared" si="50"/>
        <v>0.28125</v>
      </c>
      <c r="W104" s="97">
        <f t="shared" si="50"/>
        <v>0.28125</v>
      </c>
      <c r="X104" s="97">
        <f t="shared" si="50"/>
        <v>0.28125</v>
      </c>
      <c r="Y104" s="97">
        <f t="shared" si="50"/>
        <v>0.28125</v>
      </c>
      <c r="Z104" s="97">
        <f t="shared" si="50"/>
        <v>0.28125</v>
      </c>
      <c r="AA104" s="97">
        <f t="shared" si="50"/>
        <v>0.28125</v>
      </c>
      <c r="AB104" s="97">
        <f t="shared" si="50"/>
        <v>0.28125</v>
      </c>
      <c r="AC104" s="97">
        <f t="shared" si="50"/>
        <v>0.28125</v>
      </c>
      <c r="AD104" s="97">
        <f t="shared" si="50"/>
        <v>0.28125</v>
      </c>
      <c r="AE104" s="97">
        <f t="shared" si="50"/>
        <v>0.28125</v>
      </c>
      <c r="AF104" s="97">
        <f t="shared" si="50"/>
        <v>0.28125</v>
      </c>
      <c r="AG104" s="97">
        <f t="shared" si="50"/>
        <v>0.28125</v>
      </c>
      <c r="AQ104" s="103">
        <f t="shared" ref="AQ104:AQ113" si="51">SUM(F104:AP104)</f>
        <v>7.03125</v>
      </c>
    </row>
    <row r="105" spans="2:43">
      <c r="C105" t="s">
        <v>173</v>
      </c>
      <c r="J105" s="97">
        <f t="shared" ref="J105:AH105" si="52">$E$98*$H$35</f>
        <v>0.234375</v>
      </c>
      <c r="K105" s="97">
        <f t="shared" si="52"/>
        <v>0.234375</v>
      </c>
      <c r="L105" s="97">
        <f t="shared" si="52"/>
        <v>0.234375</v>
      </c>
      <c r="M105" s="97">
        <f t="shared" si="52"/>
        <v>0.234375</v>
      </c>
      <c r="N105" s="97">
        <f t="shared" si="52"/>
        <v>0.234375</v>
      </c>
      <c r="O105" s="97">
        <f t="shared" si="52"/>
        <v>0.234375</v>
      </c>
      <c r="P105" s="97">
        <f t="shared" si="52"/>
        <v>0.234375</v>
      </c>
      <c r="Q105" s="97">
        <f t="shared" si="52"/>
        <v>0.234375</v>
      </c>
      <c r="R105" s="97">
        <f t="shared" si="52"/>
        <v>0.234375</v>
      </c>
      <c r="S105" s="97">
        <f t="shared" si="52"/>
        <v>0.234375</v>
      </c>
      <c r="T105" s="97">
        <f t="shared" si="52"/>
        <v>0.234375</v>
      </c>
      <c r="U105" s="97">
        <f t="shared" si="52"/>
        <v>0.234375</v>
      </c>
      <c r="V105" s="97">
        <f t="shared" si="52"/>
        <v>0.234375</v>
      </c>
      <c r="W105" s="97">
        <f t="shared" si="52"/>
        <v>0.234375</v>
      </c>
      <c r="X105" s="97">
        <f t="shared" si="52"/>
        <v>0.234375</v>
      </c>
      <c r="Y105" s="97">
        <f t="shared" si="52"/>
        <v>0.234375</v>
      </c>
      <c r="Z105" s="97">
        <f t="shared" si="52"/>
        <v>0.234375</v>
      </c>
      <c r="AA105" s="97">
        <f t="shared" si="52"/>
        <v>0.234375</v>
      </c>
      <c r="AB105" s="97">
        <f t="shared" si="52"/>
        <v>0.234375</v>
      </c>
      <c r="AC105" s="97">
        <f t="shared" si="52"/>
        <v>0.234375</v>
      </c>
      <c r="AD105" s="97">
        <f t="shared" si="52"/>
        <v>0.234375</v>
      </c>
      <c r="AE105" s="97">
        <f t="shared" si="52"/>
        <v>0.234375</v>
      </c>
      <c r="AF105" s="97">
        <f t="shared" si="52"/>
        <v>0.234375</v>
      </c>
      <c r="AG105" s="97">
        <f t="shared" si="52"/>
        <v>0.234375</v>
      </c>
      <c r="AH105" s="97">
        <f t="shared" si="52"/>
        <v>0.234375</v>
      </c>
      <c r="AQ105" s="103">
        <f t="shared" si="51"/>
        <v>5.859375</v>
      </c>
    </row>
    <row r="106" spans="2:43">
      <c r="C106" t="s">
        <v>172</v>
      </c>
      <c r="K106" s="97">
        <f t="shared" ref="K106:AI106" si="53">$E$98*$I$35</f>
        <v>0.234375</v>
      </c>
      <c r="L106" s="97">
        <f t="shared" si="53"/>
        <v>0.234375</v>
      </c>
      <c r="M106" s="97">
        <f t="shared" si="53"/>
        <v>0.234375</v>
      </c>
      <c r="N106" s="97">
        <f t="shared" si="53"/>
        <v>0.234375</v>
      </c>
      <c r="O106" s="97">
        <f t="shared" si="53"/>
        <v>0.234375</v>
      </c>
      <c r="P106" s="97">
        <f t="shared" si="53"/>
        <v>0.234375</v>
      </c>
      <c r="Q106" s="97">
        <f t="shared" si="53"/>
        <v>0.234375</v>
      </c>
      <c r="R106" s="97">
        <f t="shared" si="53"/>
        <v>0.234375</v>
      </c>
      <c r="S106" s="97">
        <f t="shared" si="53"/>
        <v>0.234375</v>
      </c>
      <c r="T106" s="97">
        <f t="shared" si="53"/>
        <v>0.234375</v>
      </c>
      <c r="U106" s="97">
        <f t="shared" si="53"/>
        <v>0.234375</v>
      </c>
      <c r="V106" s="97">
        <f t="shared" si="53"/>
        <v>0.234375</v>
      </c>
      <c r="W106" s="97">
        <f t="shared" si="53"/>
        <v>0.234375</v>
      </c>
      <c r="X106" s="97">
        <f t="shared" si="53"/>
        <v>0.234375</v>
      </c>
      <c r="Y106" s="97">
        <f t="shared" si="53"/>
        <v>0.234375</v>
      </c>
      <c r="Z106" s="97">
        <f t="shared" si="53"/>
        <v>0.234375</v>
      </c>
      <c r="AA106" s="97">
        <f t="shared" si="53"/>
        <v>0.234375</v>
      </c>
      <c r="AB106" s="97">
        <f t="shared" si="53"/>
        <v>0.234375</v>
      </c>
      <c r="AC106" s="97">
        <f t="shared" si="53"/>
        <v>0.234375</v>
      </c>
      <c r="AD106" s="97">
        <f t="shared" si="53"/>
        <v>0.234375</v>
      </c>
      <c r="AE106" s="97">
        <f t="shared" si="53"/>
        <v>0.234375</v>
      </c>
      <c r="AF106" s="97">
        <f t="shared" si="53"/>
        <v>0.234375</v>
      </c>
      <c r="AG106" s="97">
        <f t="shared" si="53"/>
        <v>0.234375</v>
      </c>
      <c r="AH106" s="97">
        <f t="shared" si="53"/>
        <v>0.234375</v>
      </c>
      <c r="AI106" s="97">
        <f t="shared" si="53"/>
        <v>0.234375</v>
      </c>
      <c r="AQ106" s="103">
        <f t="shared" si="51"/>
        <v>5.859375</v>
      </c>
    </row>
    <row r="107" spans="2:43">
      <c r="C107" t="s">
        <v>171</v>
      </c>
      <c r="L107" s="97">
        <f t="shared" ref="L107:AJ107" si="54">$E$98*$J$35</f>
        <v>0.234375</v>
      </c>
      <c r="M107" s="97">
        <f t="shared" si="54"/>
        <v>0.234375</v>
      </c>
      <c r="N107" s="97">
        <f t="shared" si="54"/>
        <v>0.234375</v>
      </c>
      <c r="O107" s="97">
        <f t="shared" si="54"/>
        <v>0.234375</v>
      </c>
      <c r="P107" s="97">
        <f t="shared" si="54"/>
        <v>0.234375</v>
      </c>
      <c r="Q107" s="97">
        <f t="shared" si="54"/>
        <v>0.234375</v>
      </c>
      <c r="R107" s="97">
        <f t="shared" si="54"/>
        <v>0.234375</v>
      </c>
      <c r="S107" s="97">
        <f t="shared" si="54"/>
        <v>0.234375</v>
      </c>
      <c r="T107" s="97">
        <f t="shared" si="54"/>
        <v>0.234375</v>
      </c>
      <c r="U107" s="97">
        <f t="shared" si="54"/>
        <v>0.234375</v>
      </c>
      <c r="V107" s="97">
        <f t="shared" si="54"/>
        <v>0.234375</v>
      </c>
      <c r="W107" s="97">
        <f t="shared" si="54"/>
        <v>0.234375</v>
      </c>
      <c r="X107" s="97">
        <f t="shared" si="54"/>
        <v>0.234375</v>
      </c>
      <c r="Y107" s="97">
        <f t="shared" si="54"/>
        <v>0.234375</v>
      </c>
      <c r="Z107" s="97">
        <f t="shared" si="54"/>
        <v>0.234375</v>
      </c>
      <c r="AA107" s="97">
        <f t="shared" si="54"/>
        <v>0.234375</v>
      </c>
      <c r="AB107" s="97">
        <f t="shared" si="54"/>
        <v>0.234375</v>
      </c>
      <c r="AC107" s="97">
        <f t="shared" si="54"/>
        <v>0.234375</v>
      </c>
      <c r="AD107" s="97">
        <f t="shared" si="54"/>
        <v>0.234375</v>
      </c>
      <c r="AE107" s="97">
        <f t="shared" si="54"/>
        <v>0.234375</v>
      </c>
      <c r="AF107" s="97">
        <f t="shared" si="54"/>
        <v>0.234375</v>
      </c>
      <c r="AG107" s="97">
        <f t="shared" si="54"/>
        <v>0.234375</v>
      </c>
      <c r="AH107" s="97">
        <f t="shared" si="54"/>
        <v>0.234375</v>
      </c>
      <c r="AI107" s="97">
        <f t="shared" si="54"/>
        <v>0.234375</v>
      </c>
      <c r="AJ107" s="97">
        <f t="shared" si="54"/>
        <v>0.234375</v>
      </c>
      <c r="AQ107" s="103">
        <f t="shared" si="51"/>
        <v>5.859375</v>
      </c>
    </row>
    <row r="108" spans="2:43">
      <c r="C108" t="s">
        <v>170</v>
      </c>
      <c r="M108" s="97">
        <f t="shared" ref="M108:AK108" si="55">$E$98*$K$35</f>
        <v>0.234375</v>
      </c>
      <c r="N108" s="97">
        <f t="shared" si="55"/>
        <v>0.234375</v>
      </c>
      <c r="O108" s="97">
        <f t="shared" si="55"/>
        <v>0.234375</v>
      </c>
      <c r="P108" s="97">
        <f t="shared" si="55"/>
        <v>0.234375</v>
      </c>
      <c r="Q108" s="97">
        <f t="shared" si="55"/>
        <v>0.234375</v>
      </c>
      <c r="R108" s="97">
        <f t="shared" si="55"/>
        <v>0.234375</v>
      </c>
      <c r="S108" s="97">
        <f t="shared" si="55"/>
        <v>0.234375</v>
      </c>
      <c r="T108" s="97">
        <f t="shared" si="55"/>
        <v>0.234375</v>
      </c>
      <c r="U108" s="97">
        <f t="shared" si="55"/>
        <v>0.234375</v>
      </c>
      <c r="V108" s="97">
        <f t="shared" si="55"/>
        <v>0.234375</v>
      </c>
      <c r="W108" s="97">
        <f t="shared" si="55"/>
        <v>0.234375</v>
      </c>
      <c r="X108" s="97">
        <f t="shared" si="55"/>
        <v>0.234375</v>
      </c>
      <c r="Y108" s="97">
        <f t="shared" si="55"/>
        <v>0.234375</v>
      </c>
      <c r="Z108" s="97">
        <f t="shared" si="55"/>
        <v>0.234375</v>
      </c>
      <c r="AA108" s="97">
        <f t="shared" si="55"/>
        <v>0.234375</v>
      </c>
      <c r="AB108" s="97">
        <f t="shared" si="55"/>
        <v>0.234375</v>
      </c>
      <c r="AC108" s="97">
        <f t="shared" si="55"/>
        <v>0.234375</v>
      </c>
      <c r="AD108" s="97">
        <f t="shared" si="55"/>
        <v>0.234375</v>
      </c>
      <c r="AE108" s="97">
        <f t="shared" si="55"/>
        <v>0.234375</v>
      </c>
      <c r="AF108" s="97">
        <f t="shared" si="55"/>
        <v>0.234375</v>
      </c>
      <c r="AG108" s="97">
        <f t="shared" si="55"/>
        <v>0.234375</v>
      </c>
      <c r="AH108" s="97">
        <f t="shared" si="55"/>
        <v>0.234375</v>
      </c>
      <c r="AI108" s="97">
        <f t="shared" si="55"/>
        <v>0.234375</v>
      </c>
      <c r="AJ108" s="97">
        <f t="shared" si="55"/>
        <v>0.234375</v>
      </c>
      <c r="AK108" s="97">
        <f t="shared" si="55"/>
        <v>0.234375</v>
      </c>
      <c r="AQ108" s="103">
        <f t="shared" si="51"/>
        <v>5.859375</v>
      </c>
    </row>
    <row r="109" spans="2:43">
      <c r="C109" t="s">
        <v>169</v>
      </c>
      <c r="N109" s="97">
        <f>$E$98*$L$35</f>
        <v>0.234375</v>
      </c>
      <c r="O109" s="97">
        <f t="shared" ref="O109:AL109" si="56">$E$98*$L$35</f>
        <v>0.234375</v>
      </c>
      <c r="P109" s="97">
        <f t="shared" si="56"/>
        <v>0.234375</v>
      </c>
      <c r="Q109" s="97">
        <f t="shared" si="56"/>
        <v>0.234375</v>
      </c>
      <c r="R109" s="97">
        <f t="shared" si="56"/>
        <v>0.234375</v>
      </c>
      <c r="S109" s="97">
        <f t="shared" si="56"/>
        <v>0.234375</v>
      </c>
      <c r="T109" s="97">
        <f t="shared" si="56"/>
        <v>0.234375</v>
      </c>
      <c r="U109" s="97">
        <f t="shared" si="56"/>
        <v>0.234375</v>
      </c>
      <c r="V109" s="97">
        <f t="shared" si="56"/>
        <v>0.234375</v>
      </c>
      <c r="W109" s="97">
        <f t="shared" si="56"/>
        <v>0.234375</v>
      </c>
      <c r="X109" s="97">
        <f t="shared" si="56"/>
        <v>0.234375</v>
      </c>
      <c r="Y109" s="97">
        <f t="shared" si="56"/>
        <v>0.234375</v>
      </c>
      <c r="Z109" s="97">
        <f t="shared" si="56"/>
        <v>0.234375</v>
      </c>
      <c r="AA109" s="97">
        <f t="shared" si="56"/>
        <v>0.234375</v>
      </c>
      <c r="AB109" s="97">
        <f t="shared" si="56"/>
        <v>0.234375</v>
      </c>
      <c r="AC109" s="97">
        <f t="shared" si="56"/>
        <v>0.234375</v>
      </c>
      <c r="AD109" s="97">
        <f t="shared" si="56"/>
        <v>0.234375</v>
      </c>
      <c r="AE109" s="97">
        <f t="shared" si="56"/>
        <v>0.234375</v>
      </c>
      <c r="AF109" s="97">
        <f t="shared" si="56"/>
        <v>0.234375</v>
      </c>
      <c r="AG109" s="97">
        <f t="shared" si="56"/>
        <v>0.234375</v>
      </c>
      <c r="AH109" s="97">
        <f t="shared" si="56"/>
        <v>0.234375</v>
      </c>
      <c r="AI109" s="97">
        <f t="shared" si="56"/>
        <v>0.234375</v>
      </c>
      <c r="AJ109" s="97">
        <f t="shared" si="56"/>
        <v>0.234375</v>
      </c>
      <c r="AK109" s="97">
        <f t="shared" si="56"/>
        <v>0.234375</v>
      </c>
      <c r="AL109" s="97">
        <f t="shared" si="56"/>
        <v>0.234375</v>
      </c>
      <c r="AQ109" s="103">
        <f t="shared" si="51"/>
        <v>5.859375</v>
      </c>
    </row>
    <row r="110" spans="2:43">
      <c r="C110" t="s">
        <v>168</v>
      </c>
      <c r="O110" s="97">
        <f t="shared" ref="O110:AM110" si="57">$E$98*$M$35</f>
        <v>0.234375</v>
      </c>
      <c r="P110" s="97">
        <f t="shared" si="57"/>
        <v>0.234375</v>
      </c>
      <c r="Q110" s="97">
        <f t="shared" si="57"/>
        <v>0.234375</v>
      </c>
      <c r="R110" s="97">
        <f t="shared" si="57"/>
        <v>0.234375</v>
      </c>
      <c r="S110" s="97">
        <f t="shared" si="57"/>
        <v>0.234375</v>
      </c>
      <c r="T110" s="97">
        <f t="shared" si="57"/>
        <v>0.234375</v>
      </c>
      <c r="U110" s="97">
        <f t="shared" si="57"/>
        <v>0.234375</v>
      </c>
      <c r="V110" s="97">
        <f t="shared" si="57"/>
        <v>0.234375</v>
      </c>
      <c r="W110" s="97">
        <f t="shared" si="57"/>
        <v>0.234375</v>
      </c>
      <c r="X110" s="97">
        <f t="shared" si="57"/>
        <v>0.234375</v>
      </c>
      <c r="Y110" s="97">
        <f t="shared" si="57"/>
        <v>0.234375</v>
      </c>
      <c r="Z110" s="97">
        <f t="shared" si="57"/>
        <v>0.234375</v>
      </c>
      <c r="AA110" s="97">
        <f t="shared" si="57"/>
        <v>0.234375</v>
      </c>
      <c r="AB110" s="97">
        <f t="shared" si="57"/>
        <v>0.234375</v>
      </c>
      <c r="AC110" s="97">
        <f t="shared" si="57"/>
        <v>0.234375</v>
      </c>
      <c r="AD110" s="97">
        <f t="shared" si="57"/>
        <v>0.234375</v>
      </c>
      <c r="AE110" s="97">
        <f t="shared" si="57"/>
        <v>0.234375</v>
      </c>
      <c r="AF110" s="97">
        <f t="shared" si="57"/>
        <v>0.234375</v>
      </c>
      <c r="AG110" s="97">
        <f t="shared" si="57"/>
        <v>0.234375</v>
      </c>
      <c r="AH110" s="97">
        <f t="shared" si="57"/>
        <v>0.234375</v>
      </c>
      <c r="AI110" s="97">
        <f t="shared" si="57"/>
        <v>0.234375</v>
      </c>
      <c r="AJ110" s="97">
        <f t="shared" si="57"/>
        <v>0.234375</v>
      </c>
      <c r="AK110" s="97">
        <f t="shared" si="57"/>
        <v>0.234375</v>
      </c>
      <c r="AL110" s="97">
        <f t="shared" si="57"/>
        <v>0.234375</v>
      </c>
      <c r="AM110" s="97">
        <f t="shared" si="57"/>
        <v>0.234375</v>
      </c>
      <c r="AQ110" s="103">
        <f t="shared" si="51"/>
        <v>5.859375</v>
      </c>
    </row>
    <row r="111" spans="2:43">
      <c r="C111" t="s">
        <v>167</v>
      </c>
      <c r="P111" s="97">
        <f t="shared" ref="P111:AN111" si="58">$E$98*$N$35</f>
        <v>0.234375</v>
      </c>
      <c r="Q111" s="97">
        <f t="shared" si="58"/>
        <v>0.234375</v>
      </c>
      <c r="R111" s="97">
        <f t="shared" si="58"/>
        <v>0.234375</v>
      </c>
      <c r="S111" s="97">
        <f t="shared" si="58"/>
        <v>0.234375</v>
      </c>
      <c r="T111" s="97">
        <f t="shared" si="58"/>
        <v>0.234375</v>
      </c>
      <c r="U111" s="97">
        <f t="shared" si="58"/>
        <v>0.234375</v>
      </c>
      <c r="V111" s="97">
        <f t="shared" si="58"/>
        <v>0.234375</v>
      </c>
      <c r="W111" s="97">
        <f t="shared" si="58"/>
        <v>0.234375</v>
      </c>
      <c r="X111" s="97">
        <f t="shared" si="58"/>
        <v>0.234375</v>
      </c>
      <c r="Y111" s="97">
        <f t="shared" si="58"/>
        <v>0.234375</v>
      </c>
      <c r="Z111" s="97">
        <f t="shared" si="58"/>
        <v>0.234375</v>
      </c>
      <c r="AA111" s="97">
        <f t="shared" si="58"/>
        <v>0.234375</v>
      </c>
      <c r="AB111" s="97">
        <f t="shared" si="58"/>
        <v>0.234375</v>
      </c>
      <c r="AC111" s="97">
        <f t="shared" si="58"/>
        <v>0.234375</v>
      </c>
      <c r="AD111" s="97">
        <f t="shared" si="58"/>
        <v>0.234375</v>
      </c>
      <c r="AE111" s="97">
        <f t="shared" si="58"/>
        <v>0.234375</v>
      </c>
      <c r="AF111" s="97">
        <f t="shared" si="58"/>
        <v>0.234375</v>
      </c>
      <c r="AG111" s="97">
        <f t="shared" si="58"/>
        <v>0.234375</v>
      </c>
      <c r="AH111" s="97">
        <f t="shared" si="58"/>
        <v>0.234375</v>
      </c>
      <c r="AI111" s="97">
        <f t="shared" si="58"/>
        <v>0.234375</v>
      </c>
      <c r="AJ111" s="97">
        <f t="shared" si="58"/>
        <v>0.234375</v>
      </c>
      <c r="AK111" s="97">
        <f t="shared" si="58"/>
        <v>0.234375</v>
      </c>
      <c r="AL111" s="97">
        <f t="shared" si="58"/>
        <v>0.234375</v>
      </c>
      <c r="AM111" s="97">
        <f t="shared" si="58"/>
        <v>0.234375</v>
      </c>
      <c r="AN111" s="97">
        <f t="shared" si="58"/>
        <v>0.234375</v>
      </c>
      <c r="AQ111" s="103">
        <f t="shared" si="51"/>
        <v>5.859375</v>
      </c>
    </row>
    <row r="112" spans="2:43">
      <c r="C112" t="s">
        <v>166</v>
      </c>
      <c r="Q112" s="97">
        <f t="shared" ref="Q112:AO112" si="59">$E$98*$O$35</f>
        <v>0.234375</v>
      </c>
      <c r="R112" s="97">
        <f t="shared" si="59"/>
        <v>0.234375</v>
      </c>
      <c r="S112" s="97">
        <f t="shared" si="59"/>
        <v>0.234375</v>
      </c>
      <c r="T112" s="97">
        <f t="shared" si="59"/>
        <v>0.234375</v>
      </c>
      <c r="U112" s="97">
        <f t="shared" si="59"/>
        <v>0.234375</v>
      </c>
      <c r="V112" s="97">
        <f t="shared" si="59"/>
        <v>0.234375</v>
      </c>
      <c r="W112" s="97">
        <f t="shared" si="59"/>
        <v>0.234375</v>
      </c>
      <c r="X112" s="97">
        <f t="shared" si="59"/>
        <v>0.234375</v>
      </c>
      <c r="Y112" s="97">
        <f t="shared" si="59"/>
        <v>0.234375</v>
      </c>
      <c r="Z112" s="97">
        <f t="shared" si="59"/>
        <v>0.234375</v>
      </c>
      <c r="AA112" s="97">
        <f t="shared" si="59"/>
        <v>0.234375</v>
      </c>
      <c r="AB112" s="97">
        <f t="shared" si="59"/>
        <v>0.234375</v>
      </c>
      <c r="AC112" s="97">
        <f t="shared" si="59"/>
        <v>0.234375</v>
      </c>
      <c r="AD112" s="97">
        <f t="shared" si="59"/>
        <v>0.234375</v>
      </c>
      <c r="AE112" s="97">
        <f t="shared" si="59"/>
        <v>0.234375</v>
      </c>
      <c r="AF112" s="97">
        <f t="shared" si="59"/>
        <v>0.234375</v>
      </c>
      <c r="AG112" s="97">
        <f t="shared" si="59"/>
        <v>0.234375</v>
      </c>
      <c r="AH112" s="97">
        <f t="shared" si="59"/>
        <v>0.234375</v>
      </c>
      <c r="AI112" s="97">
        <f t="shared" si="59"/>
        <v>0.234375</v>
      </c>
      <c r="AJ112" s="97">
        <f t="shared" si="59"/>
        <v>0.234375</v>
      </c>
      <c r="AK112" s="97">
        <f t="shared" si="59"/>
        <v>0.234375</v>
      </c>
      <c r="AL112" s="97">
        <f t="shared" si="59"/>
        <v>0.234375</v>
      </c>
      <c r="AM112" s="97">
        <f t="shared" si="59"/>
        <v>0.234375</v>
      </c>
      <c r="AN112" s="97">
        <f t="shared" si="59"/>
        <v>0.234375</v>
      </c>
      <c r="AO112" s="97">
        <f t="shared" si="59"/>
        <v>0.234375</v>
      </c>
      <c r="AP112" s="97"/>
      <c r="AQ112" s="103">
        <f t="shared" si="51"/>
        <v>5.859375</v>
      </c>
    </row>
    <row r="113" spans="1:43">
      <c r="C113" t="s">
        <v>196</v>
      </c>
      <c r="Q113" s="97"/>
      <c r="R113" s="97">
        <f t="shared" ref="R113:AP113" si="60">$E$98*$P$35</f>
        <v>0</v>
      </c>
      <c r="S113" s="97">
        <f t="shared" si="60"/>
        <v>0</v>
      </c>
      <c r="T113" s="97">
        <f t="shared" si="60"/>
        <v>0</v>
      </c>
      <c r="U113" s="97">
        <f t="shared" si="60"/>
        <v>0</v>
      </c>
      <c r="V113" s="97">
        <f t="shared" si="60"/>
        <v>0</v>
      </c>
      <c r="W113" s="97">
        <f t="shared" si="60"/>
        <v>0</v>
      </c>
      <c r="X113" s="97">
        <f t="shared" si="60"/>
        <v>0</v>
      </c>
      <c r="Y113" s="97">
        <f t="shared" si="60"/>
        <v>0</v>
      </c>
      <c r="Z113" s="97">
        <f t="shared" si="60"/>
        <v>0</v>
      </c>
      <c r="AA113" s="97">
        <f t="shared" si="60"/>
        <v>0</v>
      </c>
      <c r="AB113" s="97">
        <f t="shared" si="60"/>
        <v>0</v>
      </c>
      <c r="AC113" s="97">
        <f t="shared" si="60"/>
        <v>0</v>
      </c>
      <c r="AD113" s="97">
        <f t="shared" si="60"/>
        <v>0</v>
      </c>
      <c r="AE113" s="97">
        <f t="shared" si="60"/>
        <v>0</v>
      </c>
      <c r="AF113" s="97">
        <f t="shared" si="60"/>
        <v>0</v>
      </c>
      <c r="AG113" s="97">
        <f t="shared" si="60"/>
        <v>0</v>
      </c>
      <c r="AH113" s="97">
        <f t="shared" si="60"/>
        <v>0</v>
      </c>
      <c r="AI113" s="97">
        <f t="shared" si="60"/>
        <v>0</v>
      </c>
      <c r="AJ113" s="97">
        <f t="shared" si="60"/>
        <v>0</v>
      </c>
      <c r="AK113" s="97">
        <f t="shared" si="60"/>
        <v>0</v>
      </c>
      <c r="AL113" s="97">
        <f t="shared" si="60"/>
        <v>0</v>
      </c>
      <c r="AM113" s="97">
        <f t="shared" si="60"/>
        <v>0</v>
      </c>
      <c r="AN113" s="97">
        <f t="shared" si="60"/>
        <v>0</v>
      </c>
      <c r="AO113" s="97">
        <f t="shared" si="60"/>
        <v>0</v>
      </c>
      <c r="AP113" s="97">
        <f t="shared" si="60"/>
        <v>0</v>
      </c>
      <c r="AQ113" s="103">
        <f t="shared" si="51"/>
        <v>0</v>
      </c>
    </row>
    <row r="114" spans="1:43">
      <c r="Q114" s="97"/>
      <c r="AQ114" s="527">
        <f>SUM(AQ103:AQ113)</f>
        <v>60.9375</v>
      </c>
    </row>
    <row r="115" spans="1:43">
      <c r="C115" t="s">
        <v>197</v>
      </c>
      <c r="F115" s="104">
        <f>SUM(F103:F113)</f>
        <v>0</v>
      </c>
      <c r="G115" s="104">
        <f t="shared" ref="G115:AP115" si="61">SUM(G103:G113)</f>
        <v>0</v>
      </c>
      <c r="H115" s="104">
        <f t="shared" si="61"/>
        <v>0.28125</v>
      </c>
      <c r="I115" s="104">
        <f t="shared" si="61"/>
        <v>0.5625</v>
      </c>
      <c r="J115" s="104">
        <f t="shared" si="61"/>
        <v>0.796875</v>
      </c>
      <c r="K115" s="104">
        <f t="shared" si="61"/>
        <v>1.03125</v>
      </c>
      <c r="L115" s="104">
        <f t="shared" si="61"/>
        <v>1.265625</v>
      </c>
      <c r="M115" s="104">
        <f t="shared" si="61"/>
        <v>1.5</v>
      </c>
      <c r="N115" s="104">
        <f t="shared" si="61"/>
        <v>1.734375</v>
      </c>
      <c r="O115" s="104">
        <f t="shared" si="61"/>
        <v>1.96875</v>
      </c>
      <c r="P115" s="104">
        <f t="shared" si="61"/>
        <v>2.203125</v>
      </c>
      <c r="Q115" s="104">
        <f t="shared" si="61"/>
        <v>2.4375</v>
      </c>
      <c r="R115" s="104">
        <f t="shared" si="61"/>
        <v>2.4375</v>
      </c>
      <c r="S115" s="104">
        <f t="shared" si="61"/>
        <v>2.4375</v>
      </c>
      <c r="T115" s="104">
        <f t="shared" si="61"/>
        <v>2.4375</v>
      </c>
      <c r="U115" s="104">
        <f t="shared" si="61"/>
        <v>2.4375</v>
      </c>
      <c r="V115" s="104">
        <f t="shared" si="61"/>
        <v>2.4375</v>
      </c>
      <c r="W115" s="104">
        <f t="shared" si="61"/>
        <v>2.4375</v>
      </c>
      <c r="X115" s="104">
        <f t="shared" si="61"/>
        <v>2.4375</v>
      </c>
      <c r="Y115" s="104">
        <f t="shared" si="61"/>
        <v>2.4375</v>
      </c>
      <c r="Z115" s="104">
        <f t="shared" si="61"/>
        <v>2.4375</v>
      </c>
      <c r="AA115" s="104">
        <f t="shared" si="61"/>
        <v>2.4375</v>
      </c>
      <c r="AB115" s="104">
        <f t="shared" si="61"/>
        <v>2.4375</v>
      </c>
      <c r="AC115" s="104">
        <f t="shared" si="61"/>
        <v>2.4375</v>
      </c>
      <c r="AD115" s="104">
        <f t="shared" si="61"/>
        <v>2.4375</v>
      </c>
      <c r="AE115" s="104">
        <f t="shared" si="61"/>
        <v>2.4375</v>
      </c>
      <c r="AF115" s="104">
        <f t="shared" si="61"/>
        <v>2.4375</v>
      </c>
      <c r="AG115" s="104">
        <f t="shared" si="61"/>
        <v>2.15625</v>
      </c>
      <c r="AH115" s="104">
        <f t="shared" si="61"/>
        <v>1.875</v>
      </c>
      <c r="AI115" s="104">
        <f t="shared" si="61"/>
        <v>1.640625</v>
      </c>
      <c r="AJ115" s="104">
        <f t="shared" si="61"/>
        <v>1.40625</v>
      </c>
      <c r="AK115" s="104">
        <f t="shared" si="61"/>
        <v>1.171875</v>
      </c>
      <c r="AL115" s="104">
        <f t="shared" si="61"/>
        <v>0.9375</v>
      </c>
      <c r="AM115" s="104">
        <f t="shared" si="61"/>
        <v>0.703125</v>
      </c>
      <c r="AN115" s="104">
        <f t="shared" si="61"/>
        <v>0.46875</v>
      </c>
      <c r="AO115" s="104">
        <f t="shared" si="61"/>
        <v>0.234375</v>
      </c>
      <c r="AP115" s="104">
        <f t="shared" si="61"/>
        <v>0</v>
      </c>
      <c r="AQ115" s="528">
        <f>SUM(F115:AP115)</f>
        <v>60.9375</v>
      </c>
    </row>
    <row r="116" spans="1:43">
      <c r="C116" t="s">
        <v>198</v>
      </c>
      <c r="F116" s="116">
        <v>0.5</v>
      </c>
      <c r="Q116" s="97"/>
      <c r="AQ116" s="529"/>
    </row>
    <row r="117" spans="1:43">
      <c r="C117" t="s">
        <v>130</v>
      </c>
      <c r="F117" s="104">
        <f>F115*$F$86</f>
        <v>0</v>
      </c>
      <c r="G117" s="104">
        <f t="shared" ref="G117:AP117" si="62">G115*$F$86</f>
        <v>0</v>
      </c>
      <c r="H117" s="104">
        <f t="shared" si="62"/>
        <v>0.140625</v>
      </c>
      <c r="I117" s="104">
        <f t="shared" si="62"/>
        <v>0.28125</v>
      </c>
      <c r="J117" s="104">
        <f t="shared" si="62"/>
        <v>0.3984375</v>
      </c>
      <c r="K117" s="104">
        <f t="shared" si="62"/>
        <v>0.515625</v>
      </c>
      <c r="L117" s="104">
        <f t="shared" si="62"/>
        <v>0.6328125</v>
      </c>
      <c r="M117" s="104">
        <f t="shared" si="62"/>
        <v>0.75</v>
      </c>
      <c r="N117" s="104">
        <f t="shared" si="62"/>
        <v>0.8671875</v>
      </c>
      <c r="O117" s="104">
        <f t="shared" si="62"/>
        <v>0.984375</v>
      </c>
      <c r="P117" s="104">
        <f t="shared" si="62"/>
        <v>1.1015625</v>
      </c>
      <c r="Q117" s="104">
        <f t="shared" si="62"/>
        <v>1.21875</v>
      </c>
      <c r="R117" s="104">
        <f t="shared" si="62"/>
        <v>1.21875</v>
      </c>
      <c r="S117" s="104">
        <f t="shared" si="62"/>
        <v>1.21875</v>
      </c>
      <c r="T117" s="104">
        <f t="shared" si="62"/>
        <v>1.21875</v>
      </c>
      <c r="U117" s="104">
        <f t="shared" si="62"/>
        <v>1.21875</v>
      </c>
      <c r="V117" s="104">
        <f t="shared" si="62"/>
        <v>1.21875</v>
      </c>
      <c r="W117" s="104">
        <f t="shared" si="62"/>
        <v>1.21875</v>
      </c>
      <c r="X117" s="104">
        <f t="shared" si="62"/>
        <v>1.21875</v>
      </c>
      <c r="Y117" s="104">
        <f t="shared" si="62"/>
        <v>1.21875</v>
      </c>
      <c r="Z117" s="104">
        <f t="shared" si="62"/>
        <v>1.21875</v>
      </c>
      <c r="AA117" s="104">
        <f t="shared" si="62"/>
        <v>1.21875</v>
      </c>
      <c r="AB117" s="104">
        <f t="shared" si="62"/>
        <v>1.21875</v>
      </c>
      <c r="AC117" s="104">
        <f t="shared" si="62"/>
        <v>1.21875</v>
      </c>
      <c r="AD117" s="104">
        <f t="shared" si="62"/>
        <v>1.21875</v>
      </c>
      <c r="AE117" s="104">
        <f t="shared" si="62"/>
        <v>1.21875</v>
      </c>
      <c r="AF117" s="104">
        <f t="shared" si="62"/>
        <v>1.21875</v>
      </c>
      <c r="AG117" s="104">
        <f t="shared" si="62"/>
        <v>1.078125</v>
      </c>
      <c r="AH117" s="104">
        <f t="shared" si="62"/>
        <v>0.9375</v>
      </c>
      <c r="AI117" s="104">
        <f t="shared" si="62"/>
        <v>0.8203125</v>
      </c>
      <c r="AJ117" s="104">
        <f t="shared" si="62"/>
        <v>0.703125</v>
      </c>
      <c r="AK117" s="104">
        <f t="shared" si="62"/>
        <v>0.5859375</v>
      </c>
      <c r="AL117" s="104">
        <f t="shared" si="62"/>
        <v>0.46875</v>
      </c>
      <c r="AM117" s="104">
        <f t="shared" si="62"/>
        <v>0.3515625</v>
      </c>
      <c r="AN117" s="104">
        <f t="shared" si="62"/>
        <v>0.234375</v>
      </c>
      <c r="AO117" s="104">
        <f t="shared" si="62"/>
        <v>0.1171875</v>
      </c>
      <c r="AP117" s="104">
        <f t="shared" si="62"/>
        <v>0</v>
      </c>
      <c r="AQ117" s="118">
        <f>SUM(F117:AP117)</f>
        <v>30.46875</v>
      </c>
    </row>
    <row r="119" spans="1:43">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row>
    <row r="120" spans="1:43">
      <c r="B120" s="521" t="str">
        <f>'[2]D1-D5 hub Benefit Summary'!B14</f>
        <v>D4</v>
      </c>
      <c r="C120" s="458" t="s">
        <v>128</v>
      </c>
    </row>
    <row r="122" spans="1:43">
      <c r="B122" t="s">
        <v>180</v>
      </c>
      <c r="F122" s="111">
        <v>0.1</v>
      </c>
    </row>
    <row r="123" spans="1:43">
      <c r="B123" s="32" t="s">
        <v>179</v>
      </c>
      <c r="F123" s="85">
        <v>6.0900000000000003E-2</v>
      </c>
    </row>
    <row r="124" spans="1:43">
      <c r="B124" s="32" t="s">
        <v>178</v>
      </c>
      <c r="F124" s="112">
        <f>F122-F123</f>
        <v>3.9100000000000003E-2</v>
      </c>
    </row>
    <row r="125" spans="1:43">
      <c r="B125" t="s">
        <v>177</v>
      </c>
      <c r="F125" s="111">
        <v>0.9</v>
      </c>
    </row>
    <row r="126" spans="1:43">
      <c r="B126" t="s">
        <v>176</v>
      </c>
      <c r="E126" s="111">
        <v>0.4</v>
      </c>
      <c r="F126" s="73">
        <f>E126*(1-F125)</f>
        <v>3.9999999999999994E-2</v>
      </c>
    </row>
    <row r="128" spans="1:43" s="39" customFormat="1">
      <c r="F128" s="522" t="s">
        <v>6</v>
      </c>
      <c r="G128" s="522" t="s">
        <v>7</v>
      </c>
      <c r="H128" s="522" t="s">
        <v>8</v>
      </c>
      <c r="I128" s="522" t="s">
        <v>9</v>
      </c>
      <c r="J128" s="522" t="s">
        <v>10</v>
      </c>
      <c r="K128" s="522" t="s">
        <v>11</v>
      </c>
      <c r="L128" s="522" t="s">
        <v>13</v>
      </c>
      <c r="M128" s="522" t="s">
        <v>14</v>
      </c>
      <c r="N128" s="522" t="s">
        <v>15</v>
      </c>
      <c r="O128" s="522" t="s">
        <v>16</v>
      </c>
      <c r="P128" s="522" t="s">
        <v>17</v>
      </c>
      <c r="Q128" s="522" t="s">
        <v>18</v>
      </c>
      <c r="R128" s="522" t="s">
        <v>19</v>
      </c>
      <c r="S128" s="522" t="s">
        <v>20</v>
      </c>
      <c r="T128" s="522" t="s">
        <v>21</v>
      </c>
      <c r="U128" s="522" t="s">
        <v>22</v>
      </c>
      <c r="V128" s="522" t="s">
        <v>23</v>
      </c>
      <c r="W128" s="522" t="s">
        <v>24</v>
      </c>
      <c r="X128" s="522" t="s">
        <v>25</v>
      </c>
      <c r="Y128" s="522" t="s">
        <v>26</v>
      </c>
      <c r="Z128" s="522" t="s">
        <v>27</v>
      </c>
      <c r="AA128" s="522" t="s">
        <v>28</v>
      </c>
      <c r="AB128" s="522" t="s">
        <v>29</v>
      </c>
      <c r="AC128" s="522" t="s">
        <v>46</v>
      </c>
      <c r="AD128" s="522" t="s">
        <v>47</v>
      </c>
      <c r="AE128" s="522" t="s">
        <v>48</v>
      </c>
      <c r="AF128" s="522" t="s">
        <v>49</v>
      </c>
      <c r="AG128" s="522" t="s">
        <v>50</v>
      </c>
      <c r="AH128" s="522" t="s">
        <v>51</v>
      </c>
      <c r="AI128" s="522" t="s">
        <v>52</v>
      </c>
      <c r="AJ128" s="522" t="s">
        <v>53</v>
      </c>
      <c r="AK128" s="522" t="s">
        <v>54</v>
      </c>
      <c r="AL128" s="522" t="s">
        <v>55</v>
      </c>
      <c r="AM128" s="522" t="s">
        <v>56</v>
      </c>
      <c r="AN128" s="522" t="s">
        <v>57</v>
      </c>
      <c r="AO128" s="522" t="s">
        <v>279</v>
      </c>
      <c r="AP128" s="522" t="s">
        <v>280</v>
      </c>
    </row>
    <row r="129" spans="2:44">
      <c r="B129" t="s">
        <v>128</v>
      </c>
      <c r="E129" s="523" t="s">
        <v>153</v>
      </c>
      <c r="F129" s="458">
        <f t="shared" ref="F129:AP129" si="63">F$37</f>
        <v>1</v>
      </c>
      <c r="G129" s="458">
        <f t="shared" si="63"/>
        <v>2</v>
      </c>
      <c r="H129" s="458">
        <f t="shared" si="63"/>
        <v>3</v>
      </c>
      <c r="I129" s="458">
        <f t="shared" si="63"/>
        <v>4</v>
      </c>
      <c r="J129" s="458">
        <f t="shared" si="63"/>
        <v>5</v>
      </c>
      <c r="K129" s="458">
        <f t="shared" si="63"/>
        <v>6</v>
      </c>
      <c r="L129" s="458">
        <f t="shared" si="63"/>
        <v>7</v>
      </c>
      <c r="M129" s="458">
        <f t="shared" si="63"/>
        <v>8</v>
      </c>
      <c r="N129" s="458">
        <f t="shared" si="63"/>
        <v>9</v>
      </c>
      <c r="O129" s="458">
        <f t="shared" si="63"/>
        <v>10</v>
      </c>
      <c r="P129" s="458">
        <f t="shared" si="63"/>
        <v>11</v>
      </c>
      <c r="Q129" s="458">
        <f t="shared" si="63"/>
        <v>12</v>
      </c>
      <c r="R129" s="458">
        <f t="shared" si="63"/>
        <v>13</v>
      </c>
      <c r="S129" s="458">
        <f t="shared" si="63"/>
        <v>14</v>
      </c>
      <c r="T129" s="458">
        <f t="shared" si="63"/>
        <v>15</v>
      </c>
      <c r="U129" s="458">
        <f t="shared" si="63"/>
        <v>16</v>
      </c>
      <c r="V129" s="458">
        <f t="shared" si="63"/>
        <v>17</v>
      </c>
      <c r="W129" s="458">
        <f t="shared" si="63"/>
        <v>18</v>
      </c>
      <c r="X129" s="458">
        <f t="shared" si="63"/>
        <v>19</v>
      </c>
      <c r="Y129" s="458">
        <f t="shared" si="63"/>
        <v>20</v>
      </c>
      <c r="Z129" s="458">
        <f t="shared" si="63"/>
        <v>21</v>
      </c>
      <c r="AA129" s="458">
        <f t="shared" si="63"/>
        <v>22</v>
      </c>
      <c r="AB129" s="458">
        <f t="shared" si="63"/>
        <v>23</v>
      </c>
      <c r="AC129" s="458">
        <f t="shared" si="63"/>
        <v>24</v>
      </c>
      <c r="AD129" s="458">
        <f t="shared" si="63"/>
        <v>25</v>
      </c>
      <c r="AE129" s="458">
        <f t="shared" si="63"/>
        <v>26</v>
      </c>
      <c r="AF129" s="458">
        <f t="shared" si="63"/>
        <v>27</v>
      </c>
      <c r="AG129" s="458">
        <f t="shared" si="63"/>
        <v>28</v>
      </c>
      <c r="AH129" s="458">
        <f t="shared" si="63"/>
        <v>29</v>
      </c>
      <c r="AI129" s="458">
        <f t="shared" si="63"/>
        <v>30</v>
      </c>
      <c r="AJ129" s="458">
        <f t="shared" si="63"/>
        <v>31</v>
      </c>
      <c r="AK129" s="458">
        <f t="shared" si="63"/>
        <v>32</v>
      </c>
      <c r="AL129" s="458">
        <f t="shared" si="63"/>
        <v>33</v>
      </c>
      <c r="AM129" s="458">
        <f t="shared" si="63"/>
        <v>34</v>
      </c>
      <c r="AN129" s="458">
        <f t="shared" si="63"/>
        <v>35</v>
      </c>
      <c r="AO129" s="458">
        <f t="shared" si="63"/>
        <v>36</v>
      </c>
      <c r="AP129" s="458">
        <f t="shared" si="63"/>
        <v>37</v>
      </c>
      <c r="AQ129" s="526"/>
      <c r="AR129" s="39"/>
    </row>
    <row r="131" spans="2:44">
      <c r="B131" t="s">
        <v>135</v>
      </c>
      <c r="C131" t="s">
        <v>175</v>
      </c>
      <c r="H131" s="97">
        <f t="shared" ref="H131:AF131" si="64">($F$31+$F$32)*$F$124*$F$126</f>
        <v>0.13059399999999999</v>
      </c>
      <c r="I131" s="97">
        <f t="shared" si="64"/>
        <v>0.13059399999999999</v>
      </c>
      <c r="J131" s="97">
        <f t="shared" si="64"/>
        <v>0.13059399999999999</v>
      </c>
      <c r="K131" s="97">
        <f t="shared" si="64"/>
        <v>0.13059399999999999</v>
      </c>
      <c r="L131" s="97">
        <f t="shared" si="64"/>
        <v>0.13059399999999999</v>
      </c>
      <c r="M131" s="97">
        <f t="shared" si="64"/>
        <v>0.13059399999999999</v>
      </c>
      <c r="N131" s="97">
        <f t="shared" si="64"/>
        <v>0.13059399999999999</v>
      </c>
      <c r="O131" s="97">
        <f t="shared" si="64"/>
        <v>0.13059399999999999</v>
      </c>
      <c r="P131" s="97">
        <f t="shared" si="64"/>
        <v>0.13059399999999999</v>
      </c>
      <c r="Q131" s="97">
        <f t="shared" si="64"/>
        <v>0.13059399999999999</v>
      </c>
      <c r="R131" s="97">
        <f t="shared" si="64"/>
        <v>0.13059399999999999</v>
      </c>
      <c r="S131" s="97">
        <f t="shared" si="64"/>
        <v>0.13059399999999999</v>
      </c>
      <c r="T131" s="97">
        <f t="shared" si="64"/>
        <v>0.13059399999999999</v>
      </c>
      <c r="U131" s="97">
        <f t="shared" si="64"/>
        <v>0.13059399999999999</v>
      </c>
      <c r="V131" s="97">
        <f t="shared" si="64"/>
        <v>0.13059399999999999</v>
      </c>
      <c r="W131" s="97">
        <f t="shared" si="64"/>
        <v>0.13059399999999999</v>
      </c>
      <c r="X131" s="97">
        <f t="shared" si="64"/>
        <v>0.13059399999999999</v>
      </c>
      <c r="Y131" s="97">
        <f t="shared" si="64"/>
        <v>0.13059399999999999</v>
      </c>
      <c r="Z131" s="97">
        <f t="shared" si="64"/>
        <v>0.13059399999999999</v>
      </c>
      <c r="AA131" s="97">
        <f t="shared" si="64"/>
        <v>0.13059399999999999</v>
      </c>
      <c r="AB131" s="97">
        <f t="shared" si="64"/>
        <v>0.13059399999999999</v>
      </c>
      <c r="AC131" s="97">
        <f t="shared" si="64"/>
        <v>0.13059399999999999</v>
      </c>
      <c r="AD131" s="97">
        <f t="shared" si="64"/>
        <v>0.13059399999999999</v>
      </c>
      <c r="AE131" s="97">
        <f t="shared" si="64"/>
        <v>0.13059399999999999</v>
      </c>
      <c r="AF131" s="97">
        <f t="shared" si="64"/>
        <v>0.13059399999999999</v>
      </c>
      <c r="AQ131" s="103">
        <f>SUM(F131:AP131)</f>
        <v>3.2648499999999978</v>
      </c>
    </row>
    <row r="132" spans="2:44">
      <c r="C132" t="s">
        <v>174</v>
      </c>
      <c r="I132" s="97">
        <f t="shared" ref="I132:AG132" si="65">($G$31+$G$32)*$F$124*$F$126</f>
        <v>0.26603640000000001</v>
      </c>
      <c r="J132" s="97">
        <f t="shared" si="65"/>
        <v>0.26603640000000001</v>
      </c>
      <c r="K132" s="97">
        <f t="shared" si="65"/>
        <v>0.26603640000000001</v>
      </c>
      <c r="L132" s="97">
        <f t="shared" si="65"/>
        <v>0.26603640000000001</v>
      </c>
      <c r="M132" s="97">
        <f t="shared" si="65"/>
        <v>0.26603640000000001</v>
      </c>
      <c r="N132" s="97">
        <f t="shared" si="65"/>
        <v>0.26603640000000001</v>
      </c>
      <c r="O132" s="97">
        <f t="shared" si="65"/>
        <v>0.26603640000000001</v>
      </c>
      <c r="P132" s="97">
        <f t="shared" si="65"/>
        <v>0.26603640000000001</v>
      </c>
      <c r="Q132" s="97">
        <f t="shared" si="65"/>
        <v>0.26603640000000001</v>
      </c>
      <c r="R132" s="97">
        <f t="shared" si="65"/>
        <v>0.26603640000000001</v>
      </c>
      <c r="S132" s="97">
        <f t="shared" si="65"/>
        <v>0.26603640000000001</v>
      </c>
      <c r="T132" s="97">
        <f t="shared" si="65"/>
        <v>0.26603640000000001</v>
      </c>
      <c r="U132" s="97">
        <f t="shared" si="65"/>
        <v>0.26603640000000001</v>
      </c>
      <c r="V132" s="97">
        <f t="shared" si="65"/>
        <v>0.26603640000000001</v>
      </c>
      <c r="W132" s="97">
        <f t="shared" si="65"/>
        <v>0.26603640000000001</v>
      </c>
      <c r="X132" s="97">
        <f t="shared" si="65"/>
        <v>0.26603640000000001</v>
      </c>
      <c r="Y132" s="97">
        <f t="shared" si="65"/>
        <v>0.26603640000000001</v>
      </c>
      <c r="Z132" s="97">
        <f t="shared" si="65"/>
        <v>0.26603640000000001</v>
      </c>
      <c r="AA132" s="97">
        <f t="shared" si="65"/>
        <v>0.26603640000000001</v>
      </c>
      <c r="AB132" s="97">
        <f t="shared" si="65"/>
        <v>0.26603640000000001</v>
      </c>
      <c r="AC132" s="97">
        <f t="shared" si="65"/>
        <v>0.26603640000000001</v>
      </c>
      <c r="AD132" s="97">
        <f t="shared" si="65"/>
        <v>0.26603640000000001</v>
      </c>
      <c r="AE132" s="97">
        <f t="shared" si="65"/>
        <v>0.26603640000000001</v>
      </c>
      <c r="AF132" s="97">
        <f t="shared" si="65"/>
        <v>0.26603640000000001</v>
      </c>
      <c r="AG132" s="97">
        <f t="shared" si="65"/>
        <v>0.26603640000000001</v>
      </c>
      <c r="AQ132" s="103">
        <f t="shared" ref="AQ132:AQ141" si="66">SUM(F132:AP132)</f>
        <v>6.6509099999999997</v>
      </c>
    </row>
    <row r="133" spans="2:44">
      <c r="C133" t="s">
        <v>173</v>
      </c>
      <c r="J133" s="97">
        <f t="shared" ref="J133:AH133" si="67">($H$31+$H$32)*$F$124*$F$126</f>
        <v>0.11409379999999998</v>
      </c>
      <c r="K133" s="97">
        <f t="shared" si="67"/>
        <v>0.11409379999999998</v>
      </c>
      <c r="L133" s="97">
        <f t="shared" si="67"/>
        <v>0.11409379999999998</v>
      </c>
      <c r="M133" s="97">
        <f t="shared" si="67"/>
        <v>0.11409379999999998</v>
      </c>
      <c r="N133" s="97">
        <f t="shared" si="67"/>
        <v>0.11409379999999998</v>
      </c>
      <c r="O133" s="97">
        <f t="shared" si="67"/>
        <v>0.11409379999999998</v>
      </c>
      <c r="P133" s="97">
        <f t="shared" si="67"/>
        <v>0.11409379999999998</v>
      </c>
      <c r="Q133" s="97">
        <f t="shared" si="67"/>
        <v>0.11409379999999998</v>
      </c>
      <c r="R133" s="97">
        <f t="shared" si="67"/>
        <v>0.11409379999999998</v>
      </c>
      <c r="S133" s="97">
        <f t="shared" si="67"/>
        <v>0.11409379999999998</v>
      </c>
      <c r="T133" s="97">
        <f t="shared" si="67"/>
        <v>0.11409379999999998</v>
      </c>
      <c r="U133" s="97">
        <f t="shared" si="67"/>
        <v>0.11409379999999998</v>
      </c>
      <c r="V133" s="97">
        <f t="shared" si="67"/>
        <v>0.11409379999999998</v>
      </c>
      <c r="W133" s="97">
        <f t="shared" si="67"/>
        <v>0.11409379999999998</v>
      </c>
      <c r="X133" s="97">
        <f t="shared" si="67"/>
        <v>0.11409379999999998</v>
      </c>
      <c r="Y133" s="97">
        <f t="shared" si="67"/>
        <v>0.11409379999999998</v>
      </c>
      <c r="Z133" s="97">
        <f t="shared" si="67"/>
        <v>0.11409379999999998</v>
      </c>
      <c r="AA133" s="97">
        <f t="shared" si="67"/>
        <v>0.11409379999999998</v>
      </c>
      <c r="AB133" s="97">
        <f t="shared" si="67"/>
        <v>0.11409379999999998</v>
      </c>
      <c r="AC133" s="97">
        <f t="shared" si="67"/>
        <v>0.11409379999999998</v>
      </c>
      <c r="AD133" s="97">
        <f t="shared" si="67"/>
        <v>0.11409379999999998</v>
      </c>
      <c r="AE133" s="97">
        <f t="shared" si="67"/>
        <v>0.11409379999999998</v>
      </c>
      <c r="AF133" s="97">
        <f t="shared" si="67"/>
        <v>0.11409379999999998</v>
      </c>
      <c r="AG133" s="97">
        <f t="shared" si="67"/>
        <v>0.11409379999999998</v>
      </c>
      <c r="AH133" s="97">
        <f t="shared" si="67"/>
        <v>0.11409379999999998</v>
      </c>
      <c r="AQ133" s="103">
        <f t="shared" si="66"/>
        <v>2.8523450000000001</v>
      </c>
    </row>
    <row r="134" spans="2:44">
      <c r="C134" t="s">
        <v>172</v>
      </c>
      <c r="K134" s="97">
        <f t="shared" ref="K134:AI134" si="68">($I$31+$I$32)*$F$124*$F$126</f>
        <v>0.11409379999999998</v>
      </c>
      <c r="L134" s="97">
        <f t="shared" si="68"/>
        <v>0.11409379999999998</v>
      </c>
      <c r="M134" s="97">
        <f t="shared" si="68"/>
        <v>0.11409379999999998</v>
      </c>
      <c r="N134" s="97">
        <f t="shared" si="68"/>
        <v>0.11409379999999998</v>
      </c>
      <c r="O134" s="97">
        <f t="shared" si="68"/>
        <v>0.11409379999999998</v>
      </c>
      <c r="P134" s="97">
        <f t="shared" si="68"/>
        <v>0.11409379999999998</v>
      </c>
      <c r="Q134" s="97">
        <f t="shared" si="68"/>
        <v>0.11409379999999998</v>
      </c>
      <c r="R134" s="97">
        <f t="shared" si="68"/>
        <v>0.11409379999999998</v>
      </c>
      <c r="S134" s="97">
        <f t="shared" si="68"/>
        <v>0.11409379999999998</v>
      </c>
      <c r="T134" s="97">
        <f t="shared" si="68"/>
        <v>0.11409379999999998</v>
      </c>
      <c r="U134" s="97">
        <f t="shared" si="68"/>
        <v>0.11409379999999998</v>
      </c>
      <c r="V134" s="97">
        <f t="shared" si="68"/>
        <v>0.11409379999999998</v>
      </c>
      <c r="W134" s="97">
        <f t="shared" si="68"/>
        <v>0.11409379999999998</v>
      </c>
      <c r="X134" s="97">
        <f t="shared" si="68"/>
        <v>0.11409379999999998</v>
      </c>
      <c r="Y134" s="97">
        <f t="shared" si="68"/>
        <v>0.11409379999999998</v>
      </c>
      <c r="Z134" s="97">
        <f t="shared" si="68"/>
        <v>0.11409379999999998</v>
      </c>
      <c r="AA134" s="97">
        <f t="shared" si="68"/>
        <v>0.11409379999999998</v>
      </c>
      <c r="AB134" s="97">
        <f t="shared" si="68"/>
        <v>0.11409379999999998</v>
      </c>
      <c r="AC134" s="97">
        <f t="shared" si="68"/>
        <v>0.11409379999999998</v>
      </c>
      <c r="AD134" s="97">
        <f t="shared" si="68"/>
        <v>0.11409379999999998</v>
      </c>
      <c r="AE134" s="97">
        <f t="shared" si="68"/>
        <v>0.11409379999999998</v>
      </c>
      <c r="AF134" s="97">
        <f t="shared" si="68"/>
        <v>0.11409379999999998</v>
      </c>
      <c r="AG134" s="97">
        <f t="shared" si="68"/>
        <v>0.11409379999999998</v>
      </c>
      <c r="AH134" s="97">
        <f t="shared" si="68"/>
        <v>0.11409379999999998</v>
      </c>
      <c r="AI134" s="97">
        <f t="shared" si="68"/>
        <v>0.11409379999999998</v>
      </c>
      <c r="AQ134" s="103">
        <f t="shared" si="66"/>
        <v>2.8523450000000001</v>
      </c>
    </row>
    <row r="135" spans="2:44">
      <c r="C135" t="s">
        <v>171</v>
      </c>
      <c r="L135" s="97">
        <f t="shared" ref="L135:AJ135" si="69">($J$31+$J$32)*$F$124*$F$126</f>
        <v>0.11409379999999998</v>
      </c>
      <c r="M135" s="97">
        <f t="shared" si="69"/>
        <v>0.11409379999999998</v>
      </c>
      <c r="N135" s="97">
        <f t="shared" si="69"/>
        <v>0.11409379999999998</v>
      </c>
      <c r="O135" s="97">
        <f t="shared" si="69"/>
        <v>0.11409379999999998</v>
      </c>
      <c r="P135" s="97">
        <f t="shared" si="69"/>
        <v>0.11409379999999998</v>
      </c>
      <c r="Q135" s="97">
        <f t="shared" si="69"/>
        <v>0.11409379999999998</v>
      </c>
      <c r="R135" s="97">
        <f t="shared" si="69"/>
        <v>0.11409379999999998</v>
      </c>
      <c r="S135" s="97">
        <f t="shared" si="69"/>
        <v>0.11409379999999998</v>
      </c>
      <c r="T135" s="97">
        <f t="shared" si="69"/>
        <v>0.11409379999999998</v>
      </c>
      <c r="U135" s="97">
        <f t="shared" si="69"/>
        <v>0.11409379999999998</v>
      </c>
      <c r="V135" s="97">
        <f t="shared" si="69"/>
        <v>0.11409379999999998</v>
      </c>
      <c r="W135" s="97">
        <f t="shared" si="69"/>
        <v>0.11409379999999998</v>
      </c>
      <c r="X135" s="97">
        <f t="shared" si="69"/>
        <v>0.11409379999999998</v>
      </c>
      <c r="Y135" s="97">
        <f t="shared" si="69"/>
        <v>0.11409379999999998</v>
      </c>
      <c r="Z135" s="97">
        <f t="shared" si="69"/>
        <v>0.11409379999999998</v>
      </c>
      <c r="AA135" s="97">
        <f t="shared" si="69"/>
        <v>0.11409379999999998</v>
      </c>
      <c r="AB135" s="97">
        <f t="shared" si="69"/>
        <v>0.11409379999999998</v>
      </c>
      <c r="AC135" s="97">
        <f t="shared" si="69"/>
        <v>0.11409379999999998</v>
      </c>
      <c r="AD135" s="97">
        <f t="shared" si="69"/>
        <v>0.11409379999999998</v>
      </c>
      <c r="AE135" s="97">
        <f t="shared" si="69"/>
        <v>0.11409379999999998</v>
      </c>
      <c r="AF135" s="97">
        <f t="shared" si="69"/>
        <v>0.11409379999999998</v>
      </c>
      <c r="AG135" s="97">
        <f t="shared" si="69"/>
        <v>0.11409379999999998</v>
      </c>
      <c r="AH135" s="97">
        <f t="shared" si="69"/>
        <v>0.11409379999999998</v>
      </c>
      <c r="AI135" s="97">
        <f t="shared" si="69"/>
        <v>0.11409379999999998</v>
      </c>
      <c r="AJ135" s="97">
        <f t="shared" si="69"/>
        <v>0.11409379999999998</v>
      </c>
      <c r="AQ135" s="103">
        <f t="shared" si="66"/>
        <v>2.8523450000000001</v>
      </c>
    </row>
    <row r="136" spans="2:44">
      <c r="C136" t="s">
        <v>170</v>
      </c>
      <c r="M136" s="97">
        <f t="shared" ref="M136:AK136" si="70">($K$31+$K$32)*$F$124*$F$126</f>
        <v>0.11409379999999998</v>
      </c>
      <c r="N136" s="97">
        <f t="shared" si="70"/>
        <v>0.11409379999999998</v>
      </c>
      <c r="O136" s="97">
        <f t="shared" si="70"/>
        <v>0.11409379999999998</v>
      </c>
      <c r="P136" s="97">
        <f t="shared" si="70"/>
        <v>0.11409379999999998</v>
      </c>
      <c r="Q136" s="97">
        <f t="shared" si="70"/>
        <v>0.11409379999999998</v>
      </c>
      <c r="R136" s="97">
        <f t="shared" si="70"/>
        <v>0.11409379999999998</v>
      </c>
      <c r="S136" s="97">
        <f t="shared" si="70"/>
        <v>0.11409379999999998</v>
      </c>
      <c r="T136" s="97">
        <f t="shared" si="70"/>
        <v>0.11409379999999998</v>
      </c>
      <c r="U136" s="97">
        <f t="shared" si="70"/>
        <v>0.11409379999999998</v>
      </c>
      <c r="V136" s="97">
        <f t="shared" si="70"/>
        <v>0.11409379999999998</v>
      </c>
      <c r="W136" s="97">
        <f t="shared" si="70"/>
        <v>0.11409379999999998</v>
      </c>
      <c r="X136" s="97">
        <f t="shared" si="70"/>
        <v>0.11409379999999998</v>
      </c>
      <c r="Y136" s="97">
        <f t="shared" si="70"/>
        <v>0.11409379999999998</v>
      </c>
      <c r="Z136" s="97">
        <f t="shared" si="70"/>
        <v>0.11409379999999998</v>
      </c>
      <c r="AA136" s="97">
        <f t="shared" si="70"/>
        <v>0.11409379999999998</v>
      </c>
      <c r="AB136" s="97">
        <f t="shared" si="70"/>
        <v>0.11409379999999998</v>
      </c>
      <c r="AC136" s="97">
        <f t="shared" si="70"/>
        <v>0.11409379999999998</v>
      </c>
      <c r="AD136" s="97">
        <f t="shared" si="70"/>
        <v>0.11409379999999998</v>
      </c>
      <c r="AE136" s="97">
        <f t="shared" si="70"/>
        <v>0.11409379999999998</v>
      </c>
      <c r="AF136" s="97">
        <f t="shared" si="70"/>
        <v>0.11409379999999998</v>
      </c>
      <c r="AG136" s="97">
        <f t="shared" si="70"/>
        <v>0.11409379999999998</v>
      </c>
      <c r="AH136" s="97">
        <f t="shared" si="70"/>
        <v>0.11409379999999998</v>
      </c>
      <c r="AI136" s="97">
        <f t="shared" si="70"/>
        <v>0.11409379999999998</v>
      </c>
      <c r="AJ136" s="97">
        <f t="shared" si="70"/>
        <v>0.11409379999999998</v>
      </c>
      <c r="AK136" s="97">
        <f t="shared" si="70"/>
        <v>0.11409379999999998</v>
      </c>
      <c r="AQ136" s="103">
        <f t="shared" si="66"/>
        <v>2.8523450000000001</v>
      </c>
    </row>
    <row r="137" spans="2:44">
      <c r="C137" t="s">
        <v>169</v>
      </c>
      <c r="N137" s="97">
        <f t="shared" ref="N137:AL137" si="71">($L$31+$L$32)*$F$124*$F$126</f>
        <v>0.11409379999999998</v>
      </c>
      <c r="O137" s="97">
        <f t="shared" si="71"/>
        <v>0.11409379999999998</v>
      </c>
      <c r="P137" s="97">
        <f t="shared" si="71"/>
        <v>0.11409379999999998</v>
      </c>
      <c r="Q137" s="97">
        <f t="shared" si="71"/>
        <v>0.11409379999999998</v>
      </c>
      <c r="R137" s="97">
        <f t="shared" si="71"/>
        <v>0.11409379999999998</v>
      </c>
      <c r="S137" s="97">
        <f t="shared" si="71"/>
        <v>0.11409379999999998</v>
      </c>
      <c r="T137" s="97">
        <f t="shared" si="71"/>
        <v>0.11409379999999998</v>
      </c>
      <c r="U137" s="97">
        <f t="shared" si="71"/>
        <v>0.11409379999999998</v>
      </c>
      <c r="V137" s="97">
        <f t="shared" si="71"/>
        <v>0.11409379999999998</v>
      </c>
      <c r="W137" s="97">
        <f t="shared" si="71"/>
        <v>0.11409379999999998</v>
      </c>
      <c r="X137" s="97">
        <f t="shared" si="71"/>
        <v>0.11409379999999998</v>
      </c>
      <c r="Y137" s="97">
        <f t="shared" si="71"/>
        <v>0.11409379999999998</v>
      </c>
      <c r="Z137" s="97">
        <f t="shared" si="71"/>
        <v>0.11409379999999998</v>
      </c>
      <c r="AA137" s="97">
        <f t="shared" si="71"/>
        <v>0.11409379999999998</v>
      </c>
      <c r="AB137" s="97">
        <f t="shared" si="71"/>
        <v>0.11409379999999998</v>
      </c>
      <c r="AC137" s="97">
        <f t="shared" si="71"/>
        <v>0.11409379999999998</v>
      </c>
      <c r="AD137" s="97">
        <f t="shared" si="71"/>
        <v>0.11409379999999998</v>
      </c>
      <c r="AE137" s="97">
        <f t="shared" si="71"/>
        <v>0.11409379999999998</v>
      </c>
      <c r="AF137" s="97">
        <f t="shared" si="71"/>
        <v>0.11409379999999998</v>
      </c>
      <c r="AG137" s="97">
        <f t="shared" si="71"/>
        <v>0.11409379999999998</v>
      </c>
      <c r="AH137" s="97">
        <f t="shared" si="71"/>
        <v>0.11409379999999998</v>
      </c>
      <c r="AI137" s="97">
        <f t="shared" si="71"/>
        <v>0.11409379999999998</v>
      </c>
      <c r="AJ137" s="97">
        <f t="shared" si="71"/>
        <v>0.11409379999999998</v>
      </c>
      <c r="AK137" s="97">
        <f t="shared" si="71"/>
        <v>0.11409379999999998</v>
      </c>
      <c r="AL137" s="97">
        <f t="shared" si="71"/>
        <v>0.11409379999999998</v>
      </c>
      <c r="AQ137" s="103">
        <f t="shared" si="66"/>
        <v>2.8523450000000001</v>
      </c>
    </row>
    <row r="138" spans="2:44">
      <c r="C138" t="s">
        <v>168</v>
      </c>
      <c r="O138" s="97">
        <f t="shared" ref="O138:AM138" si="72">($M$31+$M$32)*$F$124*$F$126</f>
        <v>0.11409379999999998</v>
      </c>
      <c r="P138" s="97">
        <f t="shared" si="72"/>
        <v>0.11409379999999998</v>
      </c>
      <c r="Q138" s="97">
        <f t="shared" si="72"/>
        <v>0.11409379999999998</v>
      </c>
      <c r="R138" s="97">
        <f t="shared" si="72"/>
        <v>0.11409379999999998</v>
      </c>
      <c r="S138" s="97">
        <f t="shared" si="72"/>
        <v>0.11409379999999998</v>
      </c>
      <c r="T138" s="97">
        <f t="shared" si="72"/>
        <v>0.11409379999999998</v>
      </c>
      <c r="U138" s="97">
        <f t="shared" si="72"/>
        <v>0.11409379999999998</v>
      </c>
      <c r="V138" s="97">
        <f t="shared" si="72"/>
        <v>0.11409379999999998</v>
      </c>
      <c r="W138" s="97">
        <f t="shared" si="72"/>
        <v>0.11409379999999998</v>
      </c>
      <c r="X138" s="97">
        <f t="shared" si="72"/>
        <v>0.11409379999999998</v>
      </c>
      <c r="Y138" s="97">
        <f t="shared" si="72"/>
        <v>0.11409379999999998</v>
      </c>
      <c r="Z138" s="97">
        <f t="shared" si="72"/>
        <v>0.11409379999999998</v>
      </c>
      <c r="AA138" s="97">
        <f t="shared" si="72"/>
        <v>0.11409379999999998</v>
      </c>
      <c r="AB138" s="97">
        <f t="shared" si="72"/>
        <v>0.11409379999999998</v>
      </c>
      <c r="AC138" s="97">
        <f t="shared" si="72"/>
        <v>0.11409379999999998</v>
      </c>
      <c r="AD138" s="97">
        <f t="shared" si="72"/>
        <v>0.11409379999999998</v>
      </c>
      <c r="AE138" s="97">
        <f t="shared" si="72"/>
        <v>0.11409379999999998</v>
      </c>
      <c r="AF138" s="97">
        <f t="shared" si="72"/>
        <v>0.11409379999999998</v>
      </c>
      <c r="AG138" s="97">
        <f t="shared" si="72"/>
        <v>0.11409379999999998</v>
      </c>
      <c r="AH138" s="97">
        <f t="shared" si="72"/>
        <v>0.11409379999999998</v>
      </c>
      <c r="AI138" s="97">
        <f t="shared" si="72"/>
        <v>0.11409379999999998</v>
      </c>
      <c r="AJ138" s="97">
        <f t="shared" si="72"/>
        <v>0.11409379999999998</v>
      </c>
      <c r="AK138" s="97">
        <f t="shared" si="72"/>
        <v>0.11409379999999998</v>
      </c>
      <c r="AL138" s="97">
        <f t="shared" si="72"/>
        <v>0.11409379999999998</v>
      </c>
      <c r="AM138" s="97">
        <f t="shared" si="72"/>
        <v>0.11409379999999998</v>
      </c>
      <c r="AQ138" s="103">
        <f t="shared" si="66"/>
        <v>2.8523450000000001</v>
      </c>
    </row>
    <row r="139" spans="2:44">
      <c r="C139" t="s">
        <v>167</v>
      </c>
      <c r="P139" s="97">
        <f t="shared" ref="P139:AN139" si="73">($N$31+$N$32)*$F$124*$F$126</f>
        <v>0.11409379999999998</v>
      </c>
      <c r="Q139" s="97">
        <f t="shared" si="73"/>
        <v>0.11409379999999998</v>
      </c>
      <c r="R139" s="97">
        <f t="shared" si="73"/>
        <v>0.11409379999999998</v>
      </c>
      <c r="S139" s="97">
        <f t="shared" si="73"/>
        <v>0.11409379999999998</v>
      </c>
      <c r="T139" s="97">
        <f t="shared" si="73"/>
        <v>0.11409379999999998</v>
      </c>
      <c r="U139" s="97">
        <f t="shared" si="73"/>
        <v>0.11409379999999998</v>
      </c>
      <c r="V139" s="97">
        <f t="shared" si="73"/>
        <v>0.11409379999999998</v>
      </c>
      <c r="W139" s="97">
        <f t="shared" si="73"/>
        <v>0.11409379999999998</v>
      </c>
      <c r="X139" s="97">
        <f t="shared" si="73"/>
        <v>0.11409379999999998</v>
      </c>
      <c r="Y139" s="97">
        <f t="shared" si="73"/>
        <v>0.11409379999999998</v>
      </c>
      <c r="Z139" s="97">
        <f t="shared" si="73"/>
        <v>0.11409379999999998</v>
      </c>
      <c r="AA139" s="97">
        <f t="shared" si="73"/>
        <v>0.11409379999999998</v>
      </c>
      <c r="AB139" s="97">
        <f t="shared" si="73"/>
        <v>0.11409379999999998</v>
      </c>
      <c r="AC139" s="97">
        <f t="shared" si="73"/>
        <v>0.11409379999999998</v>
      </c>
      <c r="AD139" s="97">
        <f t="shared" si="73"/>
        <v>0.11409379999999998</v>
      </c>
      <c r="AE139" s="97">
        <f t="shared" si="73"/>
        <v>0.11409379999999998</v>
      </c>
      <c r="AF139" s="97">
        <f t="shared" si="73"/>
        <v>0.11409379999999998</v>
      </c>
      <c r="AG139" s="97">
        <f t="shared" si="73"/>
        <v>0.11409379999999998</v>
      </c>
      <c r="AH139" s="97">
        <f t="shared" si="73"/>
        <v>0.11409379999999998</v>
      </c>
      <c r="AI139" s="97">
        <f t="shared" si="73"/>
        <v>0.11409379999999998</v>
      </c>
      <c r="AJ139" s="97">
        <f t="shared" si="73"/>
        <v>0.11409379999999998</v>
      </c>
      <c r="AK139" s="97">
        <f t="shared" si="73"/>
        <v>0.11409379999999998</v>
      </c>
      <c r="AL139" s="97">
        <f t="shared" si="73"/>
        <v>0.11409379999999998</v>
      </c>
      <c r="AM139" s="97">
        <f t="shared" si="73"/>
        <v>0.11409379999999998</v>
      </c>
      <c r="AN139" s="97">
        <f t="shared" si="73"/>
        <v>0.11409379999999998</v>
      </c>
      <c r="AQ139" s="103">
        <f t="shared" si="66"/>
        <v>2.8523450000000001</v>
      </c>
    </row>
    <row r="140" spans="2:44">
      <c r="C140" t="s">
        <v>166</v>
      </c>
      <c r="Q140" s="97">
        <f t="shared" ref="Q140:AO140" si="74">($O$31+$O$32)*$F$124*$F$126</f>
        <v>0.11409379999999998</v>
      </c>
      <c r="R140" s="97">
        <f t="shared" si="74"/>
        <v>0.11409379999999998</v>
      </c>
      <c r="S140" s="97">
        <f t="shared" si="74"/>
        <v>0.11409379999999998</v>
      </c>
      <c r="T140" s="97">
        <f t="shared" si="74"/>
        <v>0.11409379999999998</v>
      </c>
      <c r="U140" s="97">
        <f t="shared" si="74"/>
        <v>0.11409379999999998</v>
      </c>
      <c r="V140" s="97">
        <f t="shared" si="74"/>
        <v>0.11409379999999998</v>
      </c>
      <c r="W140" s="97">
        <f t="shared" si="74"/>
        <v>0.11409379999999998</v>
      </c>
      <c r="X140" s="97">
        <f t="shared" si="74"/>
        <v>0.11409379999999998</v>
      </c>
      <c r="Y140" s="97">
        <f t="shared" si="74"/>
        <v>0.11409379999999998</v>
      </c>
      <c r="Z140" s="97">
        <f t="shared" si="74"/>
        <v>0.11409379999999998</v>
      </c>
      <c r="AA140" s="97">
        <f t="shared" si="74"/>
        <v>0.11409379999999998</v>
      </c>
      <c r="AB140" s="97">
        <f t="shared" si="74"/>
        <v>0.11409379999999998</v>
      </c>
      <c r="AC140" s="97">
        <f t="shared" si="74"/>
        <v>0.11409379999999998</v>
      </c>
      <c r="AD140" s="97">
        <f t="shared" si="74"/>
        <v>0.11409379999999998</v>
      </c>
      <c r="AE140" s="97">
        <f t="shared" si="74"/>
        <v>0.11409379999999998</v>
      </c>
      <c r="AF140" s="97">
        <f t="shared" si="74"/>
        <v>0.11409379999999998</v>
      </c>
      <c r="AG140" s="97">
        <f t="shared" si="74"/>
        <v>0.11409379999999998</v>
      </c>
      <c r="AH140" s="97">
        <f t="shared" si="74"/>
        <v>0.11409379999999998</v>
      </c>
      <c r="AI140" s="97">
        <f t="shared" si="74"/>
        <v>0.11409379999999998</v>
      </c>
      <c r="AJ140" s="97">
        <f t="shared" si="74"/>
        <v>0.11409379999999998</v>
      </c>
      <c r="AK140" s="97">
        <f t="shared" si="74"/>
        <v>0.11409379999999998</v>
      </c>
      <c r="AL140" s="97">
        <f t="shared" si="74"/>
        <v>0.11409379999999998</v>
      </c>
      <c r="AM140" s="97">
        <f t="shared" si="74"/>
        <v>0.11409379999999998</v>
      </c>
      <c r="AN140" s="97">
        <f t="shared" si="74"/>
        <v>0.11409379999999998</v>
      </c>
      <c r="AO140" s="97">
        <f t="shared" si="74"/>
        <v>0.11409379999999998</v>
      </c>
      <c r="AP140" s="97"/>
      <c r="AQ140" s="103">
        <f t="shared" si="66"/>
        <v>2.8523450000000001</v>
      </c>
    </row>
    <row r="141" spans="2:44">
      <c r="C141" t="s">
        <v>196</v>
      </c>
      <c r="Q141" s="97"/>
      <c r="R141" s="97">
        <f t="shared" ref="R141:AP141" si="75">($P$31+$P$32)*$F$124*$F$126</f>
        <v>0</v>
      </c>
      <c r="S141" s="97">
        <f t="shared" si="75"/>
        <v>0</v>
      </c>
      <c r="T141" s="97">
        <f t="shared" si="75"/>
        <v>0</v>
      </c>
      <c r="U141" s="97">
        <f t="shared" si="75"/>
        <v>0</v>
      </c>
      <c r="V141" s="97">
        <f t="shared" si="75"/>
        <v>0</v>
      </c>
      <c r="W141" s="97">
        <f t="shared" si="75"/>
        <v>0</v>
      </c>
      <c r="X141" s="97">
        <f t="shared" si="75"/>
        <v>0</v>
      </c>
      <c r="Y141" s="97">
        <f t="shared" si="75"/>
        <v>0</v>
      </c>
      <c r="Z141" s="97">
        <f t="shared" si="75"/>
        <v>0</v>
      </c>
      <c r="AA141" s="97">
        <f t="shared" si="75"/>
        <v>0</v>
      </c>
      <c r="AB141" s="97">
        <f t="shared" si="75"/>
        <v>0</v>
      </c>
      <c r="AC141" s="97">
        <f t="shared" si="75"/>
        <v>0</v>
      </c>
      <c r="AD141" s="97">
        <f t="shared" si="75"/>
        <v>0</v>
      </c>
      <c r="AE141" s="97">
        <f t="shared" si="75"/>
        <v>0</v>
      </c>
      <c r="AF141" s="97">
        <f t="shared" si="75"/>
        <v>0</v>
      </c>
      <c r="AG141" s="97">
        <f t="shared" si="75"/>
        <v>0</v>
      </c>
      <c r="AH141" s="97">
        <f t="shared" si="75"/>
        <v>0</v>
      </c>
      <c r="AI141" s="97">
        <f t="shared" si="75"/>
        <v>0</v>
      </c>
      <c r="AJ141" s="97">
        <f t="shared" si="75"/>
        <v>0</v>
      </c>
      <c r="AK141" s="97">
        <f t="shared" si="75"/>
        <v>0</v>
      </c>
      <c r="AL141" s="97">
        <f t="shared" si="75"/>
        <v>0</v>
      </c>
      <c r="AM141" s="97">
        <f t="shared" si="75"/>
        <v>0</v>
      </c>
      <c r="AN141" s="97">
        <f t="shared" si="75"/>
        <v>0</v>
      </c>
      <c r="AO141" s="97">
        <f t="shared" si="75"/>
        <v>0</v>
      </c>
      <c r="AP141" s="97">
        <f t="shared" si="75"/>
        <v>0</v>
      </c>
      <c r="AQ141" s="103">
        <f t="shared" si="66"/>
        <v>0</v>
      </c>
    </row>
    <row r="142" spans="2:44">
      <c r="Q142" s="97"/>
      <c r="AQ142" s="527">
        <f>SUM(AQ131:AQ141)</f>
        <v>32.734519999999996</v>
      </c>
    </row>
    <row r="143" spans="2:44">
      <c r="C143" t="s">
        <v>197</v>
      </c>
      <c r="F143" s="104">
        <f>SUM(F131:F141)</f>
        <v>0</v>
      </c>
      <c r="G143" s="104">
        <f t="shared" ref="G143:AP143" si="76">SUM(G131:G141)</f>
        <v>0</v>
      </c>
      <c r="H143" s="104">
        <f t="shared" si="76"/>
        <v>0.13059399999999999</v>
      </c>
      <c r="I143" s="104">
        <f t="shared" si="76"/>
        <v>0.39663039999999999</v>
      </c>
      <c r="J143" s="104">
        <f t="shared" si="76"/>
        <v>0.51072419999999996</v>
      </c>
      <c r="K143" s="104">
        <f t="shared" si="76"/>
        <v>0.62481799999999998</v>
      </c>
      <c r="L143" s="104">
        <f t="shared" si="76"/>
        <v>0.73891180000000001</v>
      </c>
      <c r="M143" s="104">
        <f t="shared" si="76"/>
        <v>0.85300560000000003</v>
      </c>
      <c r="N143" s="104">
        <f t="shared" si="76"/>
        <v>0.96709940000000005</v>
      </c>
      <c r="O143" s="104">
        <f t="shared" si="76"/>
        <v>1.0811932</v>
      </c>
      <c r="P143" s="104">
        <f t="shared" si="76"/>
        <v>1.195287</v>
      </c>
      <c r="Q143" s="104">
        <f t="shared" si="76"/>
        <v>1.3093808</v>
      </c>
      <c r="R143" s="104">
        <f t="shared" si="76"/>
        <v>1.3093808</v>
      </c>
      <c r="S143" s="104">
        <f t="shared" si="76"/>
        <v>1.3093808</v>
      </c>
      <c r="T143" s="104">
        <f t="shared" si="76"/>
        <v>1.3093808</v>
      </c>
      <c r="U143" s="104">
        <f t="shared" si="76"/>
        <v>1.3093808</v>
      </c>
      <c r="V143" s="104">
        <f t="shared" si="76"/>
        <v>1.3093808</v>
      </c>
      <c r="W143" s="104">
        <f t="shared" si="76"/>
        <v>1.3093808</v>
      </c>
      <c r="X143" s="104">
        <f t="shared" si="76"/>
        <v>1.3093808</v>
      </c>
      <c r="Y143" s="104">
        <f t="shared" si="76"/>
        <v>1.3093808</v>
      </c>
      <c r="Z143" s="104">
        <f t="shared" si="76"/>
        <v>1.3093808</v>
      </c>
      <c r="AA143" s="104">
        <f t="shared" si="76"/>
        <v>1.3093808</v>
      </c>
      <c r="AB143" s="104">
        <f t="shared" si="76"/>
        <v>1.3093808</v>
      </c>
      <c r="AC143" s="104">
        <f t="shared" si="76"/>
        <v>1.3093808</v>
      </c>
      <c r="AD143" s="104">
        <f t="shared" si="76"/>
        <v>1.3093808</v>
      </c>
      <c r="AE143" s="104">
        <f t="shared" si="76"/>
        <v>1.3093808</v>
      </c>
      <c r="AF143" s="104">
        <f t="shared" si="76"/>
        <v>1.3093808</v>
      </c>
      <c r="AG143" s="104">
        <f t="shared" si="76"/>
        <v>1.1787867999999999</v>
      </c>
      <c r="AH143" s="104">
        <f t="shared" si="76"/>
        <v>0.91275039999999996</v>
      </c>
      <c r="AI143" s="104">
        <f t="shared" si="76"/>
        <v>0.79865659999999994</v>
      </c>
      <c r="AJ143" s="104">
        <f t="shared" si="76"/>
        <v>0.68456279999999992</v>
      </c>
      <c r="AK143" s="104">
        <f t="shared" si="76"/>
        <v>0.57046899999999989</v>
      </c>
      <c r="AL143" s="104">
        <f t="shared" si="76"/>
        <v>0.45637519999999993</v>
      </c>
      <c r="AM143" s="104">
        <f t="shared" si="76"/>
        <v>0.34228139999999996</v>
      </c>
      <c r="AN143" s="104">
        <f t="shared" si="76"/>
        <v>0.22818759999999996</v>
      </c>
      <c r="AO143" s="104">
        <f t="shared" si="76"/>
        <v>0.11409379999999998</v>
      </c>
      <c r="AP143" s="104">
        <f t="shared" si="76"/>
        <v>0</v>
      </c>
      <c r="AQ143" s="528">
        <f>SUM(F143:AP143)</f>
        <v>32.734519999999989</v>
      </c>
    </row>
    <row r="144" spans="2:44">
      <c r="C144" t="s">
        <v>198</v>
      </c>
      <c r="F144" s="116">
        <v>0.5</v>
      </c>
      <c r="Q144" s="97"/>
      <c r="AQ144" s="529"/>
    </row>
    <row r="145" spans="1:43">
      <c r="C145" t="s">
        <v>130</v>
      </c>
      <c r="F145" s="104">
        <f>F143*$F$86</f>
        <v>0</v>
      </c>
      <c r="G145" s="104">
        <f t="shared" ref="G145:AP145" si="77">G143*$F$86</f>
        <v>0</v>
      </c>
      <c r="H145" s="104">
        <f t="shared" si="77"/>
        <v>6.5296999999999994E-2</v>
      </c>
      <c r="I145" s="104">
        <f t="shared" si="77"/>
        <v>0.1983152</v>
      </c>
      <c r="J145" s="104">
        <f t="shared" si="77"/>
        <v>0.25536209999999998</v>
      </c>
      <c r="K145" s="104">
        <f t="shared" si="77"/>
        <v>0.31240899999999999</v>
      </c>
      <c r="L145" s="104">
        <f t="shared" si="77"/>
        <v>0.3694559</v>
      </c>
      <c r="M145" s="104">
        <f t="shared" si="77"/>
        <v>0.42650280000000002</v>
      </c>
      <c r="N145" s="104">
        <f t="shared" si="77"/>
        <v>0.48354970000000003</v>
      </c>
      <c r="O145" s="104">
        <f t="shared" si="77"/>
        <v>0.54059659999999998</v>
      </c>
      <c r="P145" s="104">
        <f t="shared" si="77"/>
        <v>0.59764349999999999</v>
      </c>
      <c r="Q145" s="104">
        <f t="shared" si="77"/>
        <v>0.65469040000000001</v>
      </c>
      <c r="R145" s="104">
        <f t="shared" si="77"/>
        <v>0.65469040000000001</v>
      </c>
      <c r="S145" s="104">
        <f t="shared" si="77"/>
        <v>0.65469040000000001</v>
      </c>
      <c r="T145" s="104">
        <f t="shared" si="77"/>
        <v>0.65469040000000001</v>
      </c>
      <c r="U145" s="104">
        <f t="shared" si="77"/>
        <v>0.65469040000000001</v>
      </c>
      <c r="V145" s="104">
        <f t="shared" si="77"/>
        <v>0.65469040000000001</v>
      </c>
      <c r="W145" s="104">
        <f t="shared" si="77"/>
        <v>0.65469040000000001</v>
      </c>
      <c r="X145" s="104">
        <f t="shared" si="77"/>
        <v>0.65469040000000001</v>
      </c>
      <c r="Y145" s="104">
        <f t="shared" si="77"/>
        <v>0.65469040000000001</v>
      </c>
      <c r="Z145" s="104">
        <f t="shared" si="77"/>
        <v>0.65469040000000001</v>
      </c>
      <c r="AA145" s="104">
        <f t="shared" si="77"/>
        <v>0.65469040000000001</v>
      </c>
      <c r="AB145" s="104">
        <f t="shared" si="77"/>
        <v>0.65469040000000001</v>
      </c>
      <c r="AC145" s="104">
        <f t="shared" si="77"/>
        <v>0.65469040000000001</v>
      </c>
      <c r="AD145" s="104">
        <f t="shared" si="77"/>
        <v>0.65469040000000001</v>
      </c>
      <c r="AE145" s="104">
        <f t="shared" si="77"/>
        <v>0.65469040000000001</v>
      </c>
      <c r="AF145" s="104">
        <f t="shared" si="77"/>
        <v>0.65469040000000001</v>
      </c>
      <c r="AG145" s="104">
        <f t="shared" si="77"/>
        <v>0.58939339999999996</v>
      </c>
      <c r="AH145" s="104">
        <f t="shared" si="77"/>
        <v>0.45637519999999998</v>
      </c>
      <c r="AI145" s="104">
        <f t="shared" si="77"/>
        <v>0.39932829999999997</v>
      </c>
      <c r="AJ145" s="104">
        <f t="shared" si="77"/>
        <v>0.34228139999999996</v>
      </c>
      <c r="AK145" s="104">
        <f t="shared" si="77"/>
        <v>0.28523449999999995</v>
      </c>
      <c r="AL145" s="104">
        <f t="shared" si="77"/>
        <v>0.22818759999999996</v>
      </c>
      <c r="AM145" s="104">
        <f t="shared" si="77"/>
        <v>0.17114069999999998</v>
      </c>
      <c r="AN145" s="104">
        <f t="shared" si="77"/>
        <v>0.11409379999999998</v>
      </c>
      <c r="AO145" s="104">
        <f t="shared" si="77"/>
        <v>5.7046899999999991E-2</v>
      </c>
      <c r="AP145" s="104">
        <f t="shared" si="77"/>
        <v>0</v>
      </c>
      <c r="AQ145" s="118">
        <f>SUM(F145:AP145)</f>
        <v>16.367259999999995</v>
      </c>
    </row>
    <row r="147" spans="1:43">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row>
    <row r="148" spans="1:43">
      <c r="B148" s="521" t="str">
        <f>'[2]D1-D5 hub Benefit Summary'!B16</f>
        <v>D5</v>
      </c>
      <c r="C148" s="458" t="s">
        <v>243</v>
      </c>
    </row>
    <row r="150" spans="1:43">
      <c r="B150" t="s">
        <v>245</v>
      </c>
      <c r="F150" s="162">
        <v>0.13</v>
      </c>
    </row>
    <row r="151" spans="1:43">
      <c r="B151" t="s">
        <v>246</v>
      </c>
      <c r="F151" s="162">
        <v>0.1</v>
      </c>
    </row>
    <row r="152" spans="1:43">
      <c r="B152" t="s">
        <v>247</v>
      </c>
      <c r="F152" s="163">
        <f>F150-F151</f>
        <v>0.03</v>
      </c>
    </row>
    <row r="153" spans="1:43">
      <c r="B153" t="s">
        <v>244</v>
      </c>
      <c r="E153" s="161"/>
      <c r="F153" s="163">
        <v>0.1</v>
      </c>
    </row>
    <row r="155" spans="1:43" s="39" customFormat="1">
      <c r="F155" s="522" t="s">
        <v>6</v>
      </c>
      <c r="G155" s="522" t="s">
        <v>7</v>
      </c>
      <c r="H155" s="522" t="s">
        <v>8</v>
      </c>
      <c r="I155" s="522" t="s">
        <v>9</v>
      </c>
      <c r="J155" s="522" t="s">
        <v>10</v>
      </c>
      <c r="K155" s="522" t="s">
        <v>11</v>
      </c>
      <c r="L155" s="522" t="s">
        <v>13</v>
      </c>
      <c r="M155" s="522" t="s">
        <v>14</v>
      </c>
      <c r="N155" s="522" t="s">
        <v>15</v>
      </c>
      <c r="O155" s="522" t="s">
        <v>16</v>
      </c>
      <c r="P155" s="522" t="s">
        <v>17</v>
      </c>
      <c r="Q155" s="522" t="s">
        <v>18</v>
      </c>
      <c r="R155" s="522" t="s">
        <v>19</v>
      </c>
      <c r="S155" s="522" t="s">
        <v>20</v>
      </c>
      <c r="T155" s="522" t="s">
        <v>21</v>
      </c>
      <c r="U155" s="522" t="s">
        <v>22</v>
      </c>
      <c r="V155" s="522" t="s">
        <v>23</v>
      </c>
      <c r="W155" s="522" t="s">
        <v>24</v>
      </c>
      <c r="X155" s="522" t="s">
        <v>25</v>
      </c>
      <c r="Y155" s="522" t="s">
        <v>26</v>
      </c>
      <c r="Z155" s="522" t="s">
        <v>27</v>
      </c>
      <c r="AA155" s="522" t="s">
        <v>28</v>
      </c>
      <c r="AB155" s="522" t="s">
        <v>29</v>
      </c>
      <c r="AC155" s="522" t="s">
        <v>46</v>
      </c>
      <c r="AD155" s="522" t="s">
        <v>47</v>
      </c>
      <c r="AE155" s="522" t="s">
        <v>48</v>
      </c>
      <c r="AF155" s="522" t="s">
        <v>49</v>
      </c>
      <c r="AG155" s="522" t="s">
        <v>50</v>
      </c>
      <c r="AH155" s="522" t="s">
        <v>51</v>
      </c>
      <c r="AI155" s="522" t="s">
        <v>52</v>
      </c>
      <c r="AJ155" s="522" t="s">
        <v>53</v>
      </c>
      <c r="AK155" s="522" t="s">
        <v>54</v>
      </c>
      <c r="AL155" s="522" t="s">
        <v>55</v>
      </c>
      <c r="AM155" s="522" t="s">
        <v>56</v>
      </c>
      <c r="AN155" s="522" t="s">
        <v>57</v>
      </c>
      <c r="AO155" s="522" t="s">
        <v>279</v>
      </c>
      <c r="AP155" s="522" t="s">
        <v>280</v>
      </c>
    </row>
    <row r="156" spans="1:43">
      <c r="B156" t="s">
        <v>128</v>
      </c>
      <c r="E156" s="523" t="s">
        <v>153</v>
      </c>
      <c r="F156" s="458">
        <f t="shared" ref="F156:AP156" si="78">F$37</f>
        <v>1</v>
      </c>
      <c r="G156" s="458">
        <f t="shared" si="78"/>
        <v>2</v>
      </c>
      <c r="H156" s="458">
        <f t="shared" si="78"/>
        <v>3</v>
      </c>
      <c r="I156" s="458">
        <f t="shared" si="78"/>
        <v>4</v>
      </c>
      <c r="J156" s="458">
        <f t="shared" si="78"/>
        <v>5</v>
      </c>
      <c r="K156" s="458">
        <f t="shared" si="78"/>
        <v>6</v>
      </c>
      <c r="L156" s="458">
        <f t="shared" si="78"/>
        <v>7</v>
      </c>
      <c r="M156" s="458">
        <f t="shared" si="78"/>
        <v>8</v>
      </c>
      <c r="N156" s="458">
        <f t="shared" si="78"/>
        <v>9</v>
      </c>
      <c r="O156" s="458">
        <f t="shared" si="78"/>
        <v>10</v>
      </c>
      <c r="P156" s="458">
        <f t="shared" si="78"/>
        <v>11</v>
      </c>
      <c r="Q156" s="458">
        <f t="shared" si="78"/>
        <v>12</v>
      </c>
      <c r="R156" s="458">
        <f t="shared" si="78"/>
        <v>13</v>
      </c>
      <c r="S156" s="458">
        <f t="shared" si="78"/>
        <v>14</v>
      </c>
      <c r="T156" s="458">
        <f t="shared" si="78"/>
        <v>15</v>
      </c>
      <c r="U156" s="458">
        <f t="shared" si="78"/>
        <v>16</v>
      </c>
      <c r="V156" s="458">
        <f t="shared" si="78"/>
        <v>17</v>
      </c>
      <c r="W156" s="458">
        <f t="shared" si="78"/>
        <v>18</v>
      </c>
      <c r="X156" s="458">
        <f t="shared" si="78"/>
        <v>19</v>
      </c>
      <c r="Y156" s="458">
        <f t="shared" si="78"/>
        <v>20</v>
      </c>
      <c r="Z156" s="458">
        <f t="shared" si="78"/>
        <v>21</v>
      </c>
      <c r="AA156" s="458">
        <f t="shared" si="78"/>
        <v>22</v>
      </c>
      <c r="AB156" s="458">
        <f t="shared" si="78"/>
        <v>23</v>
      </c>
      <c r="AC156" s="458">
        <f t="shared" si="78"/>
        <v>24</v>
      </c>
      <c r="AD156" s="458">
        <f t="shared" si="78"/>
        <v>25</v>
      </c>
      <c r="AE156" s="458">
        <f t="shared" si="78"/>
        <v>26</v>
      </c>
      <c r="AF156" s="458">
        <f t="shared" si="78"/>
        <v>27</v>
      </c>
      <c r="AG156" s="458">
        <f t="shared" si="78"/>
        <v>28</v>
      </c>
      <c r="AH156" s="458">
        <f t="shared" si="78"/>
        <v>29</v>
      </c>
      <c r="AI156" s="458">
        <f t="shared" si="78"/>
        <v>30</v>
      </c>
      <c r="AJ156" s="458">
        <f t="shared" si="78"/>
        <v>31</v>
      </c>
      <c r="AK156" s="458">
        <f t="shared" si="78"/>
        <v>32</v>
      </c>
      <c r="AL156" s="458">
        <f t="shared" si="78"/>
        <v>33</v>
      </c>
      <c r="AM156" s="458">
        <f t="shared" si="78"/>
        <v>34</v>
      </c>
      <c r="AN156" s="458">
        <f t="shared" si="78"/>
        <v>35</v>
      </c>
      <c r="AO156" s="458">
        <f t="shared" si="78"/>
        <v>36</v>
      </c>
      <c r="AP156" s="458">
        <f t="shared" si="78"/>
        <v>37</v>
      </c>
      <c r="AQ156" s="526"/>
    </row>
    <row r="158" spans="1:43">
      <c r="B158" t="s">
        <v>135</v>
      </c>
      <c r="C158" t="s">
        <v>175</v>
      </c>
      <c r="H158" s="97">
        <f t="shared" ref="H158:AF158" si="79">($F$31+$F$32)*$F$152*$F$153</f>
        <v>0.2505</v>
      </c>
      <c r="I158" s="97">
        <f t="shared" si="79"/>
        <v>0.2505</v>
      </c>
      <c r="J158" s="97">
        <f t="shared" si="79"/>
        <v>0.2505</v>
      </c>
      <c r="K158" s="97">
        <f t="shared" si="79"/>
        <v>0.2505</v>
      </c>
      <c r="L158" s="97">
        <f t="shared" si="79"/>
        <v>0.2505</v>
      </c>
      <c r="M158" s="97">
        <f t="shared" si="79"/>
        <v>0.2505</v>
      </c>
      <c r="N158" s="97">
        <f t="shared" si="79"/>
        <v>0.2505</v>
      </c>
      <c r="O158" s="97">
        <f t="shared" si="79"/>
        <v>0.2505</v>
      </c>
      <c r="P158" s="97">
        <f t="shared" si="79"/>
        <v>0.2505</v>
      </c>
      <c r="Q158" s="97">
        <f t="shared" si="79"/>
        <v>0.2505</v>
      </c>
      <c r="R158" s="97">
        <f t="shared" si="79"/>
        <v>0.2505</v>
      </c>
      <c r="S158" s="97">
        <f t="shared" si="79"/>
        <v>0.2505</v>
      </c>
      <c r="T158" s="97">
        <f t="shared" si="79"/>
        <v>0.2505</v>
      </c>
      <c r="U158" s="97">
        <f t="shared" si="79"/>
        <v>0.2505</v>
      </c>
      <c r="V158" s="97">
        <f t="shared" si="79"/>
        <v>0.2505</v>
      </c>
      <c r="W158" s="97">
        <f t="shared" si="79"/>
        <v>0.2505</v>
      </c>
      <c r="X158" s="97">
        <f t="shared" si="79"/>
        <v>0.2505</v>
      </c>
      <c r="Y158" s="97">
        <f t="shared" si="79"/>
        <v>0.2505</v>
      </c>
      <c r="Z158" s="97">
        <f t="shared" si="79"/>
        <v>0.2505</v>
      </c>
      <c r="AA158" s="97">
        <f t="shared" si="79"/>
        <v>0.2505</v>
      </c>
      <c r="AB158" s="97">
        <f t="shared" si="79"/>
        <v>0.2505</v>
      </c>
      <c r="AC158" s="97">
        <f t="shared" si="79"/>
        <v>0.2505</v>
      </c>
      <c r="AD158" s="97">
        <f t="shared" si="79"/>
        <v>0.2505</v>
      </c>
      <c r="AE158" s="97">
        <f t="shared" si="79"/>
        <v>0.2505</v>
      </c>
      <c r="AF158" s="97">
        <f t="shared" si="79"/>
        <v>0.2505</v>
      </c>
      <c r="AQ158" s="103">
        <f>SUM(F158:AP158)</f>
        <v>6.2624999999999984</v>
      </c>
    </row>
    <row r="159" spans="1:43">
      <c r="C159" t="s">
        <v>174</v>
      </c>
      <c r="I159" s="97">
        <f t="shared" ref="I159:AG159" si="80">($G$31+$G$32)*$F$152*$F$153</f>
        <v>0.51030000000000009</v>
      </c>
      <c r="J159" s="97">
        <f t="shared" si="80"/>
        <v>0.51030000000000009</v>
      </c>
      <c r="K159" s="97">
        <f t="shared" si="80"/>
        <v>0.51030000000000009</v>
      </c>
      <c r="L159" s="97">
        <f t="shared" si="80"/>
        <v>0.51030000000000009</v>
      </c>
      <c r="M159" s="97">
        <f t="shared" si="80"/>
        <v>0.51030000000000009</v>
      </c>
      <c r="N159" s="97">
        <f t="shared" si="80"/>
        <v>0.51030000000000009</v>
      </c>
      <c r="O159" s="97">
        <f t="shared" si="80"/>
        <v>0.51030000000000009</v>
      </c>
      <c r="P159" s="97">
        <f t="shared" si="80"/>
        <v>0.51030000000000009</v>
      </c>
      <c r="Q159" s="97">
        <f t="shared" si="80"/>
        <v>0.51030000000000009</v>
      </c>
      <c r="R159" s="97">
        <f t="shared" si="80"/>
        <v>0.51030000000000009</v>
      </c>
      <c r="S159" s="97">
        <f t="shared" si="80"/>
        <v>0.51030000000000009</v>
      </c>
      <c r="T159" s="97">
        <f t="shared" si="80"/>
        <v>0.51030000000000009</v>
      </c>
      <c r="U159" s="97">
        <f t="shared" si="80"/>
        <v>0.51030000000000009</v>
      </c>
      <c r="V159" s="97">
        <f t="shared" si="80"/>
        <v>0.51030000000000009</v>
      </c>
      <c r="W159" s="97">
        <f t="shared" si="80"/>
        <v>0.51030000000000009</v>
      </c>
      <c r="X159" s="97">
        <f t="shared" si="80"/>
        <v>0.51030000000000009</v>
      </c>
      <c r="Y159" s="97">
        <f t="shared" si="80"/>
        <v>0.51030000000000009</v>
      </c>
      <c r="Z159" s="97">
        <f t="shared" si="80"/>
        <v>0.51030000000000009</v>
      </c>
      <c r="AA159" s="97">
        <f t="shared" si="80"/>
        <v>0.51030000000000009</v>
      </c>
      <c r="AB159" s="97">
        <f t="shared" si="80"/>
        <v>0.51030000000000009</v>
      </c>
      <c r="AC159" s="97">
        <f t="shared" si="80"/>
        <v>0.51030000000000009</v>
      </c>
      <c r="AD159" s="97">
        <f t="shared" si="80"/>
        <v>0.51030000000000009</v>
      </c>
      <c r="AE159" s="97">
        <f t="shared" si="80"/>
        <v>0.51030000000000009</v>
      </c>
      <c r="AF159" s="97">
        <f t="shared" si="80"/>
        <v>0.51030000000000009</v>
      </c>
      <c r="AG159" s="97">
        <f t="shared" si="80"/>
        <v>0.51030000000000009</v>
      </c>
      <c r="AQ159" s="103">
        <f t="shared" ref="AQ159:AQ168" si="81">SUM(F159:AP159)</f>
        <v>12.757500000000009</v>
      </c>
    </row>
    <row r="160" spans="1:43">
      <c r="C160" t="s">
        <v>173</v>
      </c>
      <c r="J160" s="97">
        <f t="shared" ref="J160:AH160" si="82">($H$31+$H$32)*$F$152*$F$153</f>
        <v>0.21884999999999999</v>
      </c>
      <c r="K160" s="97">
        <f t="shared" si="82"/>
        <v>0.21884999999999999</v>
      </c>
      <c r="L160" s="97">
        <f t="shared" si="82"/>
        <v>0.21884999999999999</v>
      </c>
      <c r="M160" s="97">
        <f t="shared" si="82"/>
        <v>0.21884999999999999</v>
      </c>
      <c r="N160" s="97">
        <f t="shared" si="82"/>
        <v>0.21884999999999999</v>
      </c>
      <c r="O160" s="97">
        <f t="shared" si="82"/>
        <v>0.21884999999999999</v>
      </c>
      <c r="P160" s="97">
        <f t="shared" si="82"/>
        <v>0.21884999999999999</v>
      </c>
      <c r="Q160" s="97">
        <f t="shared" si="82"/>
        <v>0.21884999999999999</v>
      </c>
      <c r="R160" s="97">
        <f t="shared" si="82"/>
        <v>0.21884999999999999</v>
      </c>
      <c r="S160" s="97">
        <f t="shared" si="82"/>
        <v>0.21884999999999999</v>
      </c>
      <c r="T160" s="97">
        <f t="shared" si="82"/>
        <v>0.21884999999999999</v>
      </c>
      <c r="U160" s="97">
        <f t="shared" si="82"/>
        <v>0.21884999999999999</v>
      </c>
      <c r="V160" s="97">
        <f t="shared" si="82"/>
        <v>0.21884999999999999</v>
      </c>
      <c r="W160" s="97">
        <f t="shared" si="82"/>
        <v>0.21884999999999999</v>
      </c>
      <c r="X160" s="97">
        <f t="shared" si="82"/>
        <v>0.21884999999999999</v>
      </c>
      <c r="Y160" s="97">
        <f t="shared" si="82"/>
        <v>0.21884999999999999</v>
      </c>
      <c r="Z160" s="97">
        <f t="shared" si="82"/>
        <v>0.21884999999999999</v>
      </c>
      <c r="AA160" s="97">
        <f t="shared" si="82"/>
        <v>0.21884999999999999</v>
      </c>
      <c r="AB160" s="97">
        <f t="shared" si="82"/>
        <v>0.21884999999999999</v>
      </c>
      <c r="AC160" s="97">
        <f t="shared" si="82"/>
        <v>0.21884999999999999</v>
      </c>
      <c r="AD160" s="97">
        <f t="shared" si="82"/>
        <v>0.21884999999999999</v>
      </c>
      <c r="AE160" s="97">
        <f t="shared" si="82"/>
        <v>0.21884999999999999</v>
      </c>
      <c r="AF160" s="97">
        <f t="shared" si="82"/>
        <v>0.21884999999999999</v>
      </c>
      <c r="AG160" s="97">
        <f t="shared" si="82"/>
        <v>0.21884999999999999</v>
      </c>
      <c r="AH160" s="97">
        <f t="shared" si="82"/>
        <v>0.21884999999999999</v>
      </c>
      <c r="AQ160" s="103">
        <f t="shared" si="81"/>
        <v>5.4712499999999968</v>
      </c>
    </row>
    <row r="161" spans="3:43">
      <c r="C161" t="s">
        <v>172</v>
      </c>
      <c r="K161" s="97">
        <f t="shared" ref="K161:AI161" si="83">($I$31+$I$32)*$F$152*$F$153</f>
        <v>0.21884999999999999</v>
      </c>
      <c r="L161" s="97">
        <f t="shared" si="83"/>
        <v>0.21884999999999999</v>
      </c>
      <c r="M161" s="97">
        <f t="shared" si="83"/>
        <v>0.21884999999999999</v>
      </c>
      <c r="N161" s="97">
        <f t="shared" si="83"/>
        <v>0.21884999999999999</v>
      </c>
      <c r="O161" s="97">
        <f t="shared" si="83"/>
        <v>0.21884999999999999</v>
      </c>
      <c r="P161" s="97">
        <f t="shared" si="83"/>
        <v>0.21884999999999999</v>
      </c>
      <c r="Q161" s="97">
        <f t="shared" si="83"/>
        <v>0.21884999999999999</v>
      </c>
      <c r="R161" s="97">
        <f t="shared" si="83"/>
        <v>0.21884999999999999</v>
      </c>
      <c r="S161" s="97">
        <f t="shared" si="83"/>
        <v>0.21884999999999999</v>
      </c>
      <c r="T161" s="97">
        <f t="shared" si="83"/>
        <v>0.21884999999999999</v>
      </c>
      <c r="U161" s="97">
        <f t="shared" si="83"/>
        <v>0.21884999999999999</v>
      </c>
      <c r="V161" s="97">
        <f t="shared" si="83"/>
        <v>0.21884999999999999</v>
      </c>
      <c r="W161" s="97">
        <f t="shared" si="83"/>
        <v>0.21884999999999999</v>
      </c>
      <c r="X161" s="97">
        <f t="shared" si="83"/>
        <v>0.21884999999999999</v>
      </c>
      <c r="Y161" s="97">
        <f t="shared" si="83"/>
        <v>0.21884999999999999</v>
      </c>
      <c r="Z161" s="97">
        <f t="shared" si="83"/>
        <v>0.21884999999999999</v>
      </c>
      <c r="AA161" s="97">
        <f t="shared" si="83"/>
        <v>0.21884999999999999</v>
      </c>
      <c r="AB161" s="97">
        <f t="shared" si="83"/>
        <v>0.21884999999999999</v>
      </c>
      <c r="AC161" s="97">
        <f t="shared" si="83"/>
        <v>0.21884999999999999</v>
      </c>
      <c r="AD161" s="97">
        <f t="shared" si="83"/>
        <v>0.21884999999999999</v>
      </c>
      <c r="AE161" s="97">
        <f t="shared" si="83"/>
        <v>0.21884999999999999</v>
      </c>
      <c r="AF161" s="97">
        <f t="shared" si="83"/>
        <v>0.21884999999999999</v>
      </c>
      <c r="AG161" s="97">
        <f t="shared" si="83"/>
        <v>0.21884999999999999</v>
      </c>
      <c r="AH161" s="97">
        <f t="shared" si="83"/>
        <v>0.21884999999999999</v>
      </c>
      <c r="AI161" s="97">
        <f t="shared" si="83"/>
        <v>0.21884999999999999</v>
      </c>
      <c r="AQ161" s="103">
        <f t="shared" si="81"/>
        <v>5.4712499999999968</v>
      </c>
    </row>
    <row r="162" spans="3:43">
      <c r="C162" t="s">
        <v>171</v>
      </c>
      <c r="L162" s="97">
        <f t="shared" ref="L162:AJ162" si="84">($J$31+$J$32)*$F$152*$F$153</f>
        <v>0.21884999999999999</v>
      </c>
      <c r="M162" s="97">
        <f t="shared" si="84"/>
        <v>0.21884999999999999</v>
      </c>
      <c r="N162" s="97">
        <f t="shared" si="84"/>
        <v>0.21884999999999999</v>
      </c>
      <c r="O162" s="97">
        <f t="shared" si="84"/>
        <v>0.21884999999999999</v>
      </c>
      <c r="P162" s="97">
        <f t="shared" si="84"/>
        <v>0.21884999999999999</v>
      </c>
      <c r="Q162" s="97">
        <f t="shared" si="84"/>
        <v>0.21884999999999999</v>
      </c>
      <c r="R162" s="97">
        <f t="shared" si="84"/>
        <v>0.21884999999999999</v>
      </c>
      <c r="S162" s="97">
        <f t="shared" si="84"/>
        <v>0.21884999999999999</v>
      </c>
      <c r="T162" s="97">
        <f t="shared" si="84"/>
        <v>0.21884999999999999</v>
      </c>
      <c r="U162" s="97">
        <f t="shared" si="84"/>
        <v>0.21884999999999999</v>
      </c>
      <c r="V162" s="97">
        <f t="shared" si="84"/>
        <v>0.21884999999999999</v>
      </c>
      <c r="W162" s="97">
        <f t="shared" si="84"/>
        <v>0.21884999999999999</v>
      </c>
      <c r="X162" s="97">
        <f t="shared" si="84"/>
        <v>0.21884999999999999</v>
      </c>
      <c r="Y162" s="97">
        <f t="shared" si="84"/>
        <v>0.21884999999999999</v>
      </c>
      <c r="Z162" s="97">
        <f t="shared" si="84"/>
        <v>0.21884999999999999</v>
      </c>
      <c r="AA162" s="97">
        <f t="shared" si="84"/>
        <v>0.21884999999999999</v>
      </c>
      <c r="AB162" s="97">
        <f t="shared" si="84"/>
        <v>0.21884999999999999</v>
      </c>
      <c r="AC162" s="97">
        <f t="shared" si="84"/>
        <v>0.21884999999999999</v>
      </c>
      <c r="AD162" s="97">
        <f t="shared" si="84"/>
        <v>0.21884999999999999</v>
      </c>
      <c r="AE162" s="97">
        <f t="shared" si="84"/>
        <v>0.21884999999999999</v>
      </c>
      <c r="AF162" s="97">
        <f t="shared" si="84"/>
        <v>0.21884999999999999</v>
      </c>
      <c r="AG162" s="97">
        <f t="shared" si="84"/>
        <v>0.21884999999999999</v>
      </c>
      <c r="AH162" s="97">
        <f t="shared" si="84"/>
        <v>0.21884999999999999</v>
      </c>
      <c r="AI162" s="97">
        <f t="shared" si="84"/>
        <v>0.21884999999999999</v>
      </c>
      <c r="AJ162" s="97">
        <f t="shared" si="84"/>
        <v>0.21884999999999999</v>
      </c>
      <c r="AQ162" s="103">
        <f t="shared" si="81"/>
        <v>5.4712499999999968</v>
      </c>
    </row>
    <row r="163" spans="3:43">
      <c r="C163" t="s">
        <v>170</v>
      </c>
      <c r="M163" s="97">
        <f t="shared" ref="M163:AK163" si="85">($K$31+$K$32)*$F$152*$F$153</f>
        <v>0.21884999999999999</v>
      </c>
      <c r="N163" s="97">
        <f t="shared" si="85"/>
        <v>0.21884999999999999</v>
      </c>
      <c r="O163" s="97">
        <f t="shared" si="85"/>
        <v>0.21884999999999999</v>
      </c>
      <c r="P163" s="97">
        <f t="shared" si="85"/>
        <v>0.21884999999999999</v>
      </c>
      <c r="Q163" s="97">
        <f t="shared" si="85"/>
        <v>0.21884999999999999</v>
      </c>
      <c r="R163" s="97">
        <f t="shared" si="85"/>
        <v>0.21884999999999999</v>
      </c>
      <c r="S163" s="97">
        <f t="shared" si="85"/>
        <v>0.21884999999999999</v>
      </c>
      <c r="T163" s="97">
        <f t="shared" si="85"/>
        <v>0.21884999999999999</v>
      </c>
      <c r="U163" s="97">
        <f t="shared" si="85"/>
        <v>0.21884999999999999</v>
      </c>
      <c r="V163" s="97">
        <f t="shared" si="85"/>
        <v>0.21884999999999999</v>
      </c>
      <c r="W163" s="97">
        <f t="shared" si="85"/>
        <v>0.21884999999999999</v>
      </c>
      <c r="X163" s="97">
        <f t="shared" si="85"/>
        <v>0.21884999999999999</v>
      </c>
      <c r="Y163" s="97">
        <f t="shared" si="85"/>
        <v>0.21884999999999999</v>
      </c>
      <c r="Z163" s="97">
        <f t="shared" si="85"/>
        <v>0.21884999999999999</v>
      </c>
      <c r="AA163" s="97">
        <f t="shared" si="85"/>
        <v>0.21884999999999999</v>
      </c>
      <c r="AB163" s="97">
        <f t="shared" si="85"/>
        <v>0.21884999999999999</v>
      </c>
      <c r="AC163" s="97">
        <f t="shared" si="85"/>
        <v>0.21884999999999999</v>
      </c>
      <c r="AD163" s="97">
        <f t="shared" si="85"/>
        <v>0.21884999999999999</v>
      </c>
      <c r="AE163" s="97">
        <f t="shared" si="85"/>
        <v>0.21884999999999999</v>
      </c>
      <c r="AF163" s="97">
        <f t="shared" si="85"/>
        <v>0.21884999999999999</v>
      </c>
      <c r="AG163" s="97">
        <f t="shared" si="85"/>
        <v>0.21884999999999999</v>
      </c>
      <c r="AH163" s="97">
        <f t="shared" si="85"/>
        <v>0.21884999999999999</v>
      </c>
      <c r="AI163" s="97">
        <f t="shared" si="85"/>
        <v>0.21884999999999999</v>
      </c>
      <c r="AJ163" s="97">
        <f t="shared" si="85"/>
        <v>0.21884999999999999</v>
      </c>
      <c r="AK163" s="97">
        <f t="shared" si="85"/>
        <v>0.21884999999999999</v>
      </c>
      <c r="AQ163" s="103">
        <f t="shared" si="81"/>
        <v>5.4712499999999968</v>
      </c>
    </row>
    <row r="164" spans="3:43">
      <c r="C164" t="s">
        <v>169</v>
      </c>
      <c r="N164" s="97">
        <f t="shared" ref="N164:AL164" si="86">($L$31+$L$32)*$F$152*$F$153</f>
        <v>0.21884999999999999</v>
      </c>
      <c r="O164" s="97">
        <f t="shared" si="86"/>
        <v>0.21884999999999999</v>
      </c>
      <c r="P164" s="97">
        <f t="shared" si="86"/>
        <v>0.21884999999999999</v>
      </c>
      <c r="Q164" s="97">
        <f t="shared" si="86"/>
        <v>0.21884999999999999</v>
      </c>
      <c r="R164" s="97">
        <f t="shared" si="86"/>
        <v>0.21884999999999999</v>
      </c>
      <c r="S164" s="97">
        <f t="shared" si="86"/>
        <v>0.21884999999999999</v>
      </c>
      <c r="T164" s="97">
        <f t="shared" si="86"/>
        <v>0.21884999999999999</v>
      </c>
      <c r="U164" s="97">
        <f t="shared" si="86"/>
        <v>0.21884999999999999</v>
      </c>
      <c r="V164" s="97">
        <f t="shared" si="86"/>
        <v>0.21884999999999999</v>
      </c>
      <c r="W164" s="97">
        <f t="shared" si="86"/>
        <v>0.21884999999999999</v>
      </c>
      <c r="X164" s="97">
        <f t="shared" si="86"/>
        <v>0.21884999999999999</v>
      </c>
      <c r="Y164" s="97">
        <f t="shared" si="86"/>
        <v>0.21884999999999999</v>
      </c>
      <c r="Z164" s="97">
        <f t="shared" si="86"/>
        <v>0.21884999999999999</v>
      </c>
      <c r="AA164" s="97">
        <f t="shared" si="86"/>
        <v>0.21884999999999999</v>
      </c>
      <c r="AB164" s="97">
        <f t="shared" si="86"/>
        <v>0.21884999999999999</v>
      </c>
      <c r="AC164" s="97">
        <f t="shared" si="86"/>
        <v>0.21884999999999999</v>
      </c>
      <c r="AD164" s="97">
        <f t="shared" si="86"/>
        <v>0.21884999999999999</v>
      </c>
      <c r="AE164" s="97">
        <f t="shared" si="86"/>
        <v>0.21884999999999999</v>
      </c>
      <c r="AF164" s="97">
        <f t="shared" si="86"/>
        <v>0.21884999999999999</v>
      </c>
      <c r="AG164" s="97">
        <f t="shared" si="86"/>
        <v>0.21884999999999999</v>
      </c>
      <c r="AH164" s="97">
        <f t="shared" si="86"/>
        <v>0.21884999999999999</v>
      </c>
      <c r="AI164" s="97">
        <f t="shared" si="86"/>
        <v>0.21884999999999999</v>
      </c>
      <c r="AJ164" s="97">
        <f t="shared" si="86"/>
        <v>0.21884999999999999</v>
      </c>
      <c r="AK164" s="97">
        <f t="shared" si="86"/>
        <v>0.21884999999999999</v>
      </c>
      <c r="AL164" s="97">
        <f t="shared" si="86"/>
        <v>0.21884999999999999</v>
      </c>
      <c r="AQ164" s="103">
        <f t="shared" si="81"/>
        <v>5.4712499999999968</v>
      </c>
    </row>
    <row r="165" spans="3:43">
      <c r="C165" t="s">
        <v>168</v>
      </c>
      <c r="O165" s="97">
        <f t="shared" ref="O165:AM165" si="87">($M$31+$M$32)*$F$152*$F$153</f>
        <v>0.21884999999999999</v>
      </c>
      <c r="P165" s="97">
        <f t="shared" si="87"/>
        <v>0.21884999999999999</v>
      </c>
      <c r="Q165" s="97">
        <f t="shared" si="87"/>
        <v>0.21884999999999999</v>
      </c>
      <c r="R165" s="97">
        <f t="shared" si="87"/>
        <v>0.21884999999999999</v>
      </c>
      <c r="S165" s="97">
        <f t="shared" si="87"/>
        <v>0.21884999999999999</v>
      </c>
      <c r="T165" s="97">
        <f t="shared" si="87"/>
        <v>0.21884999999999999</v>
      </c>
      <c r="U165" s="97">
        <f t="shared" si="87"/>
        <v>0.21884999999999999</v>
      </c>
      <c r="V165" s="97">
        <f t="shared" si="87"/>
        <v>0.21884999999999999</v>
      </c>
      <c r="W165" s="97">
        <f t="shared" si="87"/>
        <v>0.21884999999999999</v>
      </c>
      <c r="X165" s="97">
        <f t="shared" si="87"/>
        <v>0.21884999999999999</v>
      </c>
      <c r="Y165" s="97">
        <f t="shared" si="87"/>
        <v>0.21884999999999999</v>
      </c>
      <c r="Z165" s="97">
        <f t="shared" si="87"/>
        <v>0.21884999999999999</v>
      </c>
      <c r="AA165" s="97">
        <f t="shared" si="87"/>
        <v>0.21884999999999999</v>
      </c>
      <c r="AB165" s="97">
        <f t="shared" si="87"/>
        <v>0.21884999999999999</v>
      </c>
      <c r="AC165" s="97">
        <f t="shared" si="87"/>
        <v>0.21884999999999999</v>
      </c>
      <c r="AD165" s="97">
        <f t="shared" si="87"/>
        <v>0.21884999999999999</v>
      </c>
      <c r="AE165" s="97">
        <f t="shared" si="87"/>
        <v>0.21884999999999999</v>
      </c>
      <c r="AF165" s="97">
        <f t="shared" si="87"/>
        <v>0.21884999999999999</v>
      </c>
      <c r="AG165" s="97">
        <f t="shared" si="87"/>
        <v>0.21884999999999999</v>
      </c>
      <c r="AH165" s="97">
        <f t="shared" si="87"/>
        <v>0.21884999999999999</v>
      </c>
      <c r="AI165" s="97">
        <f t="shared" si="87"/>
        <v>0.21884999999999999</v>
      </c>
      <c r="AJ165" s="97">
        <f t="shared" si="87"/>
        <v>0.21884999999999999</v>
      </c>
      <c r="AK165" s="97">
        <f t="shared" si="87"/>
        <v>0.21884999999999999</v>
      </c>
      <c r="AL165" s="97">
        <f t="shared" si="87"/>
        <v>0.21884999999999999</v>
      </c>
      <c r="AM165" s="97">
        <f t="shared" si="87"/>
        <v>0.21884999999999999</v>
      </c>
      <c r="AQ165" s="103">
        <f t="shared" si="81"/>
        <v>5.4712499999999968</v>
      </c>
    </row>
    <row r="166" spans="3:43">
      <c r="C166" t="s">
        <v>167</v>
      </c>
      <c r="P166" s="97">
        <f t="shared" ref="P166:AN166" si="88">($N$31+$N$32)*$F$152*$F$153</f>
        <v>0.21884999999999999</v>
      </c>
      <c r="Q166" s="97">
        <f t="shared" si="88"/>
        <v>0.21884999999999999</v>
      </c>
      <c r="R166" s="97">
        <f t="shared" si="88"/>
        <v>0.21884999999999999</v>
      </c>
      <c r="S166" s="97">
        <f t="shared" si="88"/>
        <v>0.21884999999999999</v>
      </c>
      <c r="T166" s="97">
        <f t="shared" si="88"/>
        <v>0.21884999999999999</v>
      </c>
      <c r="U166" s="97">
        <f t="shared" si="88"/>
        <v>0.21884999999999999</v>
      </c>
      <c r="V166" s="97">
        <f t="shared" si="88"/>
        <v>0.21884999999999999</v>
      </c>
      <c r="W166" s="97">
        <f t="shared" si="88"/>
        <v>0.21884999999999999</v>
      </c>
      <c r="X166" s="97">
        <f t="shared" si="88"/>
        <v>0.21884999999999999</v>
      </c>
      <c r="Y166" s="97">
        <f t="shared" si="88"/>
        <v>0.21884999999999999</v>
      </c>
      <c r="Z166" s="97">
        <f t="shared" si="88"/>
        <v>0.21884999999999999</v>
      </c>
      <c r="AA166" s="97">
        <f t="shared" si="88"/>
        <v>0.21884999999999999</v>
      </c>
      <c r="AB166" s="97">
        <f t="shared" si="88"/>
        <v>0.21884999999999999</v>
      </c>
      <c r="AC166" s="97">
        <f t="shared" si="88"/>
        <v>0.21884999999999999</v>
      </c>
      <c r="AD166" s="97">
        <f t="shared" si="88"/>
        <v>0.21884999999999999</v>
      </c>
      <c r="AE166" s="97">
        <f t="shared" si="88"/>
        <v>0.21884999999999999</v>
      </c>
      <c r="AF166" s="97">
        <f t="shared" si="88"/>
        <v>0.21884999999999999</v>
      </c>
      <c r="AG166" s="97">
        <f t="shared" si="88"/>
        <v>0.21884999999999999</v>
      </c>
      <c r="AH166" s="97">
        <f t="shared" si="88"/>
        <v>0.21884999999999999</v>
      </c>
      <c r="AI166" s="97">
        <f t="shared" si="88"/>
        <v>0.21884999999999999</v>
      </c>
      <c r="AJ166" s="97">
        <f t="shared" si="88"/>
        <v>0.21884999999999999</v>
      </c>
      <c r="AK166" s="97">
        <f t="shared" si="88"/>
        <v>0.21884999999999999</v>
      </c>
      <c r="AL166" s="97">
        <f t="shared" si="88"/>
        <v>0.21884999999999999</v>
      </c>
      <c r="AM166" s="97">
        <f t="shared" si="88"/>
        <v>0.21884999999999999</v>
      </c>
      <c r="AN166" s="97">
        <f t="shared" si="88"/>
        <v>0.21884999999999999</v>
      </c>
      <c r="AQ166" s="103">
        <f t="shared" si="81"/>
        <v>5.4712499999999968</v>
      </c>
    </row>
    <row r="167" spans="3:43">
      <c r="C167" t="s">
        <v>166</v>
      </c>
      <c r="Q167" s="97">
        <f t="shared" ref="Q167:AO167" si="89">($O$31+$O$32)*$F$152*$F$153</f>
        <v>0.21884999999999999</v>
      </c>
      <c r="R167" s="97">
        <f t="shared" si="89"/>
        <v>0.21884999999999999</v>
      </c>
      <c r="S167" s="97">
        <f t="shared" si="89"/>
        <v>0.21884999999999999</v>
      </c>
      <c r="T167" s="97">
        <f t="shared" si="89"/>
        <v>0.21884999999999999</v>
      </c>
      <c r="U167" s="97">
        <f t="shared" si="89"/>
        <v>0.21884999999999999</v>
      </c>
      <c r="V167" s="97">
        <f t="shared" si="89"/>
        <v>0.21884999999999999</v>
      </c>
      <c r="W167" s="97">
        <f t="shared" si="89"/>
        <v>0.21884999999999999</v>
      </c>
      <c r="X167" s="97">
        <f t="shared" si="89"/>
        <v>0.21884999999999999</v>
      </c>
      <c r="Y167" s="97">
        <f t="shared" si="89"/>
        <v>0.21884999999999999</v>
      </c>
      <c r="Z167" s="97">
        <f t="shared" si="89"/>
        <v>0.21884999999999999</v>
      </c>
      <c r="AA167" s="97">
        <f t="shared" si="89"/>
        <v>0.21884999999999999</v>
      </c>
      <c r="AB167" s="97">
        <f t="shared" si="89"/>
        <v>0.21884999999999999</v>
      </c>
      <c r="AC167" s="97">
        <f t="shared" si="89"/>
        <v>0.21884999999999999</v>
      </c>
      <c r="AD167" s="97">
        <f t="shared" si="89"/>
        <v>0.21884999999999999</v>
      </c>
      <c r="AE167" s="97">
        <f t="shared" si="89"/>
        <v>0.21884999999999999</v>
      </c>
      <c r="AF167" s="97">
        <f t="shared" si="89"/>
        <v>0.21884999999999999</v>
      </c>
      <c r="AG167" s="97">
        <f t="shared" si="89"/>
        <v>0.21884999999999999</v>
      </c>
      <c r="AH167" s="97">
        <f t="shared" si="89"/>
        <v>0.21884999999999999</v>
      </c>
      <c r="AI167" s="97">
        <f t="shared" si="89"/>
        <v>0.21884999999999999</v>
      </c>
      <c r="AJ167" s="97">
        <f t="shared" si="89"/>
        <v>0.21884999999999999</v>
      </c>
      <c r="AK167" s="97">
        <f t="shared" si="89"/>
        <v>0.21884999999999999</v>
      </c>
      <c r="AL167" s="97">
        <f t="shared" si="89"/>
        <v>0.21884999999999999</v>
      </c>
      <c r="AM167" s="97">
        <f t="shared" si="89"/>
        <v>0.21884999999999999</v>
      </c>
      <c r="AN167" s="97">
        <f t="shared" si="89"/>
        <v>0.21884999999999999</v>
      </c>
      <c r="AO167" s="97">
        <f t="shared" si="89"/>
        <v>0.21884999999999999</v>
      </c>
      <c r="AP167" s="97"/>
      <c r="AQ167" s="103">
        <f t="shared" si="81"/>
        <v>5.4712499999999968</v>
      </c>
    </row>
    <row r="168" spans="3:43">
      <c r="C168" t="s">
        <v>196</v>
      </c>
      <c r="Q168" s="97"/>
      <c r="R168" s="97">
        <f t="shared" ref="R168:AP168" si="90">($P$31+$P$32)*$F$152*$F$153</f>
        <v>0</v>
      </c>
      <c r="S168" s="97">
        <f t="shared" si="90"/>
        <v>0</v>
      </c>
      <c r="T168" s="97">
        <f t="shared" si="90"/>
        <v>0</v>
      </c>
      <c r="U168" s="97">
        <f t="shared" si="90"/>
        <v>0</v>
      </c>
      <c r="V168" s="97">
        <f t="shared" si="90"/>
        <v>0</v>
      </c>
      <c r="W168" s="97">
        <f t="shared" si="90"/>
        <v>0</v>
      </c>
      <c r="X168" s="97">
        <f t="shared" si="90"/>
        <v>0</v>
      </c>
      <c r="Y168" s="97">
        <f t="shared" si="90"/>
        <v>0</v>
      </c>
      <c r="Z168" s="97">
        <f t="shared" si="90"/>
        <v>0</v>
      </c>
      <c r="AA168" s="97">
        <f t="shared" si="90"/>
        <v>0</v>
      </c>
      <c r="AB168" s="97">
        <f t="shared" si="90"/>
        <v>0</v>
      </c>
      <c r="AC168" s="97">
        <f t="shared" si="90"/>
        <v>0</v>
      </c>
      <c r="AD168" s="97">
        <f t="shared" si="90"/>
        <v>0</v>
      </c>
      <c r="AE168" s="97">
        <f t="shared" si="90"/>
        <v>0</v>
      </c>
      <c r="AF168" s="97">
        <f t="shared" si="90"/>
        <v>0</v>
      </c>
      <c r="AG168" s="97">
        <f t="shared" si="90"/>
        <v>0</v>
      </c>
      <c r="AH168" s="97">
        <f t="shared" si="90"/>
        <v>0</v>
      </c>
      <c r="AI168" s="97">
        <f t="shared" si="90"/>
        <v>0</v>
      </c>
      <c r="AJ168" s="97">
        <f t="shared" si="90"/>
        <v>0</v>
      </c>
      <c r="AK168" s="97">
        <f t="shared" si="90"/>
        <v>0</v>
      </c>
      <c r="AL168" s="97">
        <f t="shared" si="90"/>
        <v>0</v>
      </c>
      <c r="AM168" s="97">
        <f t="shared" si="90"/>
        <v>0</v>
      </c>
      <c r="AN168" s="97">
        <f t="shared" si="90"/>
        <v>0</v>
      </c>
      <c r="AO168" s="97">
        <f t="shared" si="90"/>
        <v>0</v>
      </c>
      <c r="AP168" s="97">
        <f t="shared" si="90"/>
        <v>0</v>
      </c>
      <c r="AQ168" s="103">
        <f t="shared" si="81"/>
        <v>0</v>
      </c>
    </row>
    <row r="169" spans="3:43">
      <c r="Q169" s="97"/>
      <c r="AQ169" s="527">
        <f>SUM(AQ158:AQ168)</f>
        <v>62.789999999999985</v>
      </c>
    </row>
    <row r="170" spans="3:43">
      <c r="C170" t="s">
        <v>197</v>
      </c>
      <c r="F170" s="104">
        <f>SUM(F158:F168)</f>
        <v>0</v>
      </c>
      <c r="G170" s="104">
        <f t="shared" ref="G170:AP170" si="91">SUM(G158:G168)</f>
        <v>0</v>
      </c>
      <c r="H170" s="104">
        <f t="shared" si="91"/>
        <v>0.2505</v>
      </c>
      <c r="I170" s="104">
        <f t="shared" si="91"/>
        <v>0.76080000000000014</v>
      </c>
      <c r="J170" s="104">
        <f t="shared" si="91"/>
        <v>0.97965000000000013</v>
      </c>
      <c r="K170" s="104">
        <f t="shared" si="91"/>
        <v>1.1985000000000001</v>
      </c>
      <c r="L170" s="104">
        <f t="shared" si="91"/>
        <v>1.4173500000000001</v>
      </c>
      <c r="M170" s="104">
        <f t="shared" si="91"/>
        <v>1.6362000000000001</v>
      </c>
      <c r="N170" s="104">
        <f t="shared" si="91"/>
        <v>1.8550500000000001</v>
      </c>
      <c r="O170" s="104">
        <f t="shared" si="91"/>
        <v>2.0739000000000001</v>
      </c>
      <c r="P170" s="104">
        <f t="shared" si="91"/>
        <v>2.2927499999999998</v>
      </c>
      <c r="Q170" s="104">
        <f t="shared" si="91"/>
        <v>2.5115999999999996</v>
      </c>
      <c r="R170" s="104">
        <f t="shared" si="91"/>
        <v>2.5115999999999996</v>
      </c>
      <c r="S170" s="104">
        <f t="shared" si="91"/>
        <v>2.5115999999999996</v>
      </c>
      <c r="T170" s="104">
        <f t="shared" si="91"/>
        <v>2.5115999999999996</v>
      </c>
      <c r="U170" s="104">
        <f t="shared" si="91"/>
        <v>2.5115999999999996</v>
      </c>
      <c r="V170" s="104">
        <f t="shared" si="91"/>
        <v>2.5115999999999996</v>
      </c>
      <c r="W170" s="104">
        <f t="shared" si="91"/>
        <v>2.5115999999999996</v>
      </c>
      <c r="X170" s="104">
        <f t="shared" si="91"/>
        <v>2.5115999999999996</v>
      </c>
      <c r="Y170" s="104">
        <f t="shared" si="91"/>
        <v>2.5115999999999996</v>
      </c>
      <c r="Z170" s="104">
        <f t="shared" si="91"/>
        <v>2.5115999999999996</v>
      </c>
      <c r="AA170" s="104">
        <f t="shared" si="91"/>
        <v>2.5115999999999996</v>
      </c>
      <c r="AB170" s="104">
        <f t="shared" si="91"/>
        <v>2.5115999999999996</v>
      </c>
      <c r="AC170" s="104">
        <f t="shared" si="91"/>
        <v>2.5115999999999996</v>
      </c>
      <c r="AD170" s="104">
        <f t="shared" si="91"/>
        <v>2.5115999999999996</v>
      </c>
      <c r="AE170" s="104">
        <f t="shared" si="91"/>
        <v>2.5115999999999996</v>
      </c>
      <c r="AF170" s="104">
        <f t="shared" si="91"/>
        <v>2.5115999999999996</v>
      </c>
      <c r="AG170" s="104">
        <f t="shared" si="91"/>
        <v>2.2610999999999999</v>
      </c>
      <c r="AH170" s="104">
        <f t="shared" si="91"/>
        <v>1.7507999999999999</v>
      </c>
      <c r="AI170" s="104">
        <f t="shared" si="91"/>
        <v>1.5319499999999999</v>
      </c>
      <c r="AJ170" s="104">
        <f t="shared" si="91"/>
        <v>1.3130999999999999</v>
      </c>
      <c r="AK170" s="104">
        <f t="shared" si="91"/>
        <v>1.0942499999999999</v>
      </c>
      <c r="AL170" s="104">
        <f t="shared" si="91"/>
        <v>0.87539999999999996</v>
      </c>
      <c r="AM170" s="104">
        <f t="shared" si="91"/>
        <v>0.65654999999999997</v>
      </c>
      <c r="AN170" s="104">
        <f t="shared" si="91"/>
        <v>0.43769999999999998</v>
      </c>
      <c r="AO170" s="104">
        <f t="shared" si="91"/>
        <v>0.21884999999999999</v>
      </c>
      <c r="AP170" s="104">
        <f t="shared" si="91"/>
        <v>0</v>
      </c>
      <c r="AQ170" s="528">
        <f>SUM(F170:AP170)</f>
        <v>62.79000000000002</v>
      </c>
    </row>
    <row r="171" spans="3:43">
      <c r="C171" t="s">
        <v>198</v>
      </c>
      <c r="F171" s="116">
        <v>0.5</v>
      </c>
      <c r="Q171" s="97"/>
      <c r="AQ171" s="529"/>
    </row>
    <row r="172" spans="3:43">
      <c r="C172" t="s">
        <v>130</v>
      </c>
      <c r="F172" s="104">
        <f>F170*$F$86</f>
        <v>0</v>
      </c>
      <c r="G172" s="104">
        <f t="shared" ref="G172:AP172" si="92">G170*$F$86</f>
        <v>0</v>
      </c>
      <c r="H172" s="104">
        <f t="shared" si="92"/>
        <v>0.12525</v>
      </c>
      <c r="I172" s="104">
        <f t="shared" si="92"/>
        <v>0.38040000000000007</v>
      </c>
      <c r="J172" s="104">
        <f t="shared" si="92"/>
        <v>0.48982500000000007</v>
      </c>
      <c r="K172" s="104">
        <f t="shared" si="92"/>
        <v>0.59925000000000006</v>
      </c>
      <c r="L172" s="104">
        <f t="shared" si="92"/>
        <v>0.70867500000000005</v>
      </c>
      <c r="M172" s="104">
        <f t="shared" si="92"/>
        <v>0.81810000000000005</v>
      </c>
      <c r="N172" s="104">
        <f t="shared" si="92"/>
        <v>0.92752500000000004</v>
      </c>
      <c r="O172" s="104">
        <f t="shared" si="92"/>
        <v>1.03695</v>
      </c>
      <c r="P172" s="104">
        <f t="shared" si="92"/>
        <v>1.1463749999999999</v>
      </c>
      <c r="Q172" s="104">
        <f t="shared" si="92"/>
        <v>1.2557999999999998</v>
      </c>
      <c r="R172" s="104">
        <f t="shared" si="92"/>
        <v>1.2557999999999998</v>
      </c>
      <c r="S172" s="104">
        <f t="shared" si="92"/>
        <v>1.2557999999999998</v>
      </c>
      <c r="T172" s="104">
        <f t="shared" si="92"/>
        <v>1.2557999999999998</v>
      </c>
      <c r="U172" s="104">
        <f t="shared" si="92"/>
        <v>1.2557999999999998</v>
      </c>
      <c r="V172" s="104">
        <f t="shared" si="92"/>
        <v>1.2557999999999998</v>
      </c>
      <c r="W172" s="104">
        <f t="shared" si="92"/>
        <v>1.2557999999999998</v>
      </c>
      <c r="X172" s="104">
        <f t="shared" si="92"/>
        <v>1.2557999999999998</v>
      </c>
      <c r="Y172" s="104">
        <f t="shared" si="92"/>
        <v>1.2557999999999998</v>
      </c>
      <c r="Z172" s="104">
        <f t="shared" si="92"/>
        <v>1.2557999999999998</v>
      </c>
      <c r="AA172" s="104">
        <f t="shared" si="92"/>
        <v>1.2557999999999998</v>
      </c>
      <c r="AB172" s="104">
        <f t="shared" si="92"/>
        <v>1.2557999999999998</v>
      </c>
      <c r="AC172" s="104">
        <f t="shared" si="92"/>
        <v>1.2557999999999998</v>
      </c>
      <c r="AD172" s="104">
        <f t="shared" si="92"/>
        <v>1.2557999999999998</v>
      </c>
      <c r="AE172" s="104">
        <f t="shared" si="92"/>
        <v>1.2557999999999998</v>
      </c>
      <c r="AF172" s="104">
        <f t="shared" si="92"/>
        <v>1.2557999999999998</v>
      </c>
      <c r="AG172" s="104">
        <f t="shared" si="92"/>
        <v>1.1305499999999999</v>
      </c>
      <c r="AH172" s="104">
        <f t="shared" si="92"/>
        <v>0.87539999999999996</v>
      </c>
      <c r="AI172" s="104">
        <f t="shared" si="92"/>
        <v>0.76597499999999996</v>
      </c>
      <c r="AJ172" s="104">
        <f t="shared" si="92"/>
        <v>0.65654999999999997</v>
      </c>
      <c r="AK172" s="104">
        <f t="shared" si="92"/>
        <v>0.54712499999999997</v>
      </c>
      <c r="AL172" s="104">
        <f t="shared" si="92"/>
        <v>0.43769999999999998</v>
      </c>
      <c r="AM172" s="104">
        <f t="shared" si="92"/>
        <v>0.32827499999999998</v>
      </c>
      <c r="AN172" s="104">
        <f t="shared" si="92"/>
        <v>0.21884999999999999</v>
      </c>
      <c r="AO172" s="104">
        <f t="shared" si="92"/>
        <v>0.10942499999999999</v>
      </c>
      <c r="AP172" s="104">
        <f t="shared" si="92"/>
        <v>0</v>
      </c>
      <c r="AQ172" s="118">
        <f>SUM(F172:AP172)</f>
        <v>31.39500000000001</v>
      </c>
    </row>
  </sheetData>
  <phoneticPr fontId="19" type="noConversion"/>
  <pageMargins left="0.7" right="0.7" top="0.75" bottom="0.75" header="0.3" footer="0.3"/>
  <pageSetup paperSize="9" scale="31" fitToHeight="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P390"/>
  <sheetViews>
    <sheetView zoomScale="75" zoomScaleNormal="75" workbookViewId="0">
      <pane xSplit="3" ySplit="11" topLeftCell="D12" activePane="bottomRight" state="frozen"/>
      <selection activeCell="L52" sqref="L52"/>
      <selection pane="topRight" activeCell="L52" sqref="L52"/>
      <selection pane="bottomLeft" activeCell="L52" sqref="L52"/>
      <selection pane="bottomRight" activeCell="P4" sqref="P4"/>
    </sheetView>
  </sheetViews>
  <sheetFormatPr defaultRowHeight="15"/>
  <cols>
    <col min="1" max="1" width="2.85546875" customWidth="1"/>
    <col min="2" max="2" width="25.5703125" customWidth="1"/>
    <col min="3" max="3" width="15.28515625" bestFit="1" customWidth="1"/>
    <col min="4" max="4" width="15.28515625" customWidth="1"/>
    <col min="5" max="5" width="15.42578125" customWidth="1"/>
    <col min="6" max="6" width="14.42578125" customWidth="1"/>
    <col min="7" max="7" width="14.140625" customWidth="1"/>
    <col min="8" max="10" width="12.7109375" bestFit="1" customWidth="1"/>
    <col min="11" max="13" width="14.42578125" bestFit="1" customWidth="1"/>
    <col min="14" max="14" width="12.7109375" bestFit="1" customWidth="1"/>
    <col min="15" max="15" width="13.28515625" customWidth="1"/>
    <col min="16" max="16" width="15.42578125" customWidth="1"/>
    <col min="17" max="17" width="13.28515625" customWidth="1"/>
    <col min="18" max="18" width="12.5703125" customWidth="1"/>
    <col min="19" max="19" width="13.42578125" customWidth="1"/>
    <col min="20" max="20" width="15.140625" customWidth="1"/>
    <col min="21" max="21" width="14.5703125" customWidth="1"/>
    <col min="22" max="22" width="14.28515625" customWidth="1"/>
    <col min="23" max="23" width="15.42578125" customWidth="1"/>
    <col min="24" max="24" width="13.85546875" customWidth="1"/>
    <col min="25" max="25" width="14.42578125" customWidth="1"/>
    <col min="26" max="27" width="13.85546875" customWidth="1"/>
    <col min="28" max="28" width="13.7109375" customWidth="1"/>
    <col min="29" max="29" width="12.28515625" customWidth="1"/>
    <col min="30" max="30" width="13.140625" customWidth="1"/>
    <col min="31" max="31" width="15" customWidth="1"/>
    <col min="32" max="32" width="13.28515625" customWidth="1"/>
    <col min="33" max="33" width="12.5703125" customWidth="1"/>
    <col min="34" max="34" width="15.140625" customWidth="1"/>
    <col min="35" max="38" width="12.7109375" bestFit="1" customWidth="1"/>
    <col min="39" max="41" width="11.5703125" bestFit="1" customWidth="1"/>
    <col min="42" max="42" width="14" customWidth="1"/>
  </cols>
  <sheetData>
    <row r="1" spans="1:42" ht="19.5" thickBot="1">
      <c r="B1" s="25" t="s">
        <v>60</v>
      </c>
      <c r="I1" s="726" t="s">
        <v>3</v>
      </c>
      <c r="K1" s="726" t="s">
        <v>5</v>
      </c>
      <c r="M1" s="726" t="s">
        <v>5</v>
      </c>
      <c r="O1" s="726" t="s">
        <v>5</v>
      </c>
    </row>
    <row r="2" spans="1:42" ht="19.5" thickBot="1">
      <c r="B2" s="25" t="s">
        <v>347</v>
      </c>
      <c r="D2" s="262"/>
      <c r="E2" s="198" t="s">
        <v>3</v>
      </c>
      <c r="F2" s="1" t="s">
        <v>5</v>
      </c>
      <c r="G2" s="542" t="s">
        <v>458</v>
      </c>
      <c r="I2" s="1037" t="s">
        <v>861</v>
      </c>
      <c r="K2" s="1037" t="s">
        <v>863</v>
      </c>
      <c r="M2" s="1037" t="s">
        <v>862</v>
      </c>
      <c r="O2" s="1037" t="s">
        <v>599</v>
      </c>
    </row>
    <row r="3" spans="1:42" ht="19.5" thickBot="1">
      <c r="B3" s="25" t="s">
        <v>112</v>
      </c>
      <c r="D3" s="164" t="s">
        <v>349</v>
      </c>
      <c r="E3" s="1022">
        <f>D11/1000000</f>
        <v>174.87837357948021</v>
      </c>
      <c r="F3" s="541">
        <f>E11/1000000</f>
        <v>183.92518536005778</v>
      </c>
      <c r="G3" s="543">
        <f>E3+F3</f>
        <v>358.80355893953799</v>
      </c>
      <c r="H3" s="82"/>
      <c r="I3" s="734">
        <v>155</v>
      </c>
      <c r="J3" s="82"/>
      <c r="K3" s="544">
        <f>G3-I3</f>
        <v>203.80355893953799</v>
      </c>
      <c r="L3" s="82"/>
      <c r="M3" s="734">
        <v>4</v>
      </c>
      <c r="N3" s="82"/>
      <c r="O3" s="734">
        <f>K3-M3</f>
        <v>199.80355893953799</v>
      </c>
    </row>
    <row r="4" spans="1:42" s="39" customFormat="1" ht="18.75">
      <c r="B4" s="40" t="s">
        <v>316</v>
      </c>
      <c r="D4" s="196"/>
      <c r="E4" s="181"/>
    </row>
    <row r="5" spans="1:42" ht="18.75">
      <c r="B5" s="25"/>
      <c r="M5" s="145"/>
    </row>
    <row r="6" spans="1:42">
      <c r="B6" s="36" t="s">
        <v>114</v>
      </c>
    </row>
    <row r="7" spans="1:42" s="1" customFormat="1" ht="15.75" thickBot="1">
      <c r="B7" s="48" t="s">
        <v>59</v>
      </c>
      <c r="C7" s="49">
        <v>3.5000000000000003E-2</v>
      </c>
      <c r="D7" s="2" t="s">
        <v>3</v>
      </c>
      <c r="E7" s="2" t="s">
        <v>5</v>
      </c>
      <c r="F7" s="2" t="s">
        <v>6</v>
      </c>
      <c r="G7" s="2" t="s">
        <v>7</v>
      </c>
      <c r="H7" s="2" t="s">
        <v>8</v>
      </c>
      <c r="I7" s="2" t="s">
        <v>9</v>
      </c>
      <c r="J7" s="2" t="s">
        <v>10</v>
      </c>
      <c r="K7" s="2" t="s">
        <v>11</v>
      </c>
      <c r="L7" s="2" t="s">
        <v>13</v>
      </c>
      <c r="M7" s="2" t="s">
        <v>14</v>
      </c>
      <c r="N7" s="2" t="s">
        <v>15</v>
      </c>
      <c r="O7" s="2" t="s">
        <v>16</v>
      </c>
      <c r="P7" s="2" t="s">
        <v>17</v>
      </c>
      <c r="Q7" s="2" t="s">
        <v>18</v>
      </c>
      <c r="R7" s="2" t="s">
        <v>19</v>
      </c>
      <c r="S7" s="2" t="s">
        <v>20</v>
      </c>
      <c r="T7" s="2" t="s">
        <v>21</v>
      </c>
      <c r="U7" s="2" t="s">
        <v>22</v>
      </c>
      <c r="V7" s="2" t="s">
        <v>23</v>
      </c>
      <c r="W7" s="2" t="s">
        <v>24</v>
      </c>
      <c r="X7" s="2" t="s">
        <v>25</v>
      </c>
      <c r="Y7" s="2" t="s">
        <v>26</v>
      </c>
      <c r="Z7" s="2" t="s">
        <v>27</v>
      </c>
      <c r="AA7" s="2" t="s">
        <v>28</v>
      </c>
      <c r="AB7" s="2" t="s">
        <v>29</v>
      </c>
      <c r="AC7" s="2" t="s">
        <v>46</v>
      </c>
      <c r="AD7" s="2" t="s">
        <v>47</v>
      </c>
      <c r="AE7" s="2" t="s">
        <v>48</v>
      </c>
      <c r="AF7" s="2" t="s">
        <v>49</v>
      </c>
      <c r="AG7" s="2" t="s">
        <v>50</v>
      </c>
      <c r="AH7" s="2" t="s">
        <v>51</v>
      </c>
      <c r="AI7" s="2" t="s">
        <v>52</v>
      </c>
      <c r="AJ7" s="2" t="s">
        <v>53</v>
      </c>
      <c r="AK7" s="2" t="s">
        <v>54</v>
      </c>
      <c r="AL7" s="2" t="s">
        <v>55</v>
      </c>
      <c r="AM7" s="2" t="s">
        <v>56</v>
      </c>
      <c r="AN7" s="2" t="s">
        <v>57</v>
      </c>
      <c r="AO7" s="522" t="s">
        <v>279</v>
      </c>
      <c r="AP7" s="522" t="s">
        <v>280</v>
      </c>
    </row>
    <row r="8" spans="1:42" s="1" customFormat="1" ht="15.75" thickBot="1">
      <c r="B8" s="41" t="s">
        <v>35</v>
      </c>
      <c r="C8" s="137"/>
      <c r="D8" s="142">
        <f>D$15+D$22+D$29+D$36+D$43+D$50+D$57+D$64+D$71+D$78+D$85+D$92+D$99+D$106+D$113+D$120+D$127+D$134+D$141+D$148+D$155+D$162+D$169+D$176+D$183+D$190+D$197+D$204+D$211+D$218+D$225+D$232+D$239+D$246+D$253+D$260+D$267+D$274+D$281+D$288+D$295+D$302+D$309+D$316+D$323+D$330+D$337+D$344+D$351+D$358+D$365+D$372+D$379+D$386</f>
        <v>884117.77500000002</v>
      </c>
      <c r="E8" s="142">
        <f t="shared" ref="E8:AP8" si="0">E$15+E$22+E$29+E$36+E$43+E$50+E$57+E$64+E$71+E$78+E$85+E$92+E$99+E$106+E$113+E$120+E$127+E$134+E$141+E$148+E$155+E$162+E$169+E$176+E$183+E$190+E$197+E$204+E$211+E$218+E$225+E$232+E$239+E$246+E$253+E$260+E$267+E$274+E$281+E$288+E$295+E$302+E$309+E$316+E$323+E$330+E$337+E$344+E$351+E$358+E$365+E$372+E$379+E$386</f>
        <v>5473500.7706602383</v>
      </c>
      <c r="F8" s="142">
        <f t="shared" si="0"/>
        <v>24055953.57325149</v>
      </c>
      <c r="G8" s="142">
        <f t="shared" si="0"/>
        <v>64981508.171688989</v>
      </c>
      <c r="H8" s="142">
        <f t="shared" si="0"/>
        <v>53647867.316220246</v>
      </c>
      <c r="I8" s="142">
        <f t="shared" si="0"/>
        <v>74635741.62741816</v>
      </c>
      <c r="J8" s="142">
        <f t="shared" si="0"/>
        <v>70448435.113355666</v>
      </c>
      <c r="K8" s="142">
        <f t="shared" si="0"/>
        <v>73741497.549032748</v>
      </c>
      <c r="L8" s="142">
        <f t="shared" si="0"/>
        <v>66101224.544791669</v>
      </c>
      <c r="M8" s="142">
        <f t="shared" si="0"/>
        <v>48730839.141666666</v>
      </c>
      <c r="N8" s="142">
        <f t="shared" si="0"/>
        <v>36578091.879166663</v>
      </c>
      <c r="O8" s="142">
        <f t="shared" si="0"/>
        <v>26494231.804166667</v>
      </c>
      <c r="P8" s="142">
        <f t="shared" si="0"/>
        <v>24710376.416666668</v>
      </c>
      <c r="Q8" s="142">
        <f t="shared" si="0"/>
        <v>25097128.841666665</v>
      </c>
      <c r="R8" s="142">
        <f t="shared" si="0"/>
        <v>25005554.216666665</v>
      </c>
      <c r="S8" s="142">
        <f t="shared" si="0"/>
        <v>24913979.591666665</v>
      </c>
      <c r="T8" s="142">
        <f t="shared" si="0"/>
        <v>23485409.966666665</v>
      </c>
      <c r="U8" s="142">
        <f t="shared" si="0"/>
        <v>23485410.341666665</v>
      </c>
      <c r="V8" s="142">
        <f t="shared" si="0"/>
        <v>23485410.716666665</v>
      </c>
      <c r="W8" s="142">
        <f t="shared" si="0"/>
        <v>23485411.091666665</v>
      </c>
      <c r="X8" s="142">
        <f t="shared" si="0"/>
        <v>23468311.466666665</v>
      </c>
      <c r="Y8" s="142">
        <f t="shared" si="0"/>
        <v>23468311.841666665</v>
      </c>
      <c r="Z8" s="142">
        <f t="shared" si="0"/>
        <v>23468312.216666665</v>
      </c>
      <c r="AA8" s="142">
        <f t="shared" si="0"/>
        <v>23468312.591666665</v>
      </c>
      <c r="AB8" s="142">
        <f t="shared" si="0"/>
        <v>23468312.966666665</v>
      </c>
      <c r="AC8" s="142">
        <f t="shared" si="0"/>
        <v>23468313.341666665</v>
      </c>
      <c r="AD8" s="142">
        <f t="shared" si="0"/>
        <v>23468313.716666665</v>
      </c>
      <c r="AE8" s="142">
        <f t="shared" si="0"/>
        <v>18759117.425000001</v>
      </c>
      <c r="AF8" s="142">
        <f t="shared" si="0"/>
        <v>18629867.800000001</v>
      </c>
      <c r="AG8" s="142">
        <f t="shared" si="0"/>
        <v>17122857.925000001</v>
      </c>
      <c r="AH8" s="142">
        <f t="shared" si="0"/>
        <v>15808479.025000002</v>
      </c>
      <c r="AI8" s="142">
        <f t="shared" si="0"/>
        <v>15311797.287500001</v>
      </c>
      <c r="AJ8" s="142">
        <f t="shared" si="0"/>
        <v>14156610.862500001</v>
      </c>
      <c r="AK8" s="142">
        <f t="shared" si="0"/>
        <v>10795619.75</v>
      </c>
      <c r="AL8" s="142">
        <f t="shared" si="0"/>
        <v>10399361.450000001</v>
      </c>
      <c r="AM8" s="142">
        <f t="shared" si="0"/>
        <v>9194523.4625000004</v>
      </c>
      <c r="AN8" s="142">
        <f t="shared" si="0"/>
        <v>8636136.9125000015</v>
      </c>
      <c r="AO8" s="142">
        <f t="shared" si="0"/>
        <v>8178327.0500000007</v>
      </c>
      <c r="AP8" s="142">
        <f t="shared" si="0"/>
        <v>0</v>
      </c>
    </row>
    <row r="9" spans="1:42" s="17" customFormat="1" ht="15.75" thickBot="1">
      <c r="B9" s="42" t="s">
        <v>33</v>
      </c>
      <c r="C9" s="141">
        <f>C16+C23+C30+C37+C44+C51+C58+C65+C72+C79+C86+C93+C100+C107+C114+C121+C128+C135+C142+C149+C156+C163+C170+C177+C184+C191+C198+C205+C212+C219+C226+C233+C240+C247+C254+C261+C268+C275+C282+C289+C296+C303+C310+C317+C324+C331+C338+C345+C352+C359+C366+C373+C380+C387</f>
        <v>705509597.18269908</v>
      </c>
      <c r="D9" s="140"/>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4"/>
    </row>
    <row r="10" spans="1:42" s="45" customFormat="1" ht="15.75" thickBot="1">
      <c r="B10" s="42"/>
      <c r="C10" s="138" t="str">
        <f>IF(SUM(D11:AN11)&lt;&gt;C9,"CHECK"," ")</f>
        <v>CHECK</v>
      </c>
      <c r="D10" s="140"/>
      <c r="E10" s="43">
        <f>SUM(D11:K11)</f>
        <v>705509571.99070632</v>
      </c>
      <c r="F10" s="43">
        <f>C9-E10</f>
        <v>25.19199275970459</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4"/>
    </row>
    <row r="11" spans="1:42" s="35" customFormat="1" ht="15.75" thickBot="1">
      <c r="B11" s="46" t="s">
        <v>34</v>
      </c>
      <c r="C11" s="47"/>
      <c r="D11" s="142">
        <f>D$18+D$25+D$32+D$39+D$46+D$53+D$60+D$67+D$74+D$81+D$88+D$95+D$102+D$109+D$116+D$123+D$130+D$137+D$144+D$151+D$158+D$165+D$172+D$179+D$186+D$193+D$200+D$207+D$214+D$221+D$228+D$235+D$242+D$249+D$256+D$263+D$270+D$277+D$284+D$291+D$298+D$305+D$312+D$319+D$326+D$333+D$340+D$347+D$354+D$361+D$368+D$375+D$382+D$389</f>
        <v>174878373.5794802</v>
      </c>
      <c r="E11" s="142">
        <f t="shared" ref="E11:AP11" si="1">E$18+E$25+E$32+E$39+E$46+E$53+E$60+E$67+E$74+E$81+E$88+E$95+E$102+E$109+E$116+E$123+E$130+E$137+E$144+E$151+E$158+E$165+E$172+E$179+E$186+E$193+E$200+E$207+E$214+E$221+E$228+E$235+E$242+E$249+E$256+E$263+E$270+E$277+E$284+E$291+E$298+E$305+E$312+E$319+E$326+E$333+E$340+E$347+E$354+E$361+E$368+E$375+E$382+E$389</f>
        <v>183925185.36005777</v>
      </c>
      <c r="F11" s="142">
        <f t="shared" si="1"/>
        <v>168957485.54878688</v>
      </c>
      <c r="G11" s="142">
        <f t="shared" si="1"/>
        <v>102758302.92897895</v>
      </c>
      <c r="H11" s="142">
        <f t="shared" si="1"/>
        <v>27199109.603307597</v>
      </c>
      <c r="I11" s="142">
        <f t="shared" si="1"/>
        <v>23895557.485047437</v>
      </c>
      <c r="J11" s="142">
        <f t="shared" si="1"/>
        <v>23895557.485047437</v>
      </c>
      <c r="K11" s="142">
        <f t="shared" si="1"/>
        <v>0</v>
      </c>
      <c r="L11" s="142">
        <f t="shared" si="1"/>
        <v>0</v>
      </c>
      <c r="M11" s="142">
        <f t="shared" si="1"/>
        <v>0</v>
      </c>
      <c r="N11" s="142">
        <f t="shared" si="1"/>
        <v>0</v>
      </c>
      <c r="O11" s="142">
        <f t="shared" si="1"/>
        <v>0</v>
      </c>
      <c r="P11" s="142">
        <f t="shared" si="1"/>
        <v>0</v>
      </c>
      <c r="Q11" s="142">
        <f t="shared" si="1"/>
        <v>0</v>
      </c>
      <c r="R11" s="142">
        <f t="shared" si="1"/>
        <v>0</v>
      </c>
      <c r="S11" s="142">
        <f t="shared" si="1"/>
        <v>0</v>
      </c>
      <c r="T11" s="142">
        <f t="shared" si="1"/>
        <v>0</v>
      </c>
      <c r="U11" s="142">
        <f t="shared" si="1"/>
        <v>0</v>
      </c>
      <c r="V11" s="142">
        <f t="shared" si="1"/>
        <v>0</v>
      </c>
      <c r="W11" s="142">
        <f t="shared" si="1"/>
        <v>0</v>
      </c>
      <c r="X11" s="142">
        <f t="shared" si="1"/>
        <v>0</v>
      </c>
      <c r="Y11" s="142">
        <f t="shared" si="1"/>
        <v>0</v>
      </c>
      <c r="Z11" s="142">
        <f t="shared" si="1"/>
        <v>0</v>
      </c>
      <c r="AA11" s="142">
        <f t="shared" si="1"/>
        <v>0</v>
      </c>
      <c r="AB11" s="142">
        <f t="shared" si="1"/>
        <v>0</v>
      </c>
      <c r="AC11" s="142">
        <f t="shared" si="1"/>
        <v>0</v>
      </c>
      <c r="AD11" s="142">
        <f t="shared" si="1"/>
        <v>0</v>
      </c>
      <c r="AE11" s="142">
        <f t="shared" si="1"/>
        <v>0</v>
      </c>
      <c r="AF11" s="142">
        <f t="shared" si="1"/>
        <v>0</v>
      </c>
      <c r="AG11" s="142">
        <f t="shared" si="1"/>
        <v>0</v>
      </c>
      <c r="AH11" s="142">
        <f t="shared" si="1"/>
        <v>0</v>
      </c>
      <c r="AI11" s="142">
        <f t="shared" si="1"/>
        <v>0</v>
      </c>
      <c r="AJ11" s="142">
        <f t="shared" si="1"/>
        <v>0</v>
      </c>
      <c r="AK11" s="142">
        <f t="shared" si="1"/>
        <v>0</v>
      </c>
      <c r="AL11" s="142">
        <f t="shared" si="1"/>
        <v>0</v>
      </c>
      <c r="AM11" s="142">
        <f t="shared" si="1"/>
        <v>0</v>
      </c>
      <c r="AN11" s="142">
        <f t="shared" si="1"/>
        <v>0</v>
      </c>
      <c r="AO11" s="142">
        <f t="shared" si="1"/>
        <v>0</v>
      </c>
      <c r="AP11" s="142">
        <f t="shared" si="1"/>
        <v>0</v>
      </c>
    </row>
    <row r="12" spans="1:42" s="1" customFormat="1" ht="15.75" thickBot="1">
      <c r="B12" s="18"/>
      <c r="C12" s="139"/>
      <c r="D12" s="221"/>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222"/>
    </row>
    <row r="13" spans="1:42">
      <c r="A13" s="131"/>
      <c r="B13" s="4" t="s">
        <v>12</v>
      </c>
      <c r="C13" s="133" t="str">
        <f>Summary!B15</f>
        <v>A1</v>
      </c>
      <c r="D13" s="156" t="str">
        <f>Summary!C15</f>
        <v>Key Stage Reviews - PUK KSR Costs Avoided</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6"/>
    </row>
    <row r="14" spans="1:42">
      <c r="A14" s="131"/>
      <c r="B14" s="7" t="s">
        <v>189</v>
      </c>
      <c r="C14" s="134" t="str">
        <f>'A1 PUK KSR Fees'!D47</f>
        <v>A - High</v>
      </c>
      <c r="D14" s="176">
        <f>VLOOKUP(C14,'Confidence Factors'!$B$6:$D$9,3)</f>
        <v>1</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10"/>
    </row>
    <row r="15" spans="1:42">
      <c r="A15" s="131"/>
      <c r="B15" s="7" t="s">
        <v>30</v>
      </c>
      <c r="C15" s="128">
        <f>SUM(D15:AN15)</f>
        <v>204996</v>
      </c>
      <c r="D15" s="177">
        <f>'A1 PUK KSR Fees'!H73*'A1 PUK KSR Fees'!D75*'Calcs - Scen 1'!D14</f>
        <v>76996</v>
      </c>
      <c r="E15" s="3">
        <f>'A1 PUK KSR Fees'!I73*'A1 PUK KSR Fees'!D75*'Calcs - Scen 1'!D14</f>
        <v>128000</v>
      </c>
      <c r="F15" s="3">
        <v>0</v>
      </c>
      <c r="G15" s="3">
        <v>0</v>
      </c>
      <c r="H15" s="3">
        <v>0</v>
      </c>
      <c r="I15" s="3">
        <v>0</v>
      </c>
      <c r="J15" s="3">
        <v>0</v>
      </c>
      <c r="K15" s="3">
        <v>0</v>
      </c>
      <c r="L15" s="3">
        <v>0</v>
      </c>
      <c r="M15" s="3">
        <v>0</v>
      </c>
      <c r="N15" s="3">
        <v>0</v>
      </c>
      <c r="O15" s="3">
        <v>0</v>
      </c>
      <c r="P15" s="3">
        <v>0</v>
      </c>
      <c r="Q15" s="3">
        <v>0</v>
      </c>
      <c r="R15" s="3">
        <v>0</v>
      </c>
      <c r="S15" s="3">
        <v>0</v>
      </c>
      <c r="T15" s="127">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213">
        <v>0</v>
      </c>
      <c r="AO15" s="213">
        <v>0</v>
      </c>
      <c r="AP15" s="9">
        <v>0</v>
      </c>
    </row>
    <row r="16" spans="1:42">
      <c r="A16" s="131"/>
      <c r="B16" s="7" t="s">
        <v>31</v>
      </c>
      <c r="C16" s="129">
        <f>NPV($C$7,F15:AO15)+D15+E15</f>
        <v>204996</v>
      </c>
      <c r="D16" s="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0"/>
    </row>
    <row r="17" spans="1:42">
      <c r="A17" s="131"/>
      <c r="B17" s="7" t="s">
        <v>4</v>
      </c>
      <c r="C17" s="130" t="str">
        <f>IF(SUM(D17:AN17)&gt;1,"CHECK"," ")</f>
        <v xml:space="preserve"> </v>
      </c>
      <c r="D17" s="178">
        <v>0.38</v>
      </c>
      <c r="E17" s="15">
        <v>0.62</v>
      </c>
      <c r="F17" s="15"/>
      <c r="G17" s="15"/>
      <c r="H17" s="15"/>
      <c r="I17" s="15"/>
      <c r="J17" s="15"/>
      <c r="K17" s="15"/>
      <c r="L17" s="15"/>
      <c r="M17" s="15"/>
      <c r="N17" s="15"/>
      <c r="O17" s="15"/>
      <c r="P17" s="15"/>
      <c r="Q17" s="15"/>
      <c r="R17" s="15"/>
      <c r="S17" s="15"/>
      <c r="T17" s="125"/>
      <c r="U17" s="15"/>
      <c r="V17" s="15"/>
      <c r="W17" s="15"/>
      <c r="X17" s="15"/>
      <c r="Y17" s="15"/>
      <c r="Z17" s="15"/>
      <c r="AA17" s="15"/>
      <c r="AB17" s="15"/>
      <c r="AC17" s="15"/>
      <c r="AD17" s="15"/>
      <c r="AE17" s="15"/>
      <c r="AF17" s="15"/>
      <c r="AG17" s="15"/>
      <c r="AH17" s="15"/>
      <c r="AI17" s="15"/>
      <c r="AJ17" s="15"/>
      <c r="AK17" s="15"/>
      <c r="AL17" s="15"/>
      <c r="AM17" s="15"/>
      <c r="AN17" s="146"/>
      <c r="AO17" s="146"/>
      <c r="AP17" s="16"/>
    </row>
    <row r="18" spans="1:42" ht="15.75" thickBot="1">
      <c r="A18" s="131"/>
      <c r="B18" s="11" t="s">
        <v>32</v>
      </c>
      <c r="C18" s="51"/>
      <c r="D18" s="179">
        <f>IF(D17&gt;0,(D17*$C16),0)</f>
        <v>77898.48</v>
      </c>
      <c r="E18" s="615">
        <f t="shared" ref="E18:Z18" si="2">IF(E17&gt;0,(E17*$C16),0)</f>
        <v>127097.52</v>
      </c>
      <c r="F18" s="13">
        <f t="shared" si="2"/>
        <v>0</v>
      </c>
      <c r="G18" s="13">
        <f t="shared" si="2"/>
        <v>0</v>
      </c>
      <c r="H18" s="13">
        <f t="shared" si="2"/>
        <v>0</v>
      </c>
      <c r="I18" s="13">
        <f t="shared" si="2"/>
        <v>0</v>
      </c>
      <c r="J18" s="13">
        <f t="shared" si="2"/>
        <v>0</v>
      </c>
      <c r="K18" s="13">
        <f t="shared" si="2"/>
        <v>0</v>
      </c>
      <c r="L18" s="13">
        <f t="shared" si="2"/>
        <v>0</v>
      </c>
      <c r="M18" s="13">
        <f t="shared" si="2"/>
        <v>0</v>
      </c>
      <c r="N18" s="13">
        <f t="shared" si="2"/>
        <v>0</v>
      </c>
      <c r="O18" s="13">
        <f t="shared" si="2"/>
        <v>0</v>
      </c>
      <c r="P18" s="13">
        <f t="shared" si="2"/>
        <v>0</v>
      </c>
      <c r="Q18" s="13">
        <f t="shared" si="2"/>
        <v>0</v>
      </c>
      <c r="R18" s="13">
        <f t="shared" si="2"/>
        <v>0</v>
      </c>
      <c r="S18" s="13">
        <f>IF(S17&gt;0,(S17*$C16),0)</f>
        <v>0</v>
      </c>
      <c r="T18" s="224">
        <f t="shared" si="2"/>
        <v>0</v>
      </c>
      <c r="U18" s="13">
        <f t="shared" si="2"/>
        <v>0</v>
      </c>
      <c r="V18" s="13">
        <f t="shared" si="2"/>
        <v>0</v>
      </c>
      <c r="W18" s="13">
        <f t="shared" si="2"/>
        <v>0</v>
      </c>
      <c r="X18" s="13">
        <f t="shared" si="2"/>
        <v>0</v>
      </c>
      <c r="Y18" s="13">
        <f t="shared" si="2"/>
        <v>0</v>
      </c>
      <c r="Z18" s="13">
        <f t="shared" si="2"/>
        <v>0</v>
      </c>
      <c r="AA18" s="13">
        <f t="shared" ref="AA18:AN18" si="3">IF(AA17&gt;0,(AA17*$C16),0)</f>
        <v>0</v>
      </c>
      <c r="AB18" s="13">
        <f t="shared" si="3"/>
        <v>0</v>
      </c>
      <c r="AC18" s="13">
        <f t="shared" si="3"/>
        <v>0</v>
      </c>
      <c r="AD18" s="13">
        <f t="shared" si="3"/>
        <v>0</v>
      </c>
      <c r="AE18" s="13">
        <f t="shared" si="3"/>
        <v>0</v>
      </c>
      <c r="AF18" s="13">
        <f t="shared" si="3"/>
        <v>0</v>
      </c>
      <c r="AG18" s="13">
        <f t="shared" si="3"/>
        <v>0</v>
      </c>
      <c r="AH18" s="13">
        <f t="shared" si="3"/>
        <v>0</v>
      </c>
      <c r="AI18" s="13">
        <f t="shared" si="3"/>
        <v>0</v>
      </c>
      <c r="AJ18" s="13">
        <f t="shared" si="3"/>
        <v>0</v>
      </c>
      <c r="AK18" s="13">
        <f t="shared" si="3"/>
        <v>0</v>
      </c>
      <c r="AL18" s="13">
        <f t="shared" si="3"/>
        <v>0</v>
      </c>
      <c r="AM18" s="13">
        <f t="shared" si="3"/>
        <v>0</v>
      </c>
      <c r="AN18" s="214">
        <f t="shared" si="3"/>
        <v>0</v>
      </c>
      <c r="AO18" s="214">
        <f>IF(AO17&gt;0,(AO17*$C16),0)</f>
        <v>0</v>
      </c>
      <c r="AP18" s="14">
        <f>IF(AP17&gt;0,(AP17*$C16),0)</f>
        <v>0</v>
      </c>
    </row>
    <row r="19" spans="1:42" ht="15.75" thickBot="1">
      <c r="A19" s="131"/>
      <c r="B19" s="7"/>
      <c r="C19" s="10"/>
      <c r="D19" s="22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222"/>
    </row>
    <row r="20" spans="1:42">
      <c r="A20" s="131"/>
      <c r="B20" s="4" t="s">
        <v>12</v>
      </c>
      <c r="C20" s="133" t="str">
        <f>Summary!B16</f>
        <v>A2</v>
      </c>
      <c r="D20" s="156" t="str">
        <f>Summary!C16</f>
        <v>Waste - Gateway Review Costs Avoided</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6"/>
    </row>
    <row r="21" spans="1:42">
      <c r="A21" s="131"/>
      <c r="B21" s="7" t="s">
        <v>189</v>
      </c>
      <c r="C21" s="134" t="str">
        <f>'A2 Waste Validation Fees'!D47</f>
        <v>A - High</v>
      </c>
      <c r="D21" s="176">
        <f>VLOOKUP(C21,'Confidence Factors'!$B$6:$D$9,3)</f>
        <v>1</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10"/>
    </row>
    <row r="22" spans="1:42">
      <c r="A22" s="131"/>
      <c r="B22" s="7" t="s">
        <v>30</v>
      </c>
      <c r="C22" s="128">
        <f>SUM(D22:AN22)</f>
        <v>45000</v>
      </c>
      <c r="D22" s="177">
        <f>15000*'A2 Waste Validation Fees'!D75*'Calcs - Scen 1'!D21</f>
        <v>15000</v>
      </c>
      <c r="E22" s="454">
        <f>30000*'A2 Waste Validation Fees'!D75*'Calcs - Scen 1'!D21</f>
        <v>30000</v>
      </c>
      <c r="F22" s="3">
        <v>0</v>
      </c>
      <c r="G22" s="3">
        <v>0</v>
      </c>
      <c r="H22" s="3">
        <v>0</v>
      </c>
      <c r="I22" s="3">
        <v>0</v>
      </c>
      <c r="J22" s="3">
        <v>0</v>
      </c>
      <c r="K22" s="3">
        <v>0</v>
      </c>
      <c r="L22" s="3">
        <v>0</v>
      </c>
      <c r="M22" s="3">
        <v>0</v>
      </c>
      <c r="N22" s="3">
        <v>0</v>
      </c>
      <c r="O22" s="3">
        <v>0</v>
      </c>
      <c r="P22" s="3">
        <v>0</v>
      </c>
      <c r="Q22" s="3">
        <v>0</v>
      </c>
      <c r="R22" s="3">
        <v>0</v>
      </c>
      <c r="S22" s="3">
        <v>0</v>
      </c>
      <c r="T22" s="127">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213">
        <v>0</v>
      </c>
      <c r="AO22" s="213">
        <v>0</v>
      </c>
      <c r="AP22" s="9">
        <v>0</v>
      </c>
    </row>
    <row r="23" spans="1:42">
      <c r="A23" s="131"/>
      <c r="B23" s="7" t="s">
        <v>31</v>
      </c>
      <c r="C23" s="129">
        <f>NPV($C$7,F22:AO22)+D22+E22</f>
        <v>45000</v>
      </c>
      <c r="D23" s="7"/>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10"/>
    </row>
    <row r="24" spans="1:42">
      <c r="A24" s="131"/>
      <c r="B24" s="7" t="s">
        <v>4</v>
      </c>
      <c r="C24" s="130" t="str">
        <f>IF(SUM(D24:AN24)&gt;1,"CHECK"," ")</f>
        <v xml:space="preserve"> </v>
      </c>
      <c r="D24" s="178">
        <v>0.33</v>
      </c>
      <c r="E24" s="15">
        <v>0.67</v>
      </c>
      <c r="F24" s="15"/>
      <c r="G24" s="15"/>
      <c r="H24" s="15"/>
      <c r="I24" s="15"/>
      <c r="J24" s="15"/>
      <c r="K24" s="15"/>
      <c r="L24" s="15"/>
      <c r="M24" s="15"/>
      <c r="N24" s="15"/>
      <c r="O24" s="15"/>
      <c r="P24" s="15"/>
      <c r="Q24" s="15"/>
      <c r="R24" s="15"/>
      <c r="S24" s="15"/>
      <c r="T24" s="125"/>
      <c r="U24" s="15"/>
      <c r="V24" s="15"/>
      <c r="W24" s="15"/>
      <c r="X24" s="15"/>
      <c r="Y24" s="15"/>
      <c r="Z24" s="15"/>
      <c r="AA24" s="15"/>
      <c r="AB24" s="15"/>
      <c r="AC24" s="15"/>
      <c r="AD24" s="15"/>
      <c r="AE24" s="15"/>
      <c r="AF24" s="15"/>
      <c r="AG24" s="15"/>
      <c r="AH24" s="15"/>
      <c r="AI24" s="15"/>
      <c r="AJ24" s="15"/>
      <c r="AK24" s="15"/>
      <c r="AL24" s="15"/>
      <c r="AM24" s="15"/>
      <c r="AN24" s="146"/>
      <c r="AO24" s="146"/>
      <c r="AP24" s="16"/>
    </row>
    <row r="25" spans="1:42" ht="15.75" thickBot="1">
      <c r="A25" s="131"/>
      <c r="B25" s="11" t="s">
        <v>32</v>
      </c>
      <c r="C25" s="51"/>
      <c r="D25" s="179">
        <f t="shared" ref="D25:Y25" si="4">IF(D24&gt;0,(D24*$C23),0)</f>
        <v>14850</v>
      </c>
      <c r="E25" s="20">
        <f t="shared" si="4"/>
        <v>30150</v>
      </c>
      <c r="F25" s="20">
        <f t="shared" si="4"/>
        <v>0</v>
      </c>
      <c r="G25" s="20">
        <f t="shared" si="4"/>
        <v>0</v>
      </c>
      <c r="H25" s="20">
        <f t="shared" si="4"/>
        <v>0</v>
      </c>
      <c r="I25" s="20">
        <f t="shared" si="4"/>
        <v>0</v>
      </c>
      <c r="J25" s="20">
        <f t="shared" si="4"/>
        <v>0</v>
      </c>
      <c r="K25" s="20">
        <f t="shared" si="4"/>
        <v>0</v>
      </c>
      <c r="L25" s="20">
        <f t="shared" si="4"/>
        <v>0</v>
      </c>
      <c r="M25" s="20">
        <f t="shared" si="4"/>
        <v>0</v>
      </c>
      <c r="N25" s="20">
        <f t="shared" si="4"/>
        <v>0</v>
      </c>
      <c r="O25" s="20">
        <f t="shared" si="4"/>
        <v>0</v>
      </c>
      <c r="P25" s="20">
        <f t="shared" si="4"/>
        <v>0</v>
      </c>
      <c r="Q25" s="20">
        <f t="shared" si="4"/>
        <v>0</v>
      </c>
      <c r="R25" s="20">
        <f t="shared" si="4"/>
        <v>0</v>
      </c>
      <c r="S25" s="20">
        <f>IF(S24&gt;0,(S24*$C23),0)</f>
        <v>0</v>
      </c>
      <c r="T25" s="126">
        <f t="shared" si="4"/>
        <v>0</v>
      </c>
      <c r="U25" s="20">
        <f t="shared" si="4"/>
        <v>0</v>
      </c>
      <c r="V25" s="20">
        <f t="shared" si="4"/>
        <v>0</v>
      </c>
      <c r="W25" s="20">
        <f t="shared" si="4"/>
        <v>0</v>
      </c>
      <c r="X25" s="20">
        <f t="shared" si="4"/>
        <v>0</v>
      </c>
      <c r="Y25" s="20">
        <f t="shared" si="4"/>
        <v>0</v>
      </c>
      <c r="Z25" s="20">
        <f t="shared" ref="Z25:AN25" si="5">IF(Z24&gt;0,(Z24*$C23),0)</f>
        <v>0</v>
      </c>
      <c r="AA25" s="20">
        <f t="shared" si="5"/>
        <v>0</v>
      </c>
      <c r="AB25" s="20">
        <f t="shared" si="5"/>
        <v>0</v>
      </c>
      <c r="AC25" s="20">
        <f t="shared" si="5"/>
        <v>0</v>
      </c>
      <c r="AD25" s="20">
        <f t="shared" si="5"/>
        <v>0</v>
      </c>
      <c r="AE25" s="20">
        <f t="shared" si="5"/>
        <v>0</v>
      </c>
      <c r="AF25" s="20">
        <f t="shared" si="5"/>
        <v>0</v>
      </c>
      <c r="AG25" s="20">
        <f t="shared" si="5"/>
        <v>0</v>
      </c>
      <c r="AH25" s="20">
        <f t="shared" si="5"/>
        <v>0</v>
      </c>
      <c r="AI25" s="20">
        <f t="shared" si="5"/>
        <v>0</v>
      </c>
      <c r="AJ25" s="20">
        <f t="shared" si="5"/>
        <v>0</v>
      </c>
      <c r="AK25" s="20">
        <f t="shared" si="5"/>
        <v>0</v>
      </c>
      <c r="AL25" s="20">
        <f t="shared" si="5"/>
        <v>0</v>
      </c>
      <c r="AM25" s="20">
        <f t="shared" si="5"/>
        <v>0</v>
      </c>
      <c r="AN25" s="215">
        <f t="shared" si="5"/>
        <v>0</v>
      </c>
      <c r="AO25" s="215">
        <f>IF(AO24&gt;0,(AO24*$C23),0)</f>
        <v>0</v>
      </c>
      <c r="AP25" s="22">
        <f>IF(AP24&gt;0,(AP24*$C23),0)</f>
        <v>0</v>
      </c>
    </row>
    <row r="26" spans="1:42" ht="15.75" thickBot="1">
      <c r="A26" s="131"/>
      <c r="B26" s="7"/>
      <c r="C26" s="10"/>
      <c r="D26" s="221"/>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222"/>
    </row>
    <row r="27" spans="1:42">
      <c r="A27" s="131"/>
      <c r="B27" s="4" t="s">
        <v>12</v>
      </c>
      <c r="C27" s="133" t="str">
        <f>Summary!B17</f>
        <v>A3</v>
      </c>
      <c r="D27" s="156" t="str">
        <f>Summary!C17</f>
        <v>Waste - Data Capture and Market Engagement</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6"/>
    </row>
    <row r="28" spans="1:42">
      <c r="A28" s="131"/>
      <c r="B28" s="7" t="s">
        <v>189</v>
      </c>
      <c r="C28" s="134" t="str">
        <f>'A3 Waste Data Capture'!D47</f>
        <v>A - High</v>
      </c>
      <c r="D28" s="176">
        <f>VLOOKUP(C28,'Confidence Factors'!$B$6:$D$9,3)</f>
        <v>1</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10"/>
    </row>
    <row r="29" spans="1:42">
      <c r="A29" s="131"/>
      <c r="B29" s="7" t="s">
        <v>30</v>
      </c>
      <c r="C29" s="128">
        <f>SUM(D29:AN29)</f>
        <v>63200</v>
      </c>
      <c r="D29" s="177">
        <f>(0.79*63200)*'A3 Waste Data Capture'!D75*'Calcs - Scen 1'!D28</f>
        <v>49928</v>
      </c>
      <c r="E29" s="3">
        <f>(0.21*63200)*'A3 Waste Data Capture'!D75*'Calcs - Scen 1'!D28</f>
        <v>13272</v>
      </c>
      <c r="F29" s="3">
        <v>0</v>
      </c>
      <c r="G29" s="3">
        <v>0</v>
      </c>
      <c r="H29" s="3">
        <v>0</v>
      </c>
      <c r="I29" s="3">
        <v>0</v>
      </c>
      <c r="J29" s="3">
        <v>0</v>
      </c>
      <c r="K29" s="3">
        <v>0</v>
      </c>
      <c r="L29" s="3">
        <v>0</v>
      </c>
      <c r="M29" s="3">
        <v>0</v>
      </c>
      <c r="N29" s="3">
        <v>0</v>
      </c>
      <c r="O29" s="3">
        <v>0</v>
      </c>
      <c r="P29" s="3">
        <v>0</v>
      </c>
      <c r="Q29" s="3">
        <v>0</v>
      </c>
      <c r="R29" s="3">
        <v>0</v>
      </c>
      <c r="S29" s="3">
        <v>0</v>
      </c>
      <c r="T29" s="127">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213">
        <v>0</v>
      </c>
      <c r="AO29" s="213">
        <v>0</v>
      </c>
      <c r="AP29" s="9">
        <v>0</v>
      </c>
    </row>
    <row r="30" spans="1:42">
      <c r="A30" s="131"/>
      <c r="B30" s="7" t="s">
        <v>31</v>
      </c>
      <c r="C30" s="129">
        <f>NPV($C$7,F29:AO29)+D29+E29</f>
        <v>63200</v>
      </c>
      <c r="D30" s="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10"/>
    </row>
    <row r="31" spans="1:42">
      <c r="A31" s="131"/>
      <c r="B31" s="7" t="s">
        <v>4</v>
      </c>
      <c r="C31" s="130" t="str">
        <f>IF(SUM(D31:AN31)&gt;1,"CHECK"," ")</f>
        <v xml:space="preserve"> </v>
      </c>
      <c r="D31" s="178">
        <v>0.79</v>
      </c>
      <c r="E31" s="15">
        <v>0.21</v>
      </c>
      <c r="F31" s="15"/>
      <c r="G31" s="15"/>
      <c r="H31" s="15"/>
      <c r="I31" s="15"/>
      <c r="J31" s="15"/>
      <c r="K31" s="15"/>
      <c r="L31" s="15"/>
      <c r="M31" s="15"/>
      <c r="N31" s="15"/>
      <c r="O31" s="15"/>
      <c r="P31" s="15"/>
      <c r="Q31" s="15"/>
      <c r="R31" s="15"/>
      <c r="S31" s="15"/>
      <c r="T31" s="125"/>
      <c r="U31" s="15"/>
      <c r="V31" s="15"/>
      <c r="W31" s="15"/>
      <c r="X31" s="15"/>
      <c r="Y31" s="15"/>
      <c r="Z31" s="15"/>
      <c r="AA31" s="15"/>
      <c r="AB31" s="15"/>
      <c r="AC31" s="15"/>
      <c r="AD31" s="15"/>
      <c r="AE31" s="15"/>
      <c r="AF31" s="15"/>
      <c r="AG31" s="15"/>
      <c r="AH31" s="15"/>
      <c r="AI31" s="15"/>
      <c r="AJ31" s="15"/>
      <c r="AK31" s="15"/>
      <c r="AL31" s="15"/>
      <c r="AM31" s="15"/>
      <c r="AN31" s="146"/>
      <c r="AO31" s="146"/>
      <c r="AP31" s="16"/>
    </row>
    <row r="32" spans="1:42" ht="15.75" thickBot="1">
      <c r="A32" s="131"/>
      <c r="B32" s="11" t="s">
        <v>32</v>
      </c>
      <c r="C32" s="51"/>
      <c r="D32" s="179">
        <f>IF(D31&gt;0,(D31*$C30),0)</f>
        <v>49928</v>
      </c>
      <c r="E32" s="20">
        <f t="shared" ref="E32:AN32" si="6">IF(E31&gt;0,(E31*$C30),0)</f>
        <v>13272</v>
      </c>
      <c r="F32" s="20">
        <f t="shared" si="6"/>
        <v>0</v>
      </c>
      <c r="G32" s="20">
        <f t="shared" si="6"/>
        <v>0</v>
      </c>
      <c r="H32" s="20">
        <f t="shared" si="6"/>
        <v>0</v>
      </c>
      <c r="I32" s="20">
        <f t="shared" si="6"/>
        <v>0</v>
      </c>
      <c r="J32" s="20">
        <f t="shared" si="6"/>
        <v>0</v>
      </c>
      <c r="K32" s="20">
        <f t="shared" si="6"/>
        <v>0</v>
      </c>
      <c r="L32" s="20">
        <f t="shared" si="6"/>
        <v>0</v>
      </c>
      <c r="M32" s="20">
        <f t="shared" si="6"/>
        <v>0</v>
      </c>
      <c r="N32" s="20">
        <f t="shared" si="6"/>
        <v>0</v>
      </c>
      <c r="O32" s="20">
        <f t="shared" si="6"/>
        <v>0</v>
      </c>
      <c r="P32" s="20">
        <f t="shared" si="6"/>
        <v>0</v>
      </c>
      <c r="Q32" s="20">
        <f t="shared" si="6"/>
        <v>0</v>
      </c>
      <c r="R32" s="20">
        <f t="shared" si="6"/>
        <v>0</v>
      </c>
      <c r="S32" s="20">
        <f>IF(S31&gt;0,(S31*$C30),0)</f>
        <v>0</v>
      </c>
      <c r="T32" s="126">
        <f t="shared" si="6"/>
        <v>0</v>
      </c>
      <c r="U32" s="20">
        <f t="shared" si="6"/>
        <v>0</v>
      </c>
      <c r="V32" s="20">
        <f t="shared" si="6"/>
        <v>0</v>
      </c>
      <c r="W32" s="20">
        <f t="shared" si="6"/>
        <v>0</v>
      </c>
      <c r="X32" s="20">
        <f t="shared" si="6"/>
        <v>0</v>
      </c>
      <c r="Y32" s="20">
        <f t="shared" si="6"/>
        <v>0</v>
      </c>
      <c r="Z32" s="20">
        <f t="shared" si="6"/>
        <v>0</v>
      </c>
      <c r="AA32" s="20">
        <f t="shared" si="6"/>
        <v>0</v>
      </c>
      <c r="AB32" s="20">
        <f t="shared" si="6"/>
        <v>0</v>
      </c>
      <c r="AC32" s="20">
        <f t="shared" si="6"/>
        <v>0</v>
      </c>
      <c r="AD32" s="20">
        <f t="shared" si="6"/>
        <v>0</v>
      </c>
      <c r="AE32" s="20">
        <f t="shared" si="6"/>
        <v>0</v>
      </c>
      <c r="AF32" s="20">
        <f t="shared" si="6"/>
        <v>0</v>
      </c>
      <c r="AG32" s="20">
        <f t="shared" si="6"/>
        <v>0</v>
      </c>
      <c r="AH32" s="20">
        <f t="shared" si="6"/>
        <v>0</v>
      </c>
      <c r="AI32" s="20">
        <f t="shared" si="6"/>
        <v>0</v>
      </c>
      <c r="AJ32" s="20">
        <f t="shared" si="6"/>
        <v>0</v>
      </c>
      <c r="AK32" s="20">
        <f t="shared" si="6"/>
        <v>0</v>
      </c>
      <c r="AL32" s="20">
        <f t="shared" si="6"/>
        <v>0</v>
      </c>
      <c r="AM32" s="20">
        <f t="shared" si="6"/>
        <v>0</v>
      </c>
      <c r="AN32" s="215">
        <f t="shared" si="6"/>
        <v>0</v>
      </c>
      <c r="AO32" s="215">
        <f>IF(AO31&gt;0,(AO31*$C30),0)</f>
        <v>0</v>
      </c>
      <c r="AP32" s="22">
        <f>IF(AP31&gt;0,(AP31*$C30),0)</f>
        <v>0</v>
      </c>
    </row>
    <row r="33" spans="1:42" ht="15.75" thickBot="1">
      <c r="A33" s="131"/>
      <c r="B33" s="7"/>
      <c r="C33" s="10"/>
      <c r="D33" s="221"/>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222"/>
    </row>
    <row r="34" spans="1:42">
      <c r="A34" s="131"/>
      <c r="B34" s="4" t="s">
        <v>12</v>
      </c>
      <c r="C34" s="133" t="str">
        <f>Summary!B18</f>
        <v>A4</v>
      </c>
      <c r="D34" s="156" t="str">
        <f>Summary!C18</f>
        <v>Waste - Programme Support</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6"/>
    </row>
    <row r="35" spans="1:42">
      <c r="A35" s="131"/>
      <c r="B35" s="7" t="s">
        <v>189</v>
      </c>
      <c r="C35" s="134" t="str">
        <f>'A4 Waste Prog Support'!D47</f>
        <v>A - High</v>
      </c>
      <c r="D35" s="176">
        <f>VLOOKUP(C35,'Confidence Factors'!$B$6:$D$9,3)</f>
        <v>1</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10"/>
    </row>
    <row r="36" spans="1:42">
      <c r="A36" s="131"/>
      <c r="B36" s="7" t="s">
        <v>30</v>
      </c>
      <c r="C36" s="128">
        <f>SUM(D36:AN36)</f>
        <v>150000</v>
      </c>
      <c r="D36" s="177">
        <f>50000*'A4 Waste Prog Support'!D75*'Calcs - Scen 1'!D35</f>
        <v>50000</v>
      </c>
      <c r="E36" s="454">
        <f>100000*'A4 Waste Prog Support'!D75*'Calcs - Scen 1'!D35</f>
        <v>100000</v>
      </c>
      <c r="F36" s="3">
        <v>0</v>
      </c>
      <c r="G36" s="3">
        <v>0</v>
      </c>
      <c r="H36" s="3">
        <v>0</v>
      </c>
      <c r="I36" s="3">
        <v>0</v>
      </c>
      <c r="J36" s="3">
        <v>0</v>
      </c>
      <c r="K36" s="3">
        <v>0</v>
      </c>
      <c r="L36" s="3">
        <v>0</v>
      </c>
      <c r="M36" s="3">
        <v>0</v>
      </c>
      <c r="N36" s="3">
        <v>0</v>
      </c>
      <c r="O36" s="3">
        <v>0</v>
      </c>
      <c r="P36" s="3">
        <v>0</v>
      </c>
      <c r="Q36" s="3">
        <v>0</v>
      </c>
      <c r="R36" s="3">
        <v>0</v>
      </c>
      <c r="S36" s="3">
        <v>0</v>
      </c>
      <c r="T36" s="127">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213">
        <v>0</v>
      </c>
      <c r="AO36" s="213">
        <v>0</v>
      </c>
      <c r="AP36" s="9">
        <v>0</v>
      </c>
    </row>
    <row r="37" spans="1:42">
      <c r="A37" s="131"/>
      <c r="B37" s="7" t="s">
        <v>31</v>
      </c>
      <c r="C37" s="129">
        <f>NPV($C$7,F36:AO36)+D36+E36</f>
        <v>150000</v>
      </c>
      <c r="D37" s="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10"/>
    </row>
    <row r="38" spans="1:42">
      <c r="A38" s="131"/>
      <c r="B38" s="7" t="s">
        <v>4</v>
      </c>
      <c r="C38" s="130" t="str">
        <f>IF(SUM(D38:AN38)&gt;1,"CHECK"," ")</f>
        <v xml:space="preserve"> </v>
      </c>
      <c r="D38" s="178">
        <v>0.33</v>
      </c>
      <c r="E38" s="15">
        <v>0.67</v>
      </c>
      <c r="F38" s="15"/>
      <c r="G38" s="15"/>
      <c r="H38" s="15"/>
      <c r="I38" s="15"/>
      <c r="J38" s="15"/>
      <c r="K38" s="15"/>
      <c r="L38" s="15"/>
      <c r="M38" s="15"/>
      <c r="N38" s="15"/>
      <c r="O38" s="15"/>
      <c r="P38" s="15"/>
      <c r="Q38" s="15"/>
      <c r="R38" s="15"/>
      <c r="S38" s="15"/>
      <c r="T38" s="125"/>
      <c r="U38" s="15"/>
      <c r="V38" s="15"/>
      <c r="W38" s="15"/>
      <c r="X38" s="15"/>
      <c r="Y38" s="15"/>
      <c r="Z38" s="15"/>
      <c r="AA38" s="15"/>
      <c r="AB38" s="15"/>
      <c r="AC38" s="15"/>
      <c r="AD38" s="15"/>
      <c r="AE38" s="15"/>
      <c r="AF38" s="15"/>
      <c r="AG38" s="15"/>
      <c r="AH38" s="15"/>
      <c r="AI38" s="15"/>
      <c r="AJ38" s="15"/>
      <c r="AK38" s="15"/>
      <c r="AL38" s="15"/>
      <c r="AM38" s="15"/>
      <c r="AN38" s="146"/>
      <c r="AO38" s="146"/>
      <c r="AP38" s="16"/>
    </row>
    <row r="39" spans="1:42" ht="15.75" thickBot="1">
      <c r="A39" s="131"/>
      <c r="B39" s="11" t="s">
        <v>32</v>
      </c>
      <c r="C39" s="51"/>
      <c r="D39" s="179">
        <f>IF(D38&gt;0,(D38*$C37),0)</f>
        <v>49500</v>
      </c>
      <c r="E39" s="20">
        <f t="shared" ref="E39:AN39" si="7">IF(E38&gt;0,(E38*$C37),0)</f>
        <v>100500</v>
      </c>
      <c r="F39" s="20">
        <f t="shared" si="7"/>
        <v>0</v>
      </c>
      <c r="G39" s="20">
        <f t="shared" si="7"/>
        <v>0</v>
      </c>
      <c r="H39" s="20">
        <f t="shared" si="7"/>
        <v>0</v>
      </c>
      <c r="I39" s="20">
        <f t="shared" si="7"/>
        <v>0</v>
      </c>
      <c r="J39" s="20">
        <f t="shared" si="7"/>
        <v>0</v>
      </c>
      <c r="K39" s="20">
        <f t="shared" si="7"/>
        <v>0</v>
      </c>
      <c r="L39" s="20">
        <f t="shared" si="7"/>
        <v>0</v>
      </c>
      <c r="M39" s="20">
        <f t="shared" si="7"/>
        <v>0</v>
      </c>
      <c r="N39" s="20">
        <f t="shared" si="7"/>
        <v>0</v>
      </c>
      <c r="O39" s="20">
        <f t="shared" si="7"/>
        <v>0</v>
      </c>
      <c r="P39" s="20">
        <f t="shared" si="7"/>
        <v>0</v>
      </c>
      <c r="Q39" s="20">
        <f t="shared" si="7"/>
        <v>0</v>
      </c>
      <c r="R39" s="20">
        <f t="shared" si="7"/>
        <v>0</v>
      </c>
      <c r="S39" s="20">
        <f>IF(S38&gt;0,(S38*$C37),0)</f>
        <v>0</v>
      </c>
      <c r="T39" s="126">
        <f t="shared" si="7"/>
        <v>0</v>
      </c>
      <c r="U39" s="20">
        <f t="shared" si="7"/>
        <v>0</v>
      </c>
      <c r="V39" s="20">
        <f t="shared" si="7"/>
        <v>0</v>
      </c>
      <c r="W39" s="20">
        <f t="shared" si="7"/>
        <v>0</v>
      </c>
      <c r="X39" s="20">
        <f t="shared" si="7"/>
        <v>0</v>
      </c>
      <c r="Y39" s="20">
        <f t="shared" si="7"/>
        <v>0</v>
      </c>
      <c r="Z39" s="20">
        <f t="shared" si="7"/>
        <v>0</v>
      </c>
      <c r="AA39" s="20">
        <f t="shared" si="7"/>
        <v>0</v>
      </c>
      <c r="AB39" s="20">
        <f t="shared" si="7"/>
        <v>0</v>
      </c>
      <c r="AC39" s="20">
        <f t="shared" si="7"/>
        <v>0</v>
      </c>
      <c r="AD39" s="20">
        <f t="shared" si="7"/>
        <v>0</v>
      </c>
      <c r="AE39" s="20">
        <f t="shared" si="7"/>
        <v>0</v>
      </c>
      <c r="AF39" s="20">
        <f t="shared" si="7"/>
        <v>0</v>
      </c>
      <c r="AG39" s="20">
        <f t="shared" si="7"/>
        <v>0</v>
      </c>
      <c r="AH39" s="20">
        <f t="shared" si="7"/>
        <v>0</v>
      </c>
      <c r="AI39" s="20">
        <f t="shared" si="7"/>
        <v>0</v>
      </c>
      <c r="AJ39" s="20">
        <f t="shared" si="7"/>
        <v>0</v>
      </c>
      <c r="AK39" s="20">
        <f t="shared" si="7"/>
        <v>0</v>
      </c>
      <c r="AL39" s="20">
        <f t="shared" si="7"/>
        <v>0</v>
      </c>
      <c r="AM39" s="20">
        <f t="shared" si="7"/>
        <v>0</v>
      </c>
      <c r="AN39" s="215">
        <f t="shared" si="7"/>
        <v>0</v>
      </c>
      <c r="AO39" s="215">
        <f>IF(AO38&gt;0,(AO38*$C37),0)</f>
        <v>0</v>
      </c>
      <c r="AP39" s="22">
        <f>IF(AP38&gt;0,(AP38*$C37),0)</f>
        <v>0</v>
      </c>
    </row>
    <row r="40" spans="1:42" ht="15.75" thickBot="1">
      <c r="A40" s="39"/>
      <c r="B40" s="7"/>
      <c r="C40" s="10"/>
      <c r="D40" s="221"/>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222"/>
    </row>
    <row r="41" spans="1:42">
      <c r="A41" s="39"/>
      <c r="B41" s="77" t="s">
        <v>12</v>
      </c>
      <c r="C41" s="133" t="str">
        <f>Summary!B19</f>
        <v>A5</v>
      </c>
      <c r="D41" s="156" t="str">
        <f>Summary!C19</f>
        <v>Waste - Procurement Cost Benefits - Avoided Support Costs</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6"/>
    </row>
    <row r="42" spans="1:42">
      <c r="A42" s="39"/>
      <c r="B42" s="7" t="s">
        <v>189</v>
      </c>
      <c r="C42" s="134" t="str">
        <f>'A5 Waste Proc Cost Benefits '!D47</f>
        <v>A - High</v>
      </c>
      <c r="D42" s="176">
        <f>VLOOKUP(C42,'Confidence Factors'!$B$6:$D$9,3)</f>
        <v>1</v>
      </c>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10"/>
    </row>
    <row r="43" spans="1:42">
      <c r="A43" s="39"/>
      <c r="B43" s="78" t="s">
        <v>30</v>
      </c>
      <c r="C43" s="128">
        <f>SUM(D43:AN43)</f>
        <v>594000</v>
      </c>
      <c r="D43" s="177">
        <f>162000*'A5 Waste Proc Cost Benefits '!D75*'Calcs - Scen 1'!D42</f>
        <v>162000</v>
      </c>
      <c r="E43" s="19">
        <f>432000*'A5 Waste Proc Cost Benefits '!D75*'Calcs - Scen 1'!D42</f>
        <v>432000</v>
      </c>
      <c r="F43" s="19">
        <v>0</v>
      </c>
      <c r="G43" s="19">
        <v>0</v>
      </c>
      <c r="H43" s="19">
        <v>0</v>
      </c>
      <c r="I43" s="19">
        <v>0</v>
      </c>
      <c r="J43" s="19">
        <v>0</v>
      </c>
      <c r="K43" s="19">
        <v>0</v>
      </c>
      <c r="L43" s="19">
        <v>0</v>
      </c>
      <c r="M43" s="19">
        <v>0</v>
      </c>
      <c r="N43" s="19">
        <v>0</v>
      </c>
      <c r="O43" s="19">
        <v>0</v>
      </c>
      <c r="P43" s="19">
        <v>0</v>
      </c>
      <c r="Q43" s="19">
        <v>0</v>
      </c>
      <c r="R43" s="19">
        <v>0</v>
      </c>
      <c r="S43" s="19">
        <v>0</v>
      </c>
      <c r="T43" s="124">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216">
        <v>0</v>
      </c>
      <c r="AO43" s="216">
        <v>0</v>
      </c>
      <c r="AP43" s="23">
        <v>0</v>
      </c>
    </row>
    <row r="44" spans="1:42">
      <c r="A44" s="39"/>
      <c r="B44" s="78" t="s">
        <v>31</v>
      </c>
      <c r="C44" s="129">
        <f>NPV($C$7,F43:AO43)+D43+E43</f>
        <v>594000</v>
      </c>
      <c r="D44" s="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10"/>
    </row>
    <row r="45" spans="1:42">
      <c r="A45" s="39"/>
      <c r="B45" s="78" t="s">
        <v>4</v>
      </c>
      <c r="C45" s="130" t="str">
        <f>IF(SUM(D45:AN45)&gt;1,"CHECK"," ")</f>
        <v xml:space="preserve"> </v>
      </c>
      <c r="D45" s="178">
        <v>0.33</v>
      </c>
      <c r="E45" s="15">
        <v>0.67</v>
      </c>
      <c r="F45" s="15"/>
      <c r="G45" s="15"/>
      <c r="H45" s="15"/>
      <c r="I45" s="15"/>
      <c r="J45" s="15"/>
      <c r="K45" s="15"/>
      <c r="L45" s="15"/>
      <c r="M45" s="15"/>
      <c r="N45" s="15"/>
      <c r="O45" s="15"/>
      <c r="P45" s="15"/>
      <c r="Q45" s="15"/>
      <c r="R45" s="15"/>
      <c r="S45" s="15"/>
      <c r="T45" s="125"/>
      <c r="U45" s="15"/>
      <c r="V45" s="15"/>
      <c r="W45" s="15"/>
      <c r="X45" s="15"/>
      <c r="Y45" s="15"/>
      <c r="Z45" s="15"/>
      <c r="AA45" s="15"/>
      <c r="AB45" s="15"/>
      <c r="AC45" s="15"/>
      <c r="AD45" s="15"/>
      <c r="AE45" s="15"/>
      <c r="AF45" s="15"/>
      <c r="AG45" s="15"/>
      <c r="AH45" s="15"/>
      <c r="AI45" s="15"/>
      <c r="AJ45" s="15"/>
      <c r="AK45" s="15"/>
      <c r="AL45" s="15"/>
      <c r="AM45" s="15"/>
      <c r="AN45" s="146"/>
      <c r="AO45" s="146"/>
      <c r="AP45" s="16"/>
    </row>
    <row r="46" spans="1:42" ht="15.75" thickBot="1">
      <c r="A46" s="39"/>
      <c r="B46" s="79" t="s">
        <v>32</v>
      </c>
      <c r="C46" s="51"/>
      <c r="D46" s="179">
        <f t="shared" ref="D46:AN46" si="8">IF(D45&gt;0,(D45*$C44),0)</f>
        <v>196020</v>
      </c>
      <c r="E46" s="20">
        <f t="shared" si="8"/>
        <v>397980</v>
      </c>
      <c r="F46" s="20">
        <f t="shared" si="8"/>
        <v>0</v>
      </c>
      <c r="G46" s="20">
        <f t="shared" si="8"/>
        <v>0</v>
      </c>
      <c r="H46" s="20">
        <f t="shared" si="8"/>
        <v>0</v>
      </c>
      <c r="I46" s="20">
        <f t="shared" si="8"/>
        <v>0</v>
      </c>
      <c r="J46" s="20">
        <f t="shared" si="8"/>
        <v>0</v>
      </c>
      <c r="K46" s="20">
        <f t="shared" si="8"/>
        <v>0</v>
      </c>
      <c r="L46" s="20">
        <f t="shared" si="8"/>
        <v>0</v>
      </c>
      <c r="M46" s="20">
        <f t="shared" si="8"/>
        <v>0</v>
      </c>
      <c r="N46" s="20">
        <f t="shared" si="8"/>
        <v>0</v>
      </c>
      <c r="O46" s="20">
        <f t="shared" si="8"/>
        <v>0</v>
      </c>
      <c r="P46" s="20">
        <f t="shared" si="8"/>
        <v>0</v>
      </c>
      <c r="Q46" s="20">
        <f t="shared" si="8"/>
        <v>0</v>
      </c>
      <c r="R46" s="20">
        <f t="shared" si="8"/>
        <v>0</v>
      </c>
      <c r="S46" s="20">
        <f>IF(S45&gt;0,(S45*$C44),0)</f>
        <v>0</v>
      </c>
      <c r="T46" s="126">
        <f t="shared" si="8"/>
        <v>0</v>
      </c>
      <c r="U46" s="20">
        <f t="shared" si="8"/>
        <v>0</v>
      </c>
      <c r="V46" s="20">
        <f t="shared" si="8"/>
        <v>0</v>
      </c>
      <c r="W46" s="20">
        <f t="shared" si="8"/>
        <v>0</v>
      </c>
      <c r="X46" s="20">
        <f t="shared" si="8"/>
        <v>0</v>
      </c>
      <c r="Y46" s="20">
        <f t="shared" si="8"/>
        <v>0</v>
      </c>
      <c r="Z46" s="20">
        <f t="shared" si="8"/>
        <v>0</v>
      </c>
      <c r="AA46" s="20">
        <f t="shared" si="8"/>
        <v>0</v>
      </c>
      <c r="AB46" s="20">
        <f t="shared" si="8"/>
        <v>0</v>
      </c>
      <c r="AC46" s="20">
        <f t="shared" si="8"/>
        <v>0</v>
      </c>
      <c r="AD46" s="20">
        <f t="shared" si="8"/>
        <v>0</v>
      </c>
      <c r="AE46" s="20">
        <f t="shared" si="8"/>
        <v>0</v>
      </c>
      <c r="AF46" s="20">
        <f t="shared" si="8"/>
        <v>0</v>
      </c>
      <c r="AG46" s="20">
        <f t="shared" si="8"/>
        <v>0</v>
      </c>
      <c r="AH46" s="20">
        <f t="shared" si="8"/>
        <v>0</v>
      </c>
      <c r="AI46" s="20">
        <f t="shared" si="8"/>
        <v>0</v>
      </c>
      <c r="AJ46" s="20">
        <f t="shared" si="8"/>
        <v>0</v>
      </c>
      <c r="AK46" s="20">
        <f t="shared" si="8"/>
        <v>0</v>
      </c>
      <c r="AL46" s="20">
        <f t="shared" si="8"/>
        <v>0</v>
      </c>
      <c r="AM46" s="20">
        <f t="shared" si="8"/>
        <v>0</v>
      </c>
      <c r="AN46" s="215">
        <f t="shared" si="8"/>
        <v>0</v>
      </c>
      <c r="AO46" s="215">
        <f>IF(AO45&gt;0,(AO45*$C44),0)</f>
        <v>0</v>
      </c>
      <c r="AP46" s="22">
        <f>IF(AP45&gt;0,(AP45*$C44),0)</f>
        <v>0</v>
      </c>
    </row>
    <row r="47" spans="1:42" ht="15.75" thickBot="1">
      <c r="A47" s="131"/>
      <c r="B47" s="7"/>
      <c r="C47" s="10"/>
      <c r="D47" s="221"/>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222"/>
    </row>
    <row r="48" spans="1:42">
      <c r="A48" s="39"/>
      <c r="B48" s="4" t="s">
        <v>12</v>
      </c>
      <c r="C48" s="133" t="str">
        <f>Summary!B20</f>
        <v>A6</v>
      </c>
      <c r="D48" s="156" t="str">
        <f>Summary!C20</f>
        <v>ESA 95 - Consultancy Costs Avoided</v>
      </c>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6"/>
    </row>
    <row r="49" spans="1:42">
      <c r="A49" s="39"/>
      <c r="B49" s="7" t="s">
        <v>189</v>
      </c>
      <c r="C49" s="134" t="str">
        <f>'A6 ESA95 Consult Fees'!D47</f>
        <v>A - High</v>
      </c>
      <c r="D49" s="176">
        <f>VLOOKUP(C49,'Confidence Factors'!$B$6:$D$9,3)</f>
        <v>1</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10"/>
    </row>
    <row r="50" spans="1:42">
      <c r="A50" s="39"/>
      <c r="B50" s="7" t="s">
        <v>30</v>
      </c>
      <c r="C50" s="128">
        <f>SUM(D50:AN50)</f>
        <v>53249.774752499994</v>
      </c>
      <c r="D50" s="177">
        <f>(('A6 ESA95 Consult Fees'!D70)*0.4507)*'A6 ESA95 Consult Fees'!D75*'Calcs - Scen 1'!D49</f>
        <v>23999.774999999998</v>
      </c>
      <c r="E50" s="454">
        <f>(('A6 ESA95 Consult Fees'!D70)*0.54929577)*'A6 ESA95 Consult Fees'!D75*'Calcs - Scen 1'!D49</f>
        <v>29249.999752499996</v>
      </c>
      <c r="F50" s="3">
        <v>0</v>
      </c>
      <c r="G50" s="3">
        <v>0</v>
      </c>
      <c r="H50" s="3">
        <v>0</v>
      </c>
      <c r="I50" s="3">
        <v>0</v>
      </c>
      <c r="J50" s="3">
        <v>0</v>
      </c>
      <c r="K50" s="3">
        <v>0</v>
      </c>
      <c r="L50" s="3">
        <v>0</v>
      </c>
      <c r="M50" s="3">
        <v>0</v>
      </c>
      <c r="N50" s="3">
        <v>0</v>
      </c>
      <c r="O50" s="3">
        <v>0</v>
      </c>
      <c r="P50" s="3">
        <v>0</v>
      </c>
      <c r="Q50" s="3">
        <v>0</v>
      </c>
      <c r="R50" s="3">
        <v>0</v>
      </c>
      <c r="S50" s="3">
        <v>0</v>
      </c>
      <c r="T50" s="127">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213">
        <v>0</v>
      </c>
      <c r="AO50" s="213">
        <v>0</v>
      </c>
      <c r="AP50" s="9">
        <v>0</v>
      </c>
    </row>
    <row r="51" spans="1:42">
      <c r="A51" s="39"/>
      <c r="B51" s="7" t="s">
        <v>31</v>
      </c>
      <c r="C51" s="129">
        <f>NPV($C$7,F50:AO50)+D50+E50</f>
        <v>53249.774752499994</v>
      </c>
      <c r="D51" s="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10"/>
    </row>
    <row r="52" spans="1:42">
      <c r="A52" s="39"/>
      <c r="B52" s="7" t="s">
        <v>4</v>
      </c>
      <c r="C52" s="130" t="str">
        <f>IF(SUM(D52:AN52)&gt;1,"CHECK"," ")</f>
        <v xml:space="preserve"> </v>
      </c>
      <c r="D52" s="178">
        <v>0.45</v>
      </c>
      <c r="E52" s="15">
        <v>0.55000000000000004</v>
      </c>
      <c r="F52" s="15"/>
      <c r="G52" s="15"/>
      <c r="H52" s="15"/>
      <c r="I52" s="15"/>
      <c r="J52" s="15"/>
      <c r="K52" s="15"/>
      <c r="L52" s="15"/>
      <c r="M52" s="15"/>
      <c r="N52" s="15"/>
      <c r="O52" s="15"/>
      <c r="P52" s="15"/>
      <c r="Q52" s="15"/>
      <c r="R52" s="15"/>
      <c r="S52" s="15"/>
      <c r="T52" s="125"/>
      <c r="U52" s="15"/>
      <c r="V52" s="15"/>
      <c r="W52" s="15"/>
      <c r="X52" s="15"/>
      <c r="Y52" s="15"/>
      <c r="Z52" s="15"/>
      <c r="AA52" s="15"/>
      <c r="AB52" s="15"/>
      <c r="AC52" s="15"/>
      <c r="AD52" s="15"/>
      <c r="AE52" s="15"/>
      <c r="AF52" s="15"/>
      <c r="AG52" s="15"/>
      <c r="AH52" s="15"/>
      <c r="AI52" s="15"/>
      <c r="AJ52" s="15"/>
      <c r="AK52" s="15"/>
      <c r="AL52" s="15"/>
      <c r="AM52" s="15"/>
      <c r="AN52" s="146"/>
      <c r="AO52" s="146"/>
      <c r="AP52" s="16"/>
    </row>
    <row r="53" spans="1:42" ht="15.75" thickBot="1">
      <c r="A53" s="39"/>
      <c r="B53" s="11" t="s">
        <v>32</v>
      </c>
      <c r="C53" s="51"/>
      <c r="D53" s="179">
        <f>IF(D52&gt;0,(D52*$C51),0)</f>
        <v>23962.398638624996</v>
      </c>
      <c r="E53" s="20">
        <f t="shared" ref="E53:AN53" si="9">IF(E52&gt;0,(E52*$C51),0)</f>
        <v>29287.376113874998</v>
      </c>
      <c r="F53" s="20">
        <f t="shared" si="9"/>
        <v>0</v>
      </c>
      <c r="G53" s="20">
        <f t="shared" si="9"/>
        <v>0</v>
      </c>
      <c r="H53" s="20">
        <f t="shared" si="9"/>
        <v>0</v>
      </c>
      <c r="I53" s="20">
        <f t="shared" si="9"/>
        <v>0</v>
      </c>
      <c r="J53" s="20">
        <f t="shared" si="9"/>
        <v>0</v>
      </c>
      <c r="K53" s="20">
        <f t="shared" si="9"/>
        <v>0</v>
      </c>
      <c r="L53" s="20">
        <f t="shared" si="9"/>
        <v>0</v>
      </c>
      <c r="M53" s="20">
        <f t="shared" si="9"/>
        <v>0</v>
      </c>
      <c r="N53" s="20">
        <f t="shared" si="9"/>
        <v>0</v>
      </c>
      <c r="O53" s="20">
        <f t="shared" si="9"/>
        <v>0</v>
      </c>
      <c r="P53" s="20">
        <f t="shared" si="9"/>
        <v>0</v>
      </c>
      <c r="Q53" s="20">
        <f t="shared" si="9"/>
        <v>0</v>
      </c>
      <c r="R53" s="20">
        <f t="shared" si="9"/>
        <v>0</v>
      </c>
      <c r="S53" s="20">
        <f>IF(S52&gt;0,(S52*$C51),0)</f>
        <v>0</v>
      </c>
      <c r="T53" s="126">
        <f t="shared" si="9"/>
        <v>0</v>
      </c>
      <c r="U53" s="20">
        <f t="shared" si="9"/>
        <v>0</v>
      </c>
      <c r="V53" s="20">
        <f t="shared" si="9"/>
        <v>0</v>
      </c>
      <c r="W53" s="20">
        <f t="shared" si="9"/>
        <v>0</v>
      </c>
      <c r="X53" s="20">
        <f t="shared" si="9"/>
        <v>0</v>
      </c>
      <c r="Y53" s="20">
        <f t="shared" si="9"/>
        <v>0</v>
      </c>
      <c r="Z53" s="20">
        <f t="shared" si="9"/>
        <v>0</v>
      </c>
      <c r="AA53" s="20">
        <f t="shared" si="9"/>
        <v>0</v>
      </c>
      <c r="AB53" s="20">
        <f t="shared" si="9"/>
        <v>0</v>
      </c>
      <c r="AC53" s="20">
        <f t="shared" si="9"/>
        <v>0</v>
      </c>
      <c r="AD53" s="20">
        <f t="shared" si="9"/>
        <v>0</v>
      </c>
      <c r="AE53" s="20">
        <f t="shared" si="9"/>
        <v>0</v>
      </c>
      <c r="AF53" s="20">
        <f t="shared" si="9"/>
        <v>0</v>
      </c>
      <c r="AG53" s="20">
        <f t="shared" si="9"/>
        <v>0</v>
      </c>
      <c r="AH53" s="20">
        <f t="shared" si="9"/>
        <v>0</v>
      </c>
      <c r="AI53" s="20">
        <f t="shared" si="9"/>
        <v>0</v>
      </c>
      <c r="AJ53" s="20">
        <f t="shared" si="9"/>
        <v>0</v>
      </c>
      <c r="AK53" s="20">
        <f t="shared" si="9"/>
        <v>0</v>
      </c>
      <c r="AL53" s="20">
        <f t="shared" si="9"/>
        <v>0</v>
      </c>
      <c r="AM53" s="20">
        <f t="shared" si="9"/>
        <v>0</v>
      </c>
      <c r="AN53" s="215">
        <f t="shared" si="9"/>
        <v>0</v>
      </c>
      <c r="AO53" s="215">
        <f>IF(AO52&gt;0,(AO52*$C51),0)</f>
        <v>0</v>
      </c>
      <c r="AP53" s="22">
        <f>IF(AP52&gt;0,(AP52*$C51),0)</f>
        <v>0</v>
      </c>
    </row>
    <row r="54" spans="1:42" ht="15.75" thickBot="1">
      <c r="A54" s="39"/>
      <c r="B54" s="7"/>
      <c r="C54" s="10"/>
      <c r="D54" s="221"/>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222"/>
    </row>
    <row r="55" spans="1:42">
      <c r="A55" s="39"/>
      <c r="B55" s="4" t="s">
        <v>12</v>
      </c>
      <c r="C55" s="133" t="str">
        <f>Summary!B21</f>
        <v>A7</v>
      </c>
      <c r="D55" s="156" t="str">
        <f>Summary!C21</f>
        <v>TIF - Consultancy Costs Avoided</v>
      </c>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6"/>
    </row>
    <row r="56" spans="1:42">
      <c r="A56" s="39"/>
      <c r="B56" s="7" t="s">
        <v>189</v>
      </c>
      <c r="C56" s="134" t="str">
        <f>'A7 TIF Consult Fees'!D47</f>
        <v>A - High</v>
      </c>
      <c r="D56" s="176">
        <f>VLOOKUP(C56,'Confidence Factors'!$B$6:$D$9,3)</f>
        <v>1</v>
      </c>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10"/>
    </row>
    <row r="57" spans="1:42">
      <c r="A57" s="39"/>
      <c r="B57" s="7" t="s">
        <v>30</v>
      </c>
      <c r="C57" s="128">
        <f>SUM(D57:AN57)</f>
        <v>174469</v>
      </c>
      <c r="D57" s="177">
        <f>47344*'A7 TIF Consult Fees'!D75*'Calcs - Scen 1'!D56</f>
        <v>47344</v>
      </c>
      <c r="E57" s="177">
        <f>('A7 TIF Consult Fees'!D70*'A7 TIF Consult Fees'!D75*'Calcs - Scen 1'!D56)-D57</f>
        <v>127125</v>
      </c>
      <c r="F57" s="3">
        <v>0</v>
      </c>
      <c r="G57" s="3">
        <v>0</v>
      </c>
      <c r="H57" s="3">
        <v>0</v>
      </c>
      <c r="I57" s="3">
        <v>0</v>
      </c>
      <c r="J57" s="3">
        <v>0</v>
      </c>
      <c r="K57" s="3">
        <v>0</v>
      </c>
      <c r="L57" s="3">
        <v>0</v>
      </c>
      <c r="M57" s="3">
        <v>0</v>
      </c>
      <c r="N57" s="3">
        <v>0</v>
      </c>
      <c r="O57" s="3">
        <v>0</v>
      </c>
      <c r="P57" s="3">
        <v>0</v>
      </c>
      <c r="Q57" s="3">
        <v>0</v>
      </c>
      <c r="R57" s="3">
        <v>0</v>
      </c>
      <c r="S57" s="3">
        <v>0</v>
      </c>
      <c r="T57" s="127">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213">
        <v>0</v>
      </c>
      <c r="AO57" s="213">
        <v>0</v>
      </c>
      <c r="AP57" s="9">
        <v>0</v>
      </c>
    </row>
    <row r="58" spans="1:42">
      <c r="A58" s="39"/>
      <c r="B58" s="7" t="s">
        <v>31</v>
      </c>
      <c r="C58" s="129">
        <f>NPV($C$7,F57:AO57)+D57+E57</f>
        <v>174469</v>
      </c>
      <c r="D58" s="7"/>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10"/>
    </row>
    <row r="59" spans="1:42">
      <c r="A59" s="39"/>
      <c r="B59" s="7" t="s">
        <v>4</v>
      </c>
      <c r="C59" s="130" t="str">
        <f>IF(SUM(D59:AN59)&gt;1,"CHECK"," ")</f>
        <v xml:space="preserve"> </v>
      </c>
      <c r="D59" s="178">
        <v>0.28000000000000003</v>
      </c>
      <c r="E59" s="15">
        <v>0.72</v>
      </c>
      <c r="F59" s="15"/>
      <c r="G59" s="15"/>
      <c r="H59" s="15"/>
      <c r="I59" s="15"/>
      <c r="J59" s="15"/>
      <c r="K59" s="15"/>
      <c r="L59" s="15"/>
      <c r="M59" s="15"/>
      <c r="N59" s="15"/>
      <c r="O59" s="15"/>
      <c r="P59" s="15"/>
      <c r="Q59" s="15"/>
      <c r="R59" s="15"/>
      <c r="S59" s="15"/>
      <c r="T59" s="125"/>
      <c r="U59" s="15"/>
      <c r="V59" s="15"/>
      <c r="W59" s="15"/>
      <c r="X59" s="15"/>
      <c r="Y59" s="15"/>
      <c r="Z59" s="15"/>
      <c r="AA59" s="15"/>
      <c r="AB59" s="15"/>
      <c r="AC59" s="15"/>
      <c r="AD59" s="15"/>
      <c r="AE59" s="15"/>
      <c r="AF59" s="15"/>
      <c r="AG59" s="15"/>
      <c r="AH59" s="15"/>
      <c r="AI59" s="15"/>
      <c r="AJ59" s="15"/>
      <c r="AK59" s="15"/>
      <c r="AL59" s="15"/>
      <c r="AM59" s="15"/>
      <c r="AN59" s="146"/>
      <c r="AO59" s="146"/>
      <c r="AP59" s="16"/>
    </row>
    <row r="60" spans="1:42" ht="15.75" thickBot="1">
      <c r="A60" s="39"/>
      <c r="B60" s="11" t="s">
        <v>32</v>
      </c>
      <c r="C60" s="51"/>
      <c r="D60" s="179">
        <f>IF(D59&gt;0,(D59*$C58),0)</f>
        <v>48851.320000000007</v>
      </c>
      <c r="E60" s="20">
        <f t="shared" ref="E60:AN60" si="10">IF(E59&gt;0,(E59*$C58),0)</f>
        <v>125617.68</v>
      </c>
      <c r="F60" s="20">
        <f t="shared" si="10"/>
        <v>0</v>
      </c>
      <c r="G60" s="20">
        <f t="shared" si="10"/>
        <v>0</v>
      </c>
      <c r="H60" s="20">
        <f t="shared" si="10"/>
        <v>0</v>
      </c>
      <c r="I60" s="20">
        <f t="shared" si="10"/>
        <v>0</v>
      </c>
      <c r="J60" s="20">
        <f t="shared" si="10"/>
        <v>0</v>
      </c>
      <c r="K60" s="20">
        <f t="shared" si="10"/>
        <v>0</v>
      </c>
      <c r="L60" s="20">
        <f t="shared" si="10"/>
        <v>0</v>
      </c>
      <c r="M60" s="20">
        <f t="shared" si="10"/>
        <v>0</v>
      </c>
      <c r="N60" s="20">
        <f t="shared" si="10"/>
        <v>0</v>
      </c>
      <c r="O60" s="20">
        <f t="shared" si="10"/>
        <v>0</v>
      </c>
      <c r="P60" s="20">
        <f t="shared" si="10"/>
        <v>0</v>
      </c>
      <c r="Q60" s="20">
        <f t="shared" si="10"/>
        <v>0</v>
      </c>
      <c r="R60" s="20">
        <f t="shared" si="10"/>
        <v>0</v>
      </c>
      <c r="S60" s="20">
        <f>IF(S59&gt;0,(S59*$C58),0)</f>
        <v>0</v>
      </c>
      <c r="T60" s="126">
        <f t="shared" si="10"/>
        <v>0</v>
      </c>
      <c r="U60" s="20">
        <f t="shared" si="10"/>
        <v>0</v>
      </c>
      <c r="V60" s="20">
        <f t="shared" si="10"/>
        <v>0</v>
      </c>
      <c r="W60" s="20">
        <f t="shared" si="10"/>
        <v>0</v>
      </c>
      <c r="X60" s="20">
        <f t="shared" si="10"/>
        <v>0</v>
      </c>
      <c r="Y60" s="20">
        <f t="shared" si="10"/>
        <v>0</v>
      </c>
      <c r="Z60" s="20">
        <f t="shared" si="10"/>
        <v>0</v>
      </c>
      <c r="AA60" s="20">
        <f t="shared" si="10"/>
        <v>0</v>
      </c>
      <c r="AB60" s="20">
        <f t="shared" si="10"/>
        <v>0</v>
      </c>
      <c r="AC60" s="20">
        <f t="shared" si="10"/>
        <v>0</v>
      </c>
      <c r="AD60" s="20">
        <f t="shared" si="10"/>
        <v>0</v>
      </c>
      <c r="AE60" s="20">
        <f t="shared" si="10"/>
        <v>0</v>
      </c>
      <c r="AF60" s="20">
        <f t="shared" si="10"/>
        <v>0</v>
      </c>
      <c r="AG60" s="20">
        <f t="shared" si="10"/>
        <v>0</v>
      </c>
      <c r="AH60" s="20">
        <f t="shared" si="10"/>
        <v>0</v>
      </c>
      <c r="AI60" s="20">
        <f t="shared" si="10"/>
        <v>0</v>
      </c>
      <c r="AJ60" s="20">
        <f t="shared" si="10"/>
        <v>0</v>
      </c>
      <c r="AK60" s="20">
        <f t="shared" si="10"/>
        <v>0</v>
      </c>
      <c r="AL60" s="20">
        <f t="shared" si="10"/>
        <v>0</v>
      </c>
      <c r="AM60" s="20">
        <f t="shared" si="10"/>
        <v>0</v>
      </c>
      <c r="AN60" s="215">
        <f t="shared" si="10"/>
        <v>0</v>
      </c>
      <c r="AO60" s="215">
        <f>IF(AO59&gt;0,(AO59*$C58),0)</f>
        <v>0</v>
      </c>
      <c r="AP60" s="22">
        <f>IF(AP59&gt;0,(AP59*$C58),0)</f>
        <v>0</v>
      </c>
    </row>
    <row r="61" spans="1:42" ht="15.75" thickBot="1">
      <c r="A61" s="39"/>
      <c r="B61" s="7"/>
      <c r="C61" s="10"/>
      <c r="D61" s="221"/>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222"/>
    </row>
    <row r="62" spans="1:42">
      <c r="A62" s="39"/>
      <c r="B62" s="4" t="s">
        <v>12</v>
      </c>
      <c r="C62" s="133" t="str">
        <f>Summary!B22</f>
        <v>A8</v>
      </c>
      <c r="D62" s="156" t="str">
        <f>Summary!C22</f>
        <v>NHT - Consultancy Costs Avoided</v>
      </c>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6"/>
    </row>
    <row r="63" spans="1:42">
      <c r="A63" s="39"/>
      <c r="B63" s="7" t="s">
        <v>189</v>
      </c>
      <c r="C63" s="134" t="str">
        <f>'A8 NHT Consult Fees'!D47</f>
        <v>A - High</v>
      </c>
      <c r="D63" s="176">
        <f>VLOOKUP(C63,'Confidence Factors'!$B$6:$D$9,3)</f>
        <v>1</v>
      </c>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10"/>
    </row>
    <row r="64" spans="1:42">
      <c r="A64" s="39"/>
      <c r="B64" s="7" t="s">
        <v>30</v>
      </c>
      <c r="C64" s="128">
        <f>SUM(D64:AN64)</f>
        <v>851400</v>
      </c>
      <c r="D64" s="177">
        <f>378600*'A8 NHT Consult Fees'!D75*'Calcs - Scen 1'!D63</f>
        <v>378600</v>
      </c>
      <c r="E64" s="3">
        <f>472800*'A8 NHT Consult Fees'!D75*'Calcs - Scen 1'!D63</f>
        <v>472800</v>
      </c>
      <c r="F64" s="3">
        <v>0</v>
      </c>
      <c r="G64" s="3">
        <v>0</v>
      </c>
      <c r="H64" s="3">
        <v>0</v>
      </c>
      <c r="I64" s="3">
        <v>0</v>
      </c>
      <c r="J64" s="3">
        <v>0</v>
      </c>
      <c r="K64" s="3">
        <v>0</v>
      </c>
      <c r="L64" s="3">
        <v>0</v>
      </c>
      <c r="M64" s="3">
        <v>0</v>
      </c>
      <c r="N64" s="3">
        <v>0</v>
      </c>
      <c r="O64" s="3">
        <v>0</v>
      </c>
      <c r="P64" s="3">
        <v>0</v>
      </c>
      <c r="Q64" s="3">
        <v>0</v>
      </c>
      <c r="R64" s="3">
        <v>0</v>
      </c>
      <c r="S64" s="3">
        <v>0</v>
      </c>
      <c r="T64" s="127">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213">
        <v>0</v>
      </c>
      <c r="AO64" s="213">
        <v>0</v>
      </c>
      <c r="AP64" s="9">
        <v>0</v>
      </c>
    </row>
    <row r="65" spans="1:42">
      <c r="A65" s="39"/>
      <c r="B65" s="7" t="s">
        <v>31</v>
      </c>
      <c r="C65" s="129">
        <f>NPV($C$7,F64:AO64)+D64+E64</f>
        <v>851400</v>
      </c>
      <c r="D65" s="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10"/>
    </row>
    <row r="66" spans="1:42">
      <c r="A66" s="39"/>
      <c r="B66" s="7" t="s">
        <v>4</v>
      </c>
      <c r="C66" s="130" t="str">
        <f>IF(SUM(D66:AN66)&gt;1,"CHECK"," ")</f>
        <v xml:space="preserve"> </v>
      </c>
      <c r="D66" s="178">
        <v>0.44</v>
      </c>
      <c r="E66" s="15">
        <v>0.56000000000000005</v>
      </c>
      <c r="F66" s="15"/>
      <c r="G66" s="15"/>
      <c r="H66" s="15"/>
      <c r="I66" s="15"/>
      <c r="J66" s="15"/>
      <c r="K66" s="15"/>
      <c r="L66" s="15"/>
      <c r="M66" s="15"/>
      <c r="N66" s="15"/>
      <c r="O66" s="15"/>
      <c r="P66" s="15"/>
      <c r="Q66" s="15"/>
      <c r="R66" s="15"/>
      <c r="S66" s="15"/>
      <c r="T66" s="125"/>
      <c r="U66" s="15"/>
      <c r="V66" s="15"/>
      <c r="W66" s="15"/>
      <c r="X66" s="15"/>
      <c r="Y66" s="15"/>
      <c r="Z66" s="15"/>
      <c r="AA66" s="15"/>
      <c r="AB66" s="15"/>
      <c r="AC66" s="15"/>
      <c r="AD66" s="15"/>
      <c r="AE66" s="15"/>
      <c r="AF66" s="15"/>
      <c r="AG66" s="15"/>
      <c r="AH66" s="15"/>
      <c r="AI66" s="15"/>
      <c r="AJ66" s="15"/>
      <c r="AK66" s="15"/>
      <c r="AL66" s="15"/>
      <c r="AM66" s="15"/>
      <c r="AN66" s="146"/>
      <c r="AO66" s="146"/>
      <c r="AP66" s="16"/>
    </row>
    <row r="67" spans="1:42" ht="15.75" thickBot="1">
      <c r="A67" s="39"/>
      <c r="B67" s="11" t="s">
        <v>32</v>
      </c>
      <c r="C67" s="51"/>
      <c r="D67" s="179">
        <f>IF(D66&gt;0,(D66*$C65),0)</f>
        <v>374616</v>
      </c>
      <c r="E67" s="20">
        <f t="shared" ref="E67:AN67" si="11">IF(E66&gt;0,(E66*$C65),0)</f>
        <v>476784.00000000006</v>
      </c>
      <c r="F67" s="20">
        <f t="shared" si="11"/>
        <v>0</v>
      </c>
      <c r="G67" s="20">
        <f t="shared" si="11"/>
        <v>0</v>
      </c>
      <c r="H67" s="20">
        <f t="shared" si="11"/>
        <v>0</v>
      </c>
      <c r="I67" s="20">
        <f t="shared" si="11"/>
        <v>0</v>
      </c>
      <c r="J67" s="20">
        <f t="shared" si="11"/>
        <v>0</v>
      </c>
      <c r="K67" s="20">
        <f t="shared" si="11"/>
        <v>0</v>
      </c>
      <c r="L67" s="20">
        <f t="shared" si="11"/>
        <v>0</v>
      </c>
      <c r="M67" s="20">
        <f t="shared" si="11"/>
        <v>0</v>
      </c>
      <c r="N67" s="20">
        <f t="shared" si="11"/>
        <v>0</v>
      </c>
      <c r="O67" s="20">
        <f t="shared" si="11"/>
        <v>0</v>
      </c>
      <c r="P67" s="20">
        <f t="shared" si="11"/>
        <v>0</v>
      </c>
      <c r="Q67" s="20">
        <f t="shared" si="11"/>
        <v>0</v>
      </c>
      <c r="R67" s="20">
        <f t="shared" si="11"/>
        <v>0</v>
      </c>
      <c r="S67" s="20">
        <f>IF(S66&gt;0,(S66*$C65),0)</f>
        <v>0</v>
      </c>
      <c r="T67" s="126">
        <f t="shared" si="11"/>
        <v>0</v>
      </c>
      <c r="U67" s="20">
        <f t="shared" si="11"/>
        <v>0</v>
      </c>
      <c r="V67" s="20">
        <f t="shared" si="11"/>
        <v>0</v>
      </c>
      <c r="W67" s="20">
        <f t="shared" si="11"/>
        <v>0</v>
      </c>
      <c r="X67" s="20">
        <f t="shared" si="11"/>
        <v>0</v>
      </c>
      <c r="Y67" s="20">
        <f t="shared" si="11"/>
        <v>0</v>
      </c>
      <c r="Z67" s="20">
        <f t="shared" si="11"/>
        <v>0</v>
      </c>
      <c r="AA67" s="20">
        <f t="shared" si="11"/>
        <v>0</v>
      </c>
      <c r="AB67" s="20">
        <f t="shared" si="11"/>
        <v>0</v>
      </c>
      <c r="AC67" s="20">
        <f t="shared" si="11"/>
        <v>0</v>
      </c>
      <c r="AD67" s="20">
        <f t="shared" si="11"/>
        <v>0</v>
      </c>
      <c r="AE67" s="20">
        <f t="shared" si="11"/>
        <v>0</v>
      </c>
      <c r="AF67" s="20">
        <f t="shared" si="11"/>
        <v>0</v>
      </c>
      <c r="AG67" s="20">
        <f t="shared" si="11"/>
        <v>0</v>
      </c>
      <c r="AH67" s="20">
        <f t="shared" si="11"/>
        <v>0</v>
      </c>
      <c r="AI67" s="20">
        <f t="shared" si="11"/>
        <v>0</v>
      </c>
      <c r="AJ67" s="20">
        <f t="shared" si="11"/>
        <v>0</v>
      </c>
      <c r="AK67" s="20">
        <f t="shared" si="11"/>
        <v>0</v>
      </c>
      <c r="AL67" s="20">
        <f t="shared" si="11"/>
        <v>0</v>
      </c>
      <c r="AM67" s="20">
        <f t="shared" si="11"/>
        <v>0</v>
      </c>
      <c r="AN67" s="215">
        <f t="shared" si="11"/>
        <v>0</v>
      </c>
      <c r="AO67" s="215">
        <f>IF(AO66&gt;0,(AO66*$C65),0)</f>
        <v>0</v>
      </c>
      <c r="AP67" s="22">
        <f>IF(AP66&gt;0,(AP66*$C65),0)</f>
        <v>0</v>
      </c>
    </row>
    <row r="68" spans="1:42" ht="15.75" thickBot="1">
      <c r="A68" s="39"/>
      <c r="B68" s="7"/>
      <c r="C68" s="10"/>
      <c r="D68" s="463"/>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5"/>
    </row>
    <row r="69" spans="1:42">
      <c r="A69" s="39"/>
      <c r="B69" s="4" t="s">
        <v>12</v>
      </c>
      <c r="C69" s="466" t="str">
        <f>Summary!B23</f>
        <v>A9</v>
      </c>
      <c r="D69" s="156" t="str">
        <f>Summary!C23</f>
        <v>URC - Consultancy Costs Avoided</v>
      </c>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6"/>
    </row>
    <row r="70" spans="1:42">
      <c r="A70" s="39"/>
      <c r="B70" s="7" t="s">
        <v>189</v>
      </c>
      <c r="C70" s="134" t="str">
        <f>'A9 URC Consult Fees'!D47</f>
        <v>A - High</v>
      </c>
      <c r="D70" s="176">
        <f>VLOOKUP(C70,'Confidence Factors'!$B$6:$D$9,3)</f>
        <v>1</v>
      </c>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10"/>
    </row>
    <row r="71" spans="1:42">
      <c r="A71" s="39"/>
      <c r="B71" s="7" t="s">
        <v>30</v>
      </c>
      <c r="C71" s="128">
        <f>SUM(D71:AN71)</f>
        <v>16200</v>
      </c>
      <c r="D71" s="177">
        <v>0</v>
      </c>
      <c r="E71" s="454">
        <f>'A9 URC Consult Fees'!D70*'A9 URC Consult Fees'!D75*'Calcs - Scen 1'!D70</f>
        <v>16200</v>
      </c>
      <c r="F71" s="3">
        <v>0</v>
      </c>
      <c r="G71" s="3">
        <v>0</v>
      </c>
      <c r="H71" s="3">
        <v>0</v>
      </c>
      <c r="I71" s="3">
        <v>0</v>
      </c>
      <c r="J71" s="3">
        <v>0</v>
      </c>
      <c r="K71" s="3">
        <v>0</v>
      </c>
      <c r="L71" s="3">
        <v>0</v>
      </c>
      <c r="M71" s="3">
        <v>0</v>
      </c>
      <c r="N71" s="3">
        <v>0</v>
      </c>
      <c r="O71" s="3">
        <v>0</v>
      </c>
      <c r="P71" s="3">
        <v>0</v>
      </c>
      <c r="Q71" s="3">
        <v>0</v>
      </c>
      <c r="R71" s="3">
        <v>0</v>
      </c>
      <c r="S71" s="3">
        <v>0</v>
      </c>
      <c r="T71" s="127">
        <v>0</v>
      </c>
      <c r="U71" s="3">
        <v>0</v>
      </c>
      <c r="V71" s="3">
        <v>0</v>
      </c>
      <c r="W71" s="3">
        <v>0</v>
      </c>
      <c r="X71" s="3">
        <v>0</v>
      </c>
      <c r="Y71" s="3">
        <v>0</v>
      </c>
      <c r="Z71" s="3">
        <v>0</v>
      </c>
      <c r="AA71" s="3">
        <v>0</v>
      </c>
      <c r="AB71" s="3">
        <v>0</v>
      </c>
      <c r="AC71" s="3">
        <v>0</v>
      </c>
      <c r="AD71" s="3">
        <v>0</v>
      </c>
      <c r="AE71" s="3">
        <v>0</v>
      </c>
      <c r="AF71" s="3">
        <v>0</v>
      </c>
      <c r="AG71" s="3">
        <v>0</v>
      </c>
      <c r="AH71" s="3">
        <v>0</v>
      </c>
      <c r="AI71" s="3">
        <v>0</v>
      </c>
      <c r="AJ71" s="3">
        <v>0</v>
      </c>
      <c r="AK71" s="3">
        <v>0</v>
      </c>
      <c r="AL71" s="3">
        <v>0</v>
      </c>
      <c r="AM71" s="3">
        <v>0</v>
      </c>
      <c r="AN71" s="213">
        <v>0</v>
      </c>
      <c r="AO71" s="213">
        <v>0</v>
      </c>
      <c r="AP71" s="9">
        <v>0</v>
      </c>
    </row>
    <row r="72" spans="1:42">
      <c r="A72" s="39"/>
      <c r="B72" s="7" t="s">
        <v>31</v>
      </c>
      <c r="C72" s="129">
        <f>NPV($C$7,F71:AO71)+D71+E71</f>
        <v>16200</v>
      </c>
      <c r="D72" s="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10"/>
    </row>
    <row r="73" spans="1:42">
      <c r="A73" s="39"/>
      <c r="B73" s="7" t="s">
        <v>4</v>
      </c>
      <c r="C73" s="130" t="str">
        <f>IF(SUM(D73:AN73)&gt;1,"CHECK"," ")</f>
        <v xml:space="preserve"> </v>
      </c>
      <c r="D73" s="178">
        <v>0</v>
      </c>
      <c r="E73" s="15">
        <v>1</v>
      </c>
      <c r="F73" s="15"/>
      <c r="G73" s="15"/>
      <c r="H73" s="15"/>
      <c r="I73" s="15"/>
      <c r="J73" s="15"/>
      <c r="K73" s="15"/>
      <c r="L73" s="15"/>
      <c r="M73" s="15"/>
      <c r="N73" s="15"/>
      <c r="O73" s="15"/>
      <c r="P73" s="15"/>
      <c r="Q73" s="15"/>
      <c r="R73" s="15"/>
      <c r="S73" s="15"/>
      <c r="T73" s="125"/>
      <c r="U73" s="15"/>
      <c r="V73" s="15"/>
      <c r="W73" s="15"/>
      <c r="X73" s="15"/>
      <c r="Y73" s="15"/>
      <c r="Z73" s="15"/>
      <c r="AA73" s="15"/>
      <c r="AB73" s="15"/>
      <c r="AC73" s="15"/>
      <c r="AD73" s="15"/>
      <c r="AE73" s="15"/>
      <c r="AF73" s="15"/>
      <c r="AG73" s="15"/>
      <c r="AH73" s="15"/>
      <c r="AI73" s="15"/>
      <c r="AJ73" s="15"/>
      <c r="AK73" s="15"/>
      <c r="AL73" s="15"/>
      <c r="AM73" s="15"/>
      <c r="AN73" s="146"/>
      <c r="AO73" s="146"/>
      <c r="AP73" s="16"/>
    </row>
    <row r="74" spans="1:42" ht="15.75" thickBot="1">
      <c r="A74" s="39"/>
      <c r="B74" s="11" t="s">
        <v>32</v>
      </c>
      <c r="C74" s="51"/>
      <c r="D74" s="179">
        <f>IF(D73&gt;0,(D73*$C72),0)</f>
        <v>0</v>
      </c>
      <c r="E74" s="20">
        <f t="shared" ref="E74:R74" si="12">IF(E73&gt;0,(E73*$C72),0)</f>
        <v>16200</v>
      </c>
      <c r="F74" s="20">
        <f t="shared" si="12"/>
        <v>0</v>
      </c>
      <c r="G74" s="20">
        <f t="shared" si="12"/>
        <v>0</v>
      </c>
      <c r="H74" s="20">
        <f t="shared" si="12"/>
        <v>0</v>
      </c>
      <c r="I74" s="20">
        <f t="shared" si="12"/>
        <v>0</v>
      </c>
      <c r="J74" s="20">
        <f t="shared" si="12"/>
        <v>0</v>
      </c>
      <c r="K74" s="20">
        <f t="shared" si="12"/>
        <v>0</v>
      </c>
      <c r="L74" s="20">
        <f t="shared" si="12"/>
        <v>0</v>
      </c>
      <c r="M74" s="20">
        <f t="shared" si="12"/>
        <v>0</v>
      </c>
      <c r="N74" s="20">
        <f t="shared" si="12"/>
        <v>0</v>
      </c>
      <c r="O74" s="20">
        <f t="shared" si="12"/>
        <v>0</v>
      </c>
      <c r="P74" s="20">
        <f t="shared" si="12"/>
        <v>0</v>
      </c>
      <c r="Q74" s="20">
        <f t="shared" si="12"/>
        <v>0</v>
      </c>
      <c r="R74" s="20">
        <f t="shared" si="12"/>
        <v>0</v>
      </c>
      <c r="S74" s="20">
        <f>IF(S73&gt;0,(S73*$C72),0)</f>
        <v>0</v>
      </c>
      <c r="T74" s="126">
        <f t="shared" ref="T74:AN74" si="13">IF(T73&gt;0,(T73*$C72),0)</f>
        <v>0</v>
      </c>
      <c r="U74" s="20">
        <f t="shared" si="13"/>
        <v>0</v>
      </c>
      <c r="V74" s="20">
        <f t="shared" si="13"/>
        <v>0</v>
      </c>
      <c r="W74" s="20">
        <f t="shared" si="13"/>
        <v>0</v>
      </c>
      <c r="X74" s="20">
        <f t="shared" si="13"/>
        <v>0</v>
      </c>
      <c r="Y74" s="20">
        <f t="shared" si="13"/>
        <v>0</v>
      </c>
      <c r="Z74" s="20">
        <f t="shared" si="13"/>
        <v>0</v>
      </c>
      <c r="AA74" s="20">
        <f t="shared" si="13"/>
        <v>0</v>
      </c>
      <c r="AB74" s="20">
        <f t="shared" si="13"/>
        <v>0</v>
      </c>
      <c r="AC74" s="20">
        <f t="shared" si="13"/>
        <v>0</v>
      </c>
      <c r="AD74" s="20">
        <f t="shared" si="13"/>
        <v>0</v>
      </c>
      <c r="AE74" s="20">
        <f t="shared" si="13"/>
        <v>0</v>
      </c>
      <c r="AF74" s="20">
        <f t="shared" si="13"/>
        <v>0</v>
      </c>
      <c r="AG74" s="20">
        <f t="shared" si="13"/>
        <v>0</v>
      </c>
      <c r="AH74" s="20">
        <f t="shared" si="13"/>
        <v>0</v>
      </c>
      <c r="AI74" s="20">
        <f t="shared" si="13"/>
        <v>0</v>
      </c>
      <c r="AJ74" s="20">
        <f t="shared" si="13"/>
        <v>0</v>
      </c>
      <c r="AK74" s="20">
        <f t="shared" si="13"/>
        <v>0</v>
      </c>
      <c r="AL74" s="20">
        <f t="shared" si="13"/>
        <v>0</v>
      </c>
      <c r="AM74" s="20">
        <f t="shared" si="13"/>
        <v>0</v>
      </c>
      <c r="AN74" s="215">
        <f t="shared" si="13"/>
        <v>0</v>
      </c>
      <c r="AO74" s="215">
        <f>IF(AO73&gt;0,(AO73*$C72),0)</f>
        <v>0</v>
      </c>
      <c r="AP74" s="22">
        <f>IF(AP73&gt;0,(AP73*$C72),0)</f>
        <v>0</v>
      </c>
    </row>
    <row r="75" spans="1:42" ht="15.75" thickBot="1">
      <c r="A75" s="39"/>
      <c r="B75" s="7"/>
      <c r="C75" s="10"/>
      <c r="D75" s="463"/>
      <c r="E75" s="464"/>
      <c r="F75" s="464"/>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5"/>
    </row>
    <row r="76" spans="1:42">
      <c r="A76" s="39"/>
      <c r="B76" s="4" t="s">
        <v>12</v>
      </c>
      <c r="C76" s="466" t="str">
        <f>Summary!B24</f>
        <v>A10</v>
      </c>
      <c r="D76" s="156" t="str">
        <f>Summary!C24</f>
        <v>CMAL - Consultancy Costs Avoided</v>
      </c>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6"/>
    </row>
    <row r="77" spans="1:42">
      <c r="A77" s="39"/>
      <c r="B77" s="7" t="s">
        <v>189</v>
      </c>
      <c r="C77" s="134" t="str">
        <f>'A10 CMAL Consult Fees '!D47</f>
        <v>A - High</v>
      </c>
      <c r="D77" s="176">
        <f>VLOOKUP(C77,'Confidence Factors'!$B$6:$D$9,3)</f>
        <v>1</v>
      </c>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10"/>
    </row>
    <row r="78" spans="1:42">
      <c r="A78" s="39"/>
      <c r="B78" s="7" t="s">
        <v>30</v>
      </c>
      <c r="C78" s="128">
        <f>SUM(D78:AN78)</f>
        <v>100000</v>
      </c>
      <c r="D78" s="177">
        <v>0</v>
      </c>
      <c r="E78" s="454">
        <f>'A10 CMAL Consult Fees '!D70*'A10 CMAL Consult Fees '!D75*'Calcs - Scen 1'!D77</f>
        <v>100000</v>
      </c>
      <c r="F78" s="3">
        <v>0</v>
      </c>
      <c r="G78" s="3">
        <v>0</v>
      </c>
      <c r="H78" s="3">
        <v>0</v>
      </c>
      <c r="I78" s="3">
        <v>0</v>
      </c>
      <c r="J78" s="3">
        <v>0</v>
      </c>
      <c r="K78" s="3">
        <v>0</v>
      </c>
      <c r="L78" s="3">
        <v>0</v>
      </c>
      <c r="M78" s="3">
        <v>0</v>
      </c>
      <c r="N78" s="3">
        <v>0</v>
      </c>
      <c r="O78" s="3">
        <v>0</v>
      </c>
      <c r="P78" s="3">
        <v>0</v>
      </c>
      <c r="Q78" s="3">
        <v>0</v>
      </c>
      <c r="R78" s="3">
        <v>0</v>
      </c>
      <c r="S78" s="3">
        <v>0</v>
      </c>
      <c r="T78" s="127">
        <v>0</v>
      </c>
      <c r="U78" s="3">
        <v>0</v>
      </c>
      <c r="V78" s="3">
        <v>0</v>
      </c>
      <c r="W78" s="3">
        <v>0</v>
      </c>
      <c r="X78" s="3">
        <v>0</v>
      </c>
      <c r="Y78" s="3">
        <v>0</v>
      </c>
      <c r="Z78" s="3">
        <v>0</v>
      </c>
      <c r="AA78" s="3">
        <v>0</v>
      </c>
      <c r="AB78" s="3">
        <v>0</v>
      </c>
      <c r="AC78" s="3">
        <v>0</v>
      </c>
      <c r="AD78" s="3">
        <v>0</v>
      </c>
      <c r="AE78" s="3">
        <v>0</v>
      </c>
      <c r="AF78" s="3">
        <v>0</v>
      </c>
      <c r="AG78" s="3">
        <v>0</v>
      </c>
      <c r="AH78" s="3">
        <v>0</v>
      </c>
      <c r="AI78" s="3">
        <v>0</v>
      </c>
      <c r="AJ78" s="3">
        <v>0</v>
      </c>
      <c r="AK78" s="3">
        <v>0</v>
      </c>
      <c r="AL78" s="3">
        <v>0</v>
      </c>
      <c r="AM78" s="3">
        <v>0</v>
      </c>
      <c r="AN78" s="213">
        <v>0</v>
      </c>
      <c r="AO78" s="213">
        <v>0</v>
      </c>
      <c r="AP78" s="9">
        <v>0</v>
      </c>
    </row>
    <row r="79" spans="1:42">
      <c r="A79" s="39"/>
      <c r="B79" s="7" t="s">
        <v>31</v>
      </c>
      <c r="C79" s="129">
        <f>NPV($C$7,F78:AO78)+D78+E78</f>
        <v>100000</v>
      </c>
      <c r="D79" s="7"/>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10"/>
    </row>
    <row r="80" spans="1:42">
      <c r="A80" s="39"/>
      <c r="B80" s="7" t="s">
        <v>4</v>
      </c>
      <c r="C80" s="130" t="str">
        <f>IF(SUM(D80:AN80)&gt;1,"CHECK"," ")</f>
        <v xml:space="preserve"> </v>
      </c>
      <c r="D80" s="178">
        <v>0</v>
      </c>
      <c r="E80" s="15">
        <v>1</v>
      </c>
      <c r="F80" s="15"/>
      <c r="G80" s="15"/>
      <c r="H80" s="15"/>
      <c r="I80" s="15"/>
      <c r="J80" s="15"/>
      <c r="K80" s="15"/>
      <c r="L80" s="15"/>
      <c r="M80" s="15"/>
      <c r="N80" s="15"/>
      <c r="O80" s="15"/>
      <c r="P80" s="15"/>
      <c r="Q80" s="15"/>
      <c r="R80" s="15"/>
      <c r="S80" s="15"/>
      <c r="T80" s="125"/>
      <c r="U80" s="15"/>
      <c r="V80" s="15"/>
      <c r="W80" s="15"/>
      <c r="X80" s="15"/>
      <c r="Y80" s="15"/>
      <c r="Z80" s="15"/>
      <c r="AA80" s="15"/>
      <c r="AB80" s="15"/>
      <c r="AC80" s="15"/>
      <c r="AD80" s="15"/>
      <c r="AE80" s="15"/>
      <c r="AF80" s="15"/>
      <c r="AG80" s="15"/>
      <c r="AH80" s="15"/>
      <c r="AI80" s="15"/>
      <c r="AJ80" s="15"/>
      <c r="AK80" s="15"/>
      <c r="AL80" s="15"/>
      <c r="AM80" s="15"/>
      <c r="AN80" s="146"/>
      <c r="AO80" s="146"/>
      <c r="AP80" s="16"/>
    </row>
    <row r="81" spans="1:42" ht="15.75" thickBot="1">
      <c r="A81" s="39"/>
      <c r="B81" s="7"/>
      <c r="C81" s="10"/>
      <c r="D81" s="179">
        <f>IF(D80&gt;0,(D80*$C79),0)</f>
        <v>0</v>
      </c>
      <c r="E81" s="20">
        <f t="shared" ref="E81:R81" si="14">IF(E80&gt;0,(E80*$C79),0)</f>
        <v>100000</v>
      </c>
      <c r="F81" s="20">
        <f t="shared" si="14"/>
        <v>0</v>
      </c>
      <c r="G81" s="20">
        <f t="shared" si="14"/>
        <v>0</v>
      </c>
      <c r="H81" s="20">
        <f t="shared" si="14"/>
        <v>0</v>
      </c>
      <c r="I81" s="20">
        <f t="shared" si="14"/>
        <v>0</v>
      </c>
      <c r="J81" s="20">
        <f t="shared" si="14"/>
        <v>0</v>
      </c>
      <c r="K81" s="20">
        <f t="shared" si="14"/>
        <v>0</v>
      </c>
      <c r="L81" s="20">
        <f t="shared" si="14"/>
        <v>0</v>
      </c>
      <c r="M81" s="20">
        <f t="shared" si="14"/>
        <v>0</v>
      </c>
      <c r="N81" s="20">
        <f t="shared" si="14"/>
        <v>0</v>
      </c>
      <c r="O81" s="20">
        <f t="shared" si="14"/>
        <v>0</v>
      </c>
      <c r="P81" s="20">
        <f t="shared" si="14"/>
        <v>0</v>
      </c>
      <c r="Q81" s="20">
        <f t="shared" si="14"/>
        <v>0</v>
      </c>
      <c r="R81" s="20">
        <f t="shared" si="14"/>
        <v>0</v>
      </c>
      <c r="S81" s="20">
        <f>IF(S80&gt;0,(S80*$C79),0)</f>
        <v>0</v>
      </c>
      <c r="T81" s="126">
        <f t="shared" ref="T81:AN81" si="15">IF(T80&gt;0,(T80*$C79),0)</f>
        <v>0</v>
      </c>
      <c r="U81" s="20">
        <f t="shared" si="15"/>
        <v>0</v>
      </c>
      <c r="V81" s="20">
        <f t="shared" si="15"/>
        <v>0</v>
      </c>
      <c r="W81" s="20">
        <f t="shared" si="15"/>
        <v>0</v>
      </c>
      <c r="X81" s="20">
        <f t="shared" si="15"/>
        <v>0</v>
      </c>
      <c r="Y81" s="20">
        <f t="shared" si="15"/>
        <v>0</v>
      </c>
      <c r="Z81" s="20">
        <f t="shared" si="15"/>
        <v>0</v>
      </c>
      <c r="AA81" s="20">
        <f t="shared" si="15"/>
        <v>0</v>
      </c>
      <c r="AB81" s="20">
        <f t="shared" si="15"/>
        <v>0</v>
      </c>
      <c r="AC81" s="20">
        <f t="shared" si="15"/>
        <v>0</v>
      </c>
      <c r="AD81" s="20">
        <f t="shared" si="15"/>
        <v>0</v>
      </c>
      <c r="AE81" s="20">
        <f t="shared" si="15"/>
        <v>0</v>
      </c>
      <c r="AF81" s="20">
        <f t="shared" si="15"/>
        <v>0</v>
      </c>
      <c r="AG81" s="20">
        <f t="shared" si="15"/>
        <v>0</v>
      </c>
      <c r="AH81" s="20">
        <f t="shared" si="15"/>
        <v>0</v>
      </c>
      <c r="AI81" s="20">
        <f t="shared" si="15"/>
        <v>0</v>
      </c>
      <c r="AJ81" s="20">
        <f t="shared" si="15"/>
        <v>0</v>
      </c>
      <c r="AK81" s="20">
        <f t="shared" si="15"/>
        <v>0</v>
      </c>
      <c r="AL81" s="20">
        <f t="shared" si="15"/>
        <v>0</v>
      </c>
      <c r="AM81" s="20">
        <f t="shared" si="15"/>
        <v>0</v>
      </c>
      <c r="AN81" s="215">
        <f t="shared" si="15"/>
        <v>0</v>
      </c>
      <c r="AO81" s="215">
        <f>IF(AO80&gt;0,(AO80*$C79),0)</f>
        <v>0</v>
      </c>
      <c r="AP81" s="22">
        <f>IF(AP80&gt;0,(AP80*$C79),0)</f>
        <v>0</v>
      </c>
    </row>
    <row r="82" spans="1:42" ht="15.75" thickBot="1">
      <c r="A82" s="39"/>
      <c r="B82" s="11"/>
      <c r="C82" s="51"/>
      <c r="D82" s="463"/>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5"/>
    </row>
    <row r="83" spans="1:42">
      <c r="A83" s="39"/>
      <c r="B83" s="4" t="s">
        <v>12</v>
      </c>
      <c r="C83" s="466" t="str">
        <f>Summary!B25</f>
        <v>A11</v>
      </c>
      <c r="D83" s="156" t="str">
        <f>Summary!C25</f>
        <v>Collaborative Housing - Consultancy Costs Avoided</v>
      </c>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6"/>
    </row>
    <row r="84" spans="1:42">
      <c r="A84" s="39"/>
      <c r="B84" s="7" t="s">
        <v>189</v>
      </c>
      <c r="C84" s="134" t="str">
        <f>'A11 CH Consult Fees'!D47</f>
        <v>A - High</v>
      </c>
      <c r="D84" s="176">
        <f>VLOOKUP(C84,'Confidence Factors'!$B$6:$D$9,3)</f>
        <v>1</v>
      </c>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10"/>
    </row>
    <row r="85" spans="1:42">
      <c r="A85" s="39"/>
      <c r="B85" s="7" t="s">
        <v>30</v>
      </c>
      <c r="C85" s="128">
        <f>SUM(D85:AN85)</f>
        <v>149000</v>
      </c>
      <c r="D85" s="177">
        <v>0</v>
      </c>
      <c r="E85" s="454">
        <f>'A11 CH Consult Fees'!D70*'A11 CH Consult Fees'!D75*'Calcs - Scen 1'!D84</f>
        <v>149000</v>
      </c>
      <c r="F85" s="3">
        <v>0</v>
      </c>
      <c r="G85" s="3">
        <v>0</v>
      </c>
      <c r="H85" s="3">
        <v>0</v>
      </c>
      <c r="I85" s="3">
        <v>0</v>
      </c>
      <c r="J85" s="3">
        <v>0</v>
      </c>
      <c r="K85" s="3">
        <v>0</v>
      </c>
      <c r="L85" s="3">
        <v>0</v>
      </c>
      <c r="M85" s="3">
        <v>0</v>
      </c>
      <c r="N85" s="3">
        <v>0</v>
      </c>
      <c r="O85" s="3">
        <v>0</v>
      </c>
      <c r="P85" s="3">
        <v>0</v>
      </c>
      <c r="Q85" s="3">
        <v>0</v>
      </c>
      <c r="R85" s="3">
        <v>0</v>
      </c>
      <c r="S85" s="3">
        <v>0</v>
      </c>
      <c r="T85" s="127">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213">
        <v>0</v>
      </c>
      <c r="AO85" s="213">
        <v>0</v>
      </c>
      <c r="AP85" s="9">
        <v>0</v>
      </c>
    </row>
    <row r="86" spans="1:42">
      <c r="A86" s="39"/>
      <c r="B86" s="7" t="s">
        <v>31</v>
      </c>
      <c r="C86" s="129">
        <f>NPV($C$7,F85:AO85)+D85+E85</f>
        <v>149000</v>
      </c>
      <c r="D86" s="7"/>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10"/>
    </row>
    <row r="87" spans="1:42">
      <c r="A87" s="39"/>
      <c r="B87" s="7" t="s">
        <v>4</v>
      </c>
      <c r="C87" s="130" t="str">
        <f>IF(SUM(D87:AN87)&gt;1,"CHECK"," ")</f>
        <v xml:space="preserve"> </v>
      </c>
      <c r="D87" s="178">
        <v>0</v>
      </c>
      <c r="E87" s="15">
        <v>1</v>
      </c>
      <c r="F87" s="15"/>
      <c r="G87" s="15"/>
      <c r="H87" s="15"/>
      <c r="I87" s="15"/>
      <c r="J87" s="15"/>
      <c r="K87" s="15"/>
      <c r="L87" s="15"/>
      <c r="M87" s="15"/>
      <c r="N87" s="15"/>
      <c r="O87" s="15"/>
      <c r="P87" s="15"/>
      <c r="Q87" s="15"/>
      <c r="R87" s="15"/>
      <c r="S87" s="15"/>
      <c r="T87" s="125"/>
      <c r="U87" s="15"/>
      <c r="V87" s="15"/>
      <c r="W87" s="15"/>
      <c r="X87" s="15"/>
      <c r="Y87" s="15"/>
      <c r="Z87" s="15"/>
      <c r="AA87" s="15"/>
      <c r="AB87" s="15"/>
      <c r="AC87" s="15"/>
      <c r="AD87" s="15"/>
      <c r="AE87" s="15"/>
      <c r="AF87" s="15"/>
      <c r="AG87" s="15"/>
      <c r="AH87" s="15"/>
      <c r="AI87" s="15"/>
      <c r="AJ87" s="15"/>
      <c r="AK87" s="15"/>
      <c r="AL87" s="15"/>
      <c r="AM87" s="15"/>
      <c r="AN87" s="146"/>
      <c r="AO87" s="146"/>
      <c r="AP87" s="16"/>
    </row>
    <row r="88" spans="1:42" ht="15.75" thickBot="1">
      <c r="A88" s="39"/>
      <c r="B88" s="7"/>
      <c r="C88" s="10"/>
      <c r="D88" s="179">
        <f>IF(D87&gt;0,(D87*$C86),0)</f>
        <v>0</v>
      </c>
      <c r="E88" s="20">
        <f t="shared" ref="E88:R88" si="16">IF(E87&gt;0,(E87*$C86),0)</f>
        <v>149000</v>
      </c>
      <c r="F88" s="20">
        <f t="shared" si="16"/>
        <v>0</v>
      </c>
      <c r="G88" s="20">
        <f t="shared" si="16"/>
        <v>0</v>
      </c>
      <c r="H88" s="20">
        <f t="shared" si="16"/>
        <v>0</v>
      </c>
      <c r="I88" s="20">
        <f t="shared" si="16"/>
        <v>0</v>
      </c>
      <c r="J88" s="20">
        <f t="shared" si="16"/>
        <v>0</v>
      </c>
      <c r="K88" s="20">
        <f t="shared" si="16"/>
        <v>0</v>
      </c>
      <c r="L88" s="20">
        <f t="shared" si="16"/>
        <v>0</v>
      </c>
      <c r="M88" s="20">
        <f t="shared" si="16"/>
        <v>0</v>
      </c>
      <c r="N88" s="20">
        <f t="shared" si="16"/>
        <v>0</v>
      </c>
      <c r="O88" s="20">
        <f t="shared" si="16"/>
        <v>0</v>
      </c>
      <c r="P88" s="20">
        <f t="shared" si="16"/>
        <v>0</v>
      </c>
      <c r="Q88" s="20">
        <f t="shared" si="16"/>
        <v>0</v>
      </c>
      <c r="R88" s="20">
        <f t="shared" si="16"/>
        <v>0</v>
      </c>
      <c r="S88" s="20">
        <f>IF(S87&gt;0,(S87*$C86),0)</f>
        <v>0</v>
      </c>
      <c r="T88" s="126">
        <f t="shared" ref="T88:AN88" si="17">IF(T87&gt;0,(T87*$C86),0)</f>
        <v>0</v>
      </c>
      <c r="U88" s="20">
        <f t="shared" si="17"/>
        <v>0</v>
      </c>
      <c r="V88" s="20">
        <f t="shared" si="17"/>
        <v>0</v>
      </c>
      <c r="W88" s="20">
        <f t="shared" si="17"/>
        <v>0</v>
      </c>
      <c r="X88" s="20">
        <f t="shared" si="17"/>
        <v>0</v>
      </c>
      <c r="Y88" s="20">
        <f t="shared" si="17"/>
        <v>0</v>
      </c>
      <c r="Z88" s="20">
        <f t="shared" si="17"/>
        <v>0</v>
      </c>
      <c r="AA88" s="20">
        <f t="shared" si="17"/>
        <v>0</v>
      </c>
      <c r="AB88" s="20">
        <f t="shared" si="17"/>
        <v>0</v>
      </c>
      <c r="AC88" s="20">
        <f t="shared" si="17"/>
        <v>0</v>
      </c>
      <c r="AD88" s="20">
        <f t="shared" si="17"/>
        <v>0</v>
      </c>
      <c r="AE88" s="20">
        <f t="shared" si="17"/>
        <v>0</v>
      </c>
      <c r="AF88" s="20">
        <f t="shared" si="17"/>
        <v>0</v>
      </c>
      <c r="AG88" s="20">
        <f t="shared" si="17"/>
        <v>0</v>
      </c>
      <c r="AH88" s="20">
        <f t="shared" si="17"/>
        <v>0</v>
      </c>
      <c r="AI88" s="20">
        <f t="shared" si="17"/>
        <v>0</v>
      </c>
      <c r="AJ88" s="20">
        <f t="shared" si="17"/>
        <v>0</v>
      </c>
      <c r="AK88" s="20">
        <f t="shared" si="17"/>
        <v>0</v>
      </c>
      <c r="AL88" s="20">
        <f t="shared" si="17"/>
        <v>0</v>
      </c>
      <c r="AM88" s="20">
        <f t="shared" si="17"/>
        <v>0</v>
      </c>
      <c r="AN88" s="215">
        <f t="shared" si="17"/>
        <v>0</v>
      </c>
      <c r="AO88" s="215">
        <f>IF(AO87&gt;0,(AO87*$C86),0)</f>
        <v>0</v>
      </c>
      <c r="AP88" s="22">
        <f>IF(AP87&gt;0,(AP87*$C86),0)</f>
        <v>0</v>
      </c>
    </row>
    <row r="89" spans="1:42" ht="15.75" thickBot="1">
      <c r="A89" s="39"/>
      <c r="B89" s="7"/>
      <c r="C89" s="10"/>
      <c r="D89" s="463"/>
      <c r="E89" s="464"/>
      <c r="F89" s="464"/>
      <c r="G89" s="464"/>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65"/>
    </row>
    <row r="90" spans="1:42">
      <c r="A90" s="39"/>
      <c r="B90" s="4" t="s">
        <v>12</v>
      </c>
      <c r="C90" s="466" t="str">
        <f>Summary!B26</f>
        <v>A12</v>
      </c>
      <c r="D90" s="156" t="str">
        <f>Summary!C26</f>
        <v>Waste - Avoided Abortive Advisory Costs Clyde Valley</v>
      </c>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6"/>
    </row>
    <row r="91" spans="1:42">
      <c r="A91" s="39"/>
      <c r="B91" s="7" t="s">
        <v>189</v>
      </c>
      <c r="C91" s="134" t="str">
        <f>'A12 Waste Avoided Abort Cost CV'!D47</f>
        <v>A - High</v>
      </c>
      <c r="D91" s="176">
        <f>VLOOKUP(C91,'Confidence Factors'!$B$6:$D$9,3)</f>
        <v>1</v>
      </c>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10"/>
    </row>
    <row r="92" spans="1:42">
      <c r="A92" s="39"/>
      <c r="B92" s="7" t="s">
        <v>30</v>
      </c>
      <c r="C92" s="128">
        <f>SUM(D92:AN92)</f>
        <v>77000</v>
      </c>
      <c r="D92" s="177">
        <v>0</v>
      </c>
      <c r="E92" s="454">
        <f>'A12 Waste Avoided Abort Cost CV'!D70*'A12 Waste Avoided Abort Cost CV'!D75*'Calcs - Scen 1'!D91</f>
        <v>77000</v>
      </c>
      <c r="F92" s="3">
        <v>0</v>
      </c>
      <c r="G92" s="3">
        <v>0</v>
      </c>
      <c r="H92" s="3">
        <v>0</v>
      </c>
      <c r="I92" s="3">
        <v>0</v>
      </c>
      <c r="J92" s="3">
        <v>0</v>
      </c>
      <c r="K92" s="3">
        <v>0</v>
      </c>
      <c r="L92" s="3">
        <v>0</v>
      </c>
      <c r="M92" s="3">
        <v>0</v>
      </c>
      <c r="N92" s="3">
        <v>0</v>
      </c>
      <c r="O92" s="3">
        <v>0</v>
      </c>
      <c r="P92" s="3">
        <v>0</v>
      </c>
      <c r="Q92" s="3">
        <v>0</v>
      </c>
      <c r="R92" s="3">
        <v>0</v>
      </c>
      <c r="S92" s="3">
        <v>0</v>
      </c>
      <c r="T92" s="127">
        <v>0</v>
      </c>
      <c r="U92" s="3">
        <v>0</v>
      </c>
      <c r="V92" s="3">
        <v>0</v>
      </c>
      <c r="W92" s="3">
        <v>0</v>
      </c>
      <c r="X92" s="3">
        <v>0</v>
      </c>
      <c r="Y92" s="3">
        <v>0</v>
      </c>
      <c r="Z92" s="3">
        <v>0</v>
      </c>
      <c r="AA92" s="3">
        <v>0</v>
      </c>
      <c r="AB92" s="3">
        <v>0</v>
      </c>
      <c r="AC92" s="3">
        <v>0</v>
      </c>
      <c r="AD92" s="3">
        <v>0</v>
      </c>
      <c r="AE92" s="3">
        <v>0</v>
      </c>
      <c r="AF92" s="3">
        <v>0</v>
      </c>
      <c r="AG92" s="3">
        <v>0</v>
      </c>
      <c r="AH92" s="3">
        <v>0</v>
      </c>
      <c r="AI92" s="3">
        <v>0</v>
      </c>
      <c r="AJ92" s="3">
        <v>0</v>
      </c>
      <c r="AK92" s="3">
        <v>0</v>
      </c>
      <c r="AL92" s="3">
        <v>0</v>
      </c>
      <c r="AM92" s="3">
        <v>0</v>
      </c>
      <c r="AN92" s="213">
        <v>0</v>
      </c>
      <c r="AO92" s="213">
        <v>0</v>
      </c>
      <c r="AP92" s="9">
        <v>0</v>
      </c>
    </row>
    <row r="93" spans="1:42">
      <c r="A93" s="39"/>
      <c r="B93" s="7" t="s">
        <v>31</v>
      </c>
      <c r="C93" s="129">
        <f>NPV($C$7,F92:AO92)+D92+E92</f>
        <v>77000</v>
      </c>
      <c r="D93" s="7"/>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10"/>
    </row>
    <row r="94" spans="1:42">
      <c r="A94" s="39"/>
      <c r="B94" s="7" t="s">
        <v>4</v>
      </c>
      <c r="C94" s="130" t="str">
        <f>IF(SUM(D94:AN94)&gt;1,"CHECK"," ")</f>
        <v xml:space="preserve"> </v>
      </c>
      <c r="D94" s="178">
        <v>0</v>
      </c>
      <c r="E94" s="15">
        <v>1</v>
      </c>
      <c r="F94" s="15"/>
      <c r="G94" s="15"/>
      <c r="H94" s="15"/>
      <c r="I94" s="15"/>
      <c r="J94" s="15"/>
      <c r="K94" s="15"/>
      <c r="L94" s="15"/>
      <c r="M94" s="15"/>
      <c r="N94" s="15"/>
      <c r="O94" s="15"/>
      <c r="P94" s="15"/>
      <c r="Q94" s="15"/>
      <c r="R94" s="15"/>
      <c r="S94" s="15"/>
      <c r="T94" s="125"/>
      <c r="U94" s="15"/>
      <c r="V94" s="15"/>
      <c r="W94" s="15"/>
      <c r="X94" s="15"/>
      <c r="Y94" s="15"/>
      <c r="Z94" s="15"/>
      <c r="AA94" s="15"/>
      <c r="AB94" s="15"/>
      <c r="AC94" s="15"/>
      <c r="AD94" s="15"/>
      <c r="AE94" s="15"/>
      <c r="AF94" s="15"/>
      <c r="AG94" s="15"/>
      <c r="AH94" s="15"/>
      <c r="AI94" s="15"/>
      <c r="AJ94" s="15"/>
      <c r="AK94" s="15"/>
      <c r="AL94" s="15"/>
      <c r="AM94" s="15"/>
      <c r="AN94" s="146"/>
      <c r="AO94" s="146"/>
      <c r="AP94" s="16"/>
    </row>
    <row r="95" spans="1:42" ht="15.75" thickBot="1">
      <c r="A95" s="39"/>
      <c r="B95" s="7"/>
      <c r="C95" s="10"/>
      <c r="D95" s="179">
        <f>IF(D94&gt;0,(D94*$C93),0)</f>
        <v>0</v>
      </c>
      <c r="E95" s="20">
        <f t="shared" ref="E95:R95" si="18">IF(E94&gt;0,(E94*$C93),0)</f>
        <v>77000</v>
      </c>
      <c r="F95" s="20">
        <f t="shared" si="18"/>
        <v>0</v>
      </c>
      <c r="G95" s="20">
        <f t="shared" si="18"/>
        <v>0</v>
      </c>
      <c r="H95" s="20">
        <f t="shared" si="18"/>
        <v>0</v>
      </c>
      <c r="I95" s="20">
        <f t="shared" si="18"/>
        <v>0</v>
      </c>
      <c r="J95" s="20">
        <f t="shared" si="18"/>
        <v>0</v>
      </c>
      <c r="K95" s="20">
        <f t="shared" si="18"/>
        <v>0</v>
      </c>
      <c r="L95" s="20">
        <f t="shared" si="18"/>
        <v>0</v>
      </c>
      <c r="M95" s="20">
        <f t="shared" si="18"/>
        <v>0</v>
      </c>
      <c r="N95" s="20">
        <f t="shared" si="18"/>
        <v>0</v>
      </c>
      <c r="O95" s="20">
        <f t="shared" si="18"/>
        <v>0</v>
      </c>
      <c r="P95" s="20">
        <f t="shared" si="18"/>
        <v>0</v>
      </c>
      <c r="Q95" s="20">
        <f t="shared" si="18"/>
        <v>0</v>
      </c>
      <c r="R95" s="20">
        <f t="shared" si="18"/>
        <v>0</v>
      </c>
      <c r="S95" s="20">
        <f>IF(S94&gt;0,(S94*$C93),0)</f>
        <v>0</v>
      </c>
      <c r="T95" s="126">
        <f t="shared" ref="T95:AN95" si="19">IF(T94&gt;0,(T94*$C93),0)</f>
        <v>0</v>
      </c>
      <c r="U95" s="20">
        <f t="shared" si="19"/>
        <v>0</v>
      </c>
      <c r="V95" s="20">
        <f t="shared" si="19"/>
        <v>0</v>
      </c>
      <c r="W95" s="20">
        <f t="shared" si="19"/>
        <v>0</v>
      </c>
      <c r="X95" s="20">
        <f t="shared" si="19"/>
        <v>0</v>
      </c>
      <c r="Y95" s="20">
        <f t="shared" si="19"/>
        <v>0</v>
      </c>
      <c r="Z95" s="20">
        <f t="shared" si="19"/>
        <v>0</v>
      </c>
      <c r="AA95" s="20">
        <f t="shared" si="19"/>
        <v>0</v>
      </c>
      <c r="AB95" s="20">
        <f t="shared" si="19"/>
        <v>0</v>
      </c>
      <c r="AC95" s="20">
        <f t="shared" si="19"/>
        <v>0</v>
      </c>
      <c r="AD95" s="20">
        <f t="shared" si="19"/>
        <v>0</v>
      </c>
      <c r="AE95" s="20">
        <f t="shared" si="19"/>
        <v>0</v>
      </c>
      <c r="AF95" s="20">
        <f t="shared" si="19"/>
        <v>0</v>
      </c>
      <c r="AG95" s="20">
        <f t="shared" si="19"/>
        <v>0</v>
      </c>
      <c r="AH95" s="20">
        <f t="shared" si="19"/>
        <v>0</v>
      </c>
      <c r="AI95" s="20">
        <f t="shared" si="19"/>
        <v>0</v>
      </c>
      <c r="AJ95" s="20">
        <f t="shared" si="19"/>
        <v>0</v>
      </c>
      <c r="AK95" s="20">
        <f t="shared" si="19"/>
        <v>0</v>
      </c>
      <c r="AL95" s="20">
        <f t="shared" si="19"/>
        <v>0</v>
      </c>
      <c r="AM95" s="20">
        <f t="shared" si="19"/>
        <v>0</v>
      </c>
      <c r="AN95" s="215">
        <f t="shared" si="19"/>
        <v>0</v>
      </c>
      <c r="AO95" s="215">
        <f>IF(AO94&gt;0,(AO94*$C93),0)</f>
        <v>0</v>
      </c>
      <c r="AP95" s="22">
        <f>IF(AP94&gt;0,(AP94*$C93),0)</f>
        <v>0</v>
      </c>
    </row>
    <row r="96" spans="1:42" ht="15.75" thickBot="1">
      <c r="A96" s="39"/>
      <c r="B96" s="7"/>
      <c r="C96" s="10"/>
      <c r="D96" s="463"/>
      <c r="E96" s="464"/>
      <c r="F96" s="464"/>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5"/>
    </row>
    <row r="97" spans="1:42">
      <c r="A97" s="39"/>
      <c r="B97" s="4" t="s">
        <v>12</v>
      </c>
      <c r="C97" s="466" t="str">
        <f>'A13 Waste Avoid Advisor Non CV '!D10</f>
        <v>A13</v>
      </c>
      <c r="D97" s="156" t="str">
        <f>Summary!C27</f>
        <v>Waste - Avoided Advisory Costs - Projects other than Clyde Valley</v>
      </c>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6"/>
    </row>
    <row r="98" spans="1:42">
      <c r="A98" s="39"/>
      <c r="B98" s="7" t="s">
        <v>189</v>
      </c>
      <c r="C98" s="134" t="str">
        <f>'A13 Waste Avoid Advisor Non CV '!D47</f>
        <v>C - Good</v>
      </c>
      <c r="D98" s="176">
        <f>VLOOKUP(C98,'Confidence Factors'!$B$6:$D$9,3)</f>
        <v>0.75</v>
      </c>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10"/>
    </row>
    <row r="99" spans="1:42">
      <c r="A99" s="39"/>
      <c r="B99" s="7" t="s">
        <v>30</v>
      </c>
      <c r="C99" s="128">
        <f>SUM(D99:AN99)</f>
        <v>231000</v>
      </c>
      <c r="D99" s="177">
        <v>0</v>
      </c>
      <c r="E99" s="454">
        <f>'A12 Waste Avoided Abort Cost CV'!D77*'A12 Waste Avoided Abort Cost CV'!D82*'Calcs - Scen 1'!D98</f>
        <v>0</v>
      </c>
      <c r="F99" s="454">
        <f>'A13 Waste Avoid Advisor Non CV '!H74*'A13 Waste Avoid Advisor Non CV '!D75*'Calcs - Scen 1'!D98</f>
        <v>57750</v>
      </c>
      <c r="G99" s="3">
        <v>0</v>
      </c>
      <c r="H99" s="3">
        <f>'A13 Waste Avoid Advisor Non CV '!J74*'A13 Waste Avoid Advisor Non CV '!D75*'Calcs - Scen 1'!D98</f>
        <v>57750</v>
      </c>
      <c r="I99" s="3">
        <f>'A13 Waste Avoid Advisor Non CV '!K74*'A13 Waste Avoid Advisor Non CV '!D75*'Calcs - Scen 1'!D98</f>
        <v>115500</v>
      </c>
      <c r="J99" s="3">
        <v>0</v>
      </c>
      <c r="K99" s="3">
        <v>0</v>
      </c>
      <c r="L99" s="3">
        <v>0</v>
      </c>
      <c r="M99" s="3">
        <v>0</v>
      </c>
      <c r="N99" s="3">
        <v>0</v>
      </c>
      <c r="O99" s="3">
        <v>0</v>
      </c>
      <c r="P99" s="3">
        <v>0</v>
      </c>
      <c r="Q99" s="3">
        <v>0</v>
      </c>
      <c r="R99" s="3">
        <v>0</v>
      </c>
      <c r="S99" s="3">
        <v>0</v>
      </c>
      <c r="T99" s="127">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213">
        <v>0</v>
      </c>
      <c r="AO99" s="213">
        <v>0</v>
      </c>
      <c r="AP99" s="9">
        <v>0</v>
      </c>
    </row>
    <row r="100" spans="1:42">
      <c r="A100" s="39"/>
      <c r="B100" s="7" t="s">
        <v>31</v>
      </c>
      <c r="C100" s="129">
        <f>NPV($C$7,F99:AO99)+D99+E99</f>
        <v>208535.87000078877</v>
      </c>
      <c r="D100" s="7"/>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10"/>
    </row>
    <row r="101" spans="1:42">
      <c r="A101" s="39"/>
      <c r="B101" s="7" t="s">
        <v>4</v>
      </c>
      <c r="C101" s="130" t="str">
        <f>IF(SUM(D101:AN101)&gt;1,"CHECK"," ")</f>
        <v xml:space="preserve"> </v>
      </c>
      <c r="D101" s="178">
        <v>0.2</v>
      </c>
      <c r="E101" s="15">
        <v>0.3</v>
      </c>
      <c r="F101" s="15">
        <v>0.3</v>
      </c>
      <c r="G101" s="15">
        <v>0.2</v>
      </c>
      <c r="H101" s="15"/>
      <c r="I101" s="15"/>
      <c r="J101" s="15"/>
      <c r="K101" s="15"/>
      <c r="L101" s="15"/>
      <c r="M101" s="15"/>
      <c r="N101" s="15"/>
      <c r="O101" s="15"/>
      <c r="P101" s="15"/>
      <c r="Q101" s="15"/>
      <c r="R101" s="15"/>
      <c r="S101" s="15"/>
      <c r="T101" s="125"/>
      <c r="U101" s="15"/>
      <c r="V101" s="15"/>
      <c r="W101" s="15"/>
      <c r="X101" s="15"/>
      <c r="Y101" s="15"/>
      <c r="Z101" s="15"/>
      <c r="AA101" s="15"/>
      <c r="AB101" s="15"/>
      <c r="AC101" s="15"/>
      <c r="AD101" s="15"/>
      <c r="AE101" s="15"/>
      <c r="AF101" s="15"/>
      <c r="AG101" s="15"/>
      <c r="AH101" s="15"/>
      <c r="AI101" s="15"/>
      <c r="AJ101" s="15"/>
      <c r="AK101" s="15"/>
      <c r="AL101" s="15"/>
      <c r="AM101" s="15"/>
      <c r="AN101" s="146"/>
      <c r="AO101" s="146"/>
      <c r="AP101" s="16"/>
    </row>
    <row r="102" spans="1:42" ht="15.75" thickBot="1">
      <c r="A102" s="39"/>
      <c r="B102" s="7"/>
      <c r="C102" s="10"/>
      <c r="D102" s="179">
        <f>IF(D101&gt;0,(D101*$C100),0)</f>
        <v>41707.174000157756</v>
      </c>
      <c r="E102" s="20">
        <f t="shared" ref="E102:R102" si="20">IF(E101&gt;0,(E101*$C100),0)</f>
        <v>62560.761000236627</v>
      </c>
      <c r="F102" s="20">
        <f t="shared" si="20"/>
        <v>62560.761000236627</v>
      </c>
      <c r="G102" s="20">
        <f t="shared" si="20"/>
        <v>41707.174000157756</v>
      </c>
      <c r="H102" s="20">
        <f t="shared" si="20"/>
        <v>0</v>
      </c>
      <c r="I102" s="20">
        <f t="shared" si="20"/>
        <v>0</v>
      </c>
      <c r="J102" s="20">
        <f t="shared" si="20"/>
        <v>0</v>
      </c>
      <c r="K102" s="20">
        <f t="shared" si="20"/>
        <v>0</v>
      </c>
      <c r="L102" s="20">
        <f t="shared" si="20"/>
        <v>0</v>
      </c>
      <c r="M102" s="20">
        <f t="shared" si="20"/>
        <v>0</v>
      </c>
      <c r="N102" s="20">
        <f t="shared" si="20"/>
        <v>0</v>
      </c>
      <c r="O102" s="20">
        <f t="shared" si="20"/>
        <v>0</v>
      </c>
      <c r="P102" s="20">
        <f t="shared" si="20"/>
        <v>0</v>
      </c>
      <c r="Q102" s="20">
        <f t="shared" si="20"/>
        <v>0</v>
      </c>
      <c r="R102" s="20">
        <f t="shared" si="20"/>
        <v>0</v>
      </c>
      <c r="S102" s="20">
        <f>IF(S101&gt;0,(S101*$C100),0)</f>
        <v>0</v>
      </c>
      <c r="T102" s="126">
        <f t="shared" ref="T102:AN102" si="21">IF(T101&gt;0,(T101*$C100),0)</f>
        <v>0</v>
      </c>
      <c r="U102" s="20">
        <f t="shared" si="21"/>
        <v>0</v>
      </c>
      <c r="V102" s="20">
        <f t="shared" si="21"/>
        <v>0</v>
      </c>
      <c r="W102" s="20">
        <f t="shared" si="21"/>
        <v>0</v>
      </c>
      <c r="X102" s="20">
        <f t="shared" si="21"/>
        <v>0</v>
      </c>
      <c r="Y102" s="20">
        <f t="shared" si="21"/>
        <v>0</v>
      </c>
      <c r="Z102" s="20">
        <f t="shared" si="21"/>
        <v>0</v>
      </c>
      <c r="AA102" s="20">
        <f t="shared" si="21"/>
        <v>0</v>
      </c>
      <c r="AB102" s="20">
        <f t="shared" si="21"/>
        <v>0</v>
      </c>
      <c r="AC102" s="20">
        <f t="shared" si="21"/>
        <v>0</v>
      </c>
      <c r="AD102" s="20">
        <f t="shared" si="21"/>
        <v>0</v>
      </c>
      <c r="AE102" s="20">
        <f t="shared" si="21"/>
        <v>0</v>
      </c>
      <c r="AF102" s="20">
        <f t="shared" si="21"/>
        <v>0</v>
      </c>
      <c r="AG102" s="20">
        <f t="shared" si="21"/>
        <v>0</v>
      </c>
      <c r="AH102" s="20">
        <f t="shared" si="21"/>
        <v>0</v>
      </c>
      <c r="AI102" s="20">
        <f t="shared" si="21"/>
        <v>0</v>
      </c>
      <c r="AJ102" s="20">
        <f t="shared" si="21"/>
        <v>0</v>
      </c>
      <c r="AK102" s="20">
        <f t="shared" si="21"/>
        <v>0</v>
      </c>
      <c r="AL102" s="20">
        <f t="shared" si="21"/>
        <v>0</v>
      </c>
      <c r="AM102" s="20">
        <f t="shared" si="21"/>
        <v>0</v>
      </c>
      <c r="AN102" s="215">
        <f t="shared" si="21"/>
        <v>0</v>
      </c>
      <c r="AO102" s="215">
        <f>IF(AO101&gt;0,(AO101*$C100),0)</f>
        <v>0</v>
      </c>
      <c r="AP102" s="22">
        <f>IF(AP101&gt;0,(AP101*$C100),0)</f>
        <v>0</v>
      </c>
    </row>
    <row r="103" spans="1:42" ht="15.75" thickBot="1">
      <c r="A103" s="39"/>
      <c r="B103" s="7"/>
      <c r="C103" s="10"/>
      <c r="D103" s="463"/>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5"/>
    </row>
    <row r="104" spans="1:42">
      <c r="A104" s="39"/>
      <c r="B104" s="4" t="s">
        <v>12</v>
      </c>
      <c r="C104" s="466" t="str">
        <f>Summary!B28</f>
        <v>A14</v>
      </c>
      <c r="D104" s="156" t="str">
        <f>Summary!C28</f>
        <v>Waste - Avoided Advisory Costs - Clyde Valley</v>
      </c>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6"/>
    </row>
    <row r="105" spans="1:42">
      <c r="A105" s="39"/>
      <c r="B105" s="7" t="s">
        <v>189</v>
      </c>
      <c r="C105" s="134" t="str">
        <f>'A14 Waste Avoid Advisor CV '!D47</f>
        <v>D - Moderate</v>
      </c>
      <c r="D105" s="176">
        <f>VLOOKUP(C105,'Confidence Factors'!$B$6:$D$9,3)</f>
        <v>0.55000000000000004</v>
      </c>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10"/>
    </row>
    <row r="106" spans="1:42">
      <c r="A106" s="39"/>
      <c r="B106" s="7" t="s">
        <v>30</v>
      </c>
      <c r="C106" s="128">
        <f>SUM(D106:AN106)</f>
        <v>28205.100000000002</v>
      </c>
      <c r="D106" s="177">
        <v>0</v>
      </c>
      <c r="E106" s="454">
        <f>'A12 Waste Avoided Abort Cost CV'!D84*'A12 Waste Avoided Abort Cost CV'!D89*'Calcs - Scen 1'!D105</f>
        <v>0</v>
      </c>
      <c r="F106" s="454">
        <f>'A13 Waste Avoid Advisor Non CV '!H81*'A13 Waste Avoid Advisor Non CV '!D82*'Calcs - Scen 1'!D105</f>
        <v>0</v>
      </c>
      <c r="G106" s="3">
        <v>0</v>
      </c>
      <c r="H106" s="3">
        <f>'A13 Waste Avoid Advisor Non CV '!J81*'A13 Waste Avoid Advisor Non CV '!D82*'Calcs - Scen 1'!D105</f>
        <v>0</v>
      </c>
      <c r="I106" s="3">
        <f>'A14 Waste Avoid Advisor CV '!D70*'A14 Waste Avoid Advisor CV '!D75*'Calcs - Scen 1'!D105</f>
        <v>28205.100000000002</v>
      </c>
      <c r="J106" s="3">
        <v>0</v>
      </c>
      <c r="K106" s="3">
        <v>0</v>
      </c>
      <c r="L106" s="3">
        <v>0</v>
      </c>
      <c r="M106" s="3">
        <v>0</v>
      </c>
      <c r="N106" s="3">
        <v>0</v>
      </c>
      <c r="O106" s="3">
        <v>0</v>
      </c>
      <c r="P106" s="3">
        <v>0</v>
      </c>
      <c r="Q106" s="3">
        <v>0</v>
      </c>
      <c r="R106" s="3">
        <v>0</v>
      </c>
      <c r="S106" s="3">
        <v>0</v>
      </c>
      <c r="T106" s="127">
        <v>0</v>
      </c>
      <c r="U106" s="3">
        <v>0</v>
      </c>
      <c r="V106" s="3">
        <v>0</v>
      </c>
      <c r="W106" s="3">
        <v>0</v>
      </c>
      <c r="X106" s="3">
        <v>0</v>
      </c>
      <c r="Y106" s="3">
        <v>0</v>
      </c>
      <c r="Z106" s="3">
        <v>0</v>
      </c>
      <c r="AA106" s="3">
        <v>0</v>
      </c>
      <c r="AB106" s="3">
        <v>0</v>
      </c>
      <c r="AC106" s="3">
        <v>0</v>
      </c>
      <c r="AD106" s="3">
        <v>0</v>
      </c>
      <c r="AE106" s="3">
        <v>0</v>
      </c>
      <c r="AF106" s="3">
        <v>0</v>
      </c>
      <c r="AG106" s="3">
        <v>0</v>
      </c>
      <c r="AH106" s="3">
        <v>0</v>
      </c>
      <c r="AI106" s="3">
        <v>0</v>
      </c>
      <c r="AJ106" s="3">
        <v>0</v>
      </c>
      <c r="AK106" s="3">
        <v>0</v>
      </c>
      <c r="AL106" s="3">
        <v>0</v>
      </c>
      <c r="AM106" s="3">
        <v>0</v>
      </c>
      <c r="AN106" s="213">
        <v>0</v>
      </c>
      <c r="AO106" s="213">
        <v>0</v>
      </c>
      <c r="AP106" s="9">
        <v>0</v>
      </c>
    </row>
    <row r="107" spans="1:42">
      <c r="A107" s="39"/>
      <c r="B107" s="7" t="s">
        <v>31</v>
      </c>
      <c r="C107" s="129">
        <f>NPV($C$7,F106:AO106)+D106+E106</f>
        <v>24579.115176461008</v>
      </c>
      <c r="D107" s="7"/>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10"/>
    </row>
    <row r="108" spans="1:42">
      <c r="A108" s="39"/>
      <c r="B108" s="7" t="s">
        <v>4</v>
      </c>
      <c r="C108" s="130" t="str">
        <f>IF(SUM(D108:AN108)&gt;1,"CHECK"," ")</f>
        <v xml:space="preserve"> </v>
      </c>
      <c r="D108" s="178">
        <v>0</v>
      </c>
      <c r="E108" s="15">
        <f>1/3</f>
        <v>0.33333333333333331</v>
      </c>
      <c r="F108" s="15">
        <f>1/3</f>
        <v>0.33333333333333331</v>
      </c>
      <c r="G108" s="15">
        <f>1/3</f>
        <v>0.33333333333333331</v>
      </c>
      <c r="H108" s="15"/>
      <c r="I108" s="15"/>
      <c r="J108" s="15"/>
      <c r="K108" s="15"/>
      <c r="L108" s="15"/>
      <c r="M108" s="15"/>
      <c r="N108" s="15"/>
      <c r="O108" s="15"/>
      <c r="P108" s="15"/>
      <c r="Q108" s="15"/>
      <c r="R108" s="15"/>
      <c r="S108" s="15"/>
      <c r="T108" s="125"/>
      <c r="U108" s="15"/>
      <c r="V108" s="15"/>
      <c r="W108" s="15"/>
      <c r="X108" s="15"/>
      <c r="Y108" s="15"/>
      <c r="Z108" s="15"/>
      <c r="AA108" s="15"/>
      <c r="AB108" s="15"/>
      <c r="AC108" s="15"/>
      <c r="AD108" s="15"/>
      <c r="AE108" s="15"/>
      <c r="AF108" s="15"/>
      <c r="AG108" s="15"/>
      <c r="AH108" s="15"/>
      <c r="AI108" s="15"/>
      <c r="AJ108" s="15"/>
      <c r="AK108" s="15"/>
      <c r="AL108" s="15"/>
      <c r="AM108" s="15"/>
      <c r="AN108" s="146"/>
      <c r="AO108" s="146"/>
      <c r="AP108" s="16"/>
    </row>
    <row r="109" spans="1:42" ht="15.75" thickBot="1">
      <c r="A109" s="39"/>
      <c r="B109" s="7"/>
      <c r="C109" s="10"/>
      <c r="D109" s="179">
        <f>IF(D108&gt;0,(D108*$C107),0)</f>
        <v>0</v>
      </c>
      <c r="E109" s="20">
        <f t="shared" ref="E109:R109" si="22">IF(E108&gt;0,(E108*$C107),0)</f>
        <v>8193.0383921536686</v>
      </c>
      <c r="F109" s="20">
        <f t="shared" si="22"/>
        <v>8193.0383921536686</v>
      </c>
      <c r="G109" s="20">
        <f t="shared" si="22"/>
        <v>8193.0383921536686</v>
      </c>
      <c r="H109" s="20">
        <f t="shared" si="22"/>
        <v>0</v>
      </c>
      <c r="I109" s="20">
        <f t="shared" si="22"/>
        <v>0</v>
      </c>
      <c r="J109" s="20">
        <f t="shared" si="22"/>
        <v>0</v>
      </c>
      <c r="K109" s="20">
        <f t="shared" si="22"/>
        <v>0</v>
      </c>
      <c r="L109" s="20">
        <f t="shared" si="22"/>
        <v>0</v>
      </c>
      <c r="M109" s="20">
        <f t="shared" si="22"/>
        <v>0</v>
      </c>
      <c r="N109" s="20">
        <f t="shared" si="22"/>
        <v>0</v>
      </c>
      <c r="O109" s="20">
        <f t="shared" si="22"/>
        <v>0</v>
      </c>
      <c r="P109" s="20">
        <f t="shared" si="22"/>
        <v>0</v>
      </c>
      <c r="Q109" s="20">
        <f t="shared" si="22"/>
        <v>0</v>
      </c>
      <c r="R109" s="20">
        <f t="shared" si="22"/>
        <v>0</v>
      </c>
      <c r="S109" s="20">
        <f>IF(S108&gt;0,(S108*$C107),0)</f>
        <v>0</v>
      </c>
      <c r="T109" s="126">
        <f t="shared" ref="T109:AN109" si="23">IF(T108&gt;0,(T108*$C107),0)</f>
        <v>0</v>
      </c>
      <c r="U109" s="20">
        <f t="shared" si="23"/>
        <v>0</v>
      </c>
      <c r="V109" s="20">
        <f t="shared" si="23"/>
        <v>0</v>
      </c>
      <c r="W109" s="20">
        <f t="shared" si="23"/>
        <v>0</v>
      </c>
      <c r="X109" s="20">
        <f t="shared" si="23"/>
        <v>0</v>
      </c>
      <c r="Y109" s="20">
        <f t="shared" si="23"/>
        <v>0</v>
      </c>
      <c r="Z109" s="20">
        <f t="shared" si="23"/>
        <v>0</v>
      </c>
      <c r="AA109" s="20">
        <f t="shared" si="23"/>
        <v>0</v>
      </c>
      <c r="AB109" s="20">
        <f t="shared" si="23"/>
        <v>0</v>
      </c>
      <c r="AC109" s="20">
        <f t="shared" si="23"/>
        <v>0</v>
      </c>
      <c r="AD109" s="20">
        <f t="shared" si="23"/>
        <v>0</v>
      </c>
      <c r="AE109" s="20">
        <f t="shared" si="23"/>
        <v>0</v>
      </c>
      <c r="AF109" s="20">
        <f t="shared" si="23"/>
        <v>0</v>
      </c>
      <c r="AG109" s="20">
        <f t="shared" si="23"/>
        <v>0</v>
      </c>
      <c r="AH109" s="20">
        <f t="shared" si="23"/>
        <v>0</v>
      </c>
      <c r="AI109" s="20">
        <f t="shared" si="23"/>
        <v>0</v>
      </c>
      <c r="AJ109" s="20">
        <f t="shared" si="23"/>
        <v>0</v>
      </c>
      <c r="AK109" s="20">
        <f t="shared" si="23"/>
        <v>0</v>
      </c>
      <c r="AL109" s="20">
        <f t="shared" si="23"/>
        <v>0</v>
      </c>
      <c r="AM109" s="20">
        <f t="shared" si="23"/>
        <v>0</v>
      </c>
      <c r="AN109" s="215">
        <f t="shared" si="23"/>
        <v>0</v>
      </c>
      <c r="AO109" s="215">
        <f>IF(AO108&gt;0,(AO108*$C107),0)</f>
        <v>0</v>
      </c>
      <c r="AP109" s="22">
        <f>IF(AP108&gt;0,(AP108*$C107),0)</f>
        <v>0</v>
      </c>
    </row>
    <row r="110" spans="1:42" ht="15.75" thickBot="1">
      <c r="A110" s="39"/>
      <c r="B110" s="7"/>
      <c r="C110" s="10"/>
      <c r="D110" s="463"/>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5"/>
    </row>
    <row r="111" spans="1:42">
      <c r="A111" s="39"/>
      <c r="B111" s="4" t="s">
        <v>12</v>
      </c>
      <c r="C111" s="466" t="str">
        <f>Summary!B29</f>
        <v>A15</v>
      </c>
      <c r="D111" s="156" t="str">
        <f>Summary!C29</f>
        <v xml:space="preserve">Waste - Avoided Disposal Costs - Clyde Valley </v>
      </c>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6"/>
    </row>
    <row r="112" spans="1:42">
      <c r="A112" s="39"/>
      <c r="B112" s="7" t="s">
        <v>189</v>
      </c>
      <c r="C112" s="134" t="str">
        <f>'A15 Waste Avoid Disposal Non CV'!D47</f>
        <v>D - Moderate</v>
      </c>
      <c r="D112" s="176">
        <f>VLOOKUP(C112,'Confidence Factors'!$B$6:$D$9,3)</f>
        <v>0.55000000000000004</v>
      </c>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10"/>
    </row>
    <row r="113" spans="1:42">
      <c r="A113" s="39"/>
      <c r="B113" s="7" t="s">
        <v>30</v>
      </c>
      <c r="C113" s="128">
        <f>SUM(D113:AN113)</f>
        <v>48076.875000000007</v>
      </c>
      <c r="D113" s="177">
        <v>0</v>
      </c>
      <c r="E113" s="454">
        <f>'A12 Waste Avoided Abort Cost CV'!D91*'A12 Waste Avoided Abort Cost CV'!D96*'Calcs - Scen 1'!D112</f>
        <v>0</v>
      </c>
      <c r="F113" s="454">
        <f>'A13 Waste Avoid Advisor Non CV '!H88*'A13 Waste Avoid Advisor Non CV '!D89*'Calcs - Scen 1'!D112</f>
        <v>0</v>
      </c>
      <c r="G113" s="3">
        <v>0</v>
      </c>
      <c r="H113" s="3">
        <f>'A13 Waste Avoid Advisor Non CV '!J88*'A13 Waste Avoid Advisor Non CV '!D89*'Calcs - Scen 1'!D112</f>
        <v>0</v>
      </c>
      <c r="I113" s="3">
        <f>'A14 Waste Avoid Advisor CV '!D77*'A14 Waste Avoid Advisor CV '!D82*'Calcs - Scen 1'!D112</f>
        <v>0</v>
      </c>
      <c r="J113" s="3">
        <v>0</v>
      </c>
      <c r="K113" s="3">
        <v>0</v>
      </c>
      <c r="L113" s="3">
        <f>'A15 Waste Avoid Disposal Non CV'!D70*'A15 Waste Avoid Disposal Non CV'!D75*'Calcs - Scen 1'!D112</f>
        <v>48076.875000000007</v>
      </c>
      <c r="M113" s="3">
        <v>0</v>
      </c>
      <c r="N113" s="3">
        <v>0</v>
      </c>
      <c r="O113" s="3">
        <v>0</v>
      </c>
      <c r="P113" s="3">
        <v>0</v>
      </c>
      <c r="Q113" s="3">
        <v>0</v>
      </c>
      <c r="R113" s="3">
        <v>0</v>
      </c>
      <c r="S113" s="3">
        <v>0</v>
      </c>
      <c r="T113" s="127">
        <v>0</v>
      </c>
      <c r="U113" s="3">
        <v>0</v>
      </c>
      <c r="V113" s="3">
        <v>0</v>
      </c>
      <c r="W113" s="3">
        <v>0</v>
      </c>
      <c r="X113" s="3">
        <v>0</v>
      </c>
      <c r="Y113" s="3">
        <v>0</v>
      </c>
      <c r="Z113" s="3">
        <v>0</v>
      </c>
      <c r="AA113" s="3">
        <v>0</v>
      </c>
      <c r="AB113" s="3">
        <v>0</v>
      </c>
      <c r="AC113" s="3">
        <v>0</v>
      </c>
      <c r="AD113" s="3">
        <v>0</v>
      </c>
      <c r="AE113" s="3">
        <v>0</v>
      </c>
      <c r="AF113" s="3">
        <v>0</v>
      </c>
      <c r="AG113" s="3">
        <v>0</v>
      </c>
      <c r="AH113" s="3">
        <v>0</v>
      </c>
      <c r="AI113" s="3">
        <v>0</v>
      </c>
      <c r="AJ113" s="3">
        <v>0</v>
      </c>
      <c r="AK113" s="3">
        <v>0</v>
      </c>
      <c r="AL113" s="3">
        <v>0</v>
      </c>
      <c r="AM113" s="3">
        <v>0</v>
      </c>
      <c r="AN113" s="213">
        <v>0</v>
      </c>
      <c r="AO113" s="213">
        <v>0</v>
      </c>
      <c r="AP113" s="9">
        <v>0</v>
      </c>
    </row>
    <row r="114" spans="1:42">
      <c r="A114" s="39"/>
      <c r="B114" s="7" t="s">
        <v>31</v>
      </c>
      <c r="C114" s="129">
        <f>NPV($C$7,F113:AO113)+D113+E113</f>
        <v>37787.989167925902</v>
      </c>
      <c r="D114" s="7"/>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10"/>
    </row>
    <row r="115" spans="1:42">
      <c r="A115" s="39"/>
      <c r="B115" s="7" t="s">
        <v>4</v>
      </c>
      <c r="C115" s="130" t="str">
        <f>IF(SUM(D115:AN115)&gt;1,"CHECK"," ")</f>
        <v xml:space="preserve"> </v>
      </c>
      <c r="D115" s="178">
        <v>0</v>
      </c>
      <c r="E115" s="15">
        <f>1/3</f>
        <v>0.33333333333333331</v>
      </c>
      <c r="F115" s="15">
        <v>0.33300000000000002</v>
      </c>
      <c r="G115" s="15">
        <v>0.33300000000000002</v>
      </c>
      <c r="H115" s="15"/>
      <c r="I115" s="15"/>
      <c r="J115" s="15"/>
      <c r="K115" s="15"/>
      <c r="L115" s="15"/>
      <c r="M115" s="15"/>
      <c r="N115" s="15"/>
      <c r="O115" s="15"/>
      <c r="P115" s="15"/>
      <c r="Q115" s="15"/>
      <c r="R115" s="15"/>
      <c r="S115" s="15"/>
      <c r="T115" s="125"/>
      <c r="U115" s="15"/>
      <c r="V115" s="15"/>
      <c r="W115" s="15"/>
      <c r="X115" s="15"/>
      <c r="Y115" s="15"/>
      <c r="Z115" s="15"/>
      <c r="AA115" s="15"/>
      <c r="AB115" s="15"/>
      <c r="AC115" s="15"/>
      <c r="AD115" s="15"/>
      <c r="AE115" s="15"/>
      <c r="AF115" s="15"/>
      <c r="AG115" s="15"/>
      <c r="AH115" s="15"/>
      <c r="AI115" s="15"/>
      <c r="AJ115" s="15"/>
      <c r="AK115" s="15"/>
      <c r="AL115" s="15"/>
      <c r="AM115" s="15"/>
      <c r="AN115" s="146"/>
      <c r="AO115" s="146"/>
      <c r="AP115" s="16"/>
    </row>
    <row r="116" spans="1:42" ht="15.75" thickBot="1">
      <c r="A116" s="39"/>
      <c r="B116" s="7"/>
      <c r="C116" s="10"/>
      <c r="D116" s="179">
        <f>IF(D115&gt;0,(D115*$C114),0)</f>
        <v>0</v>
      </c>
      <c r="E116" s="20">
        <f t="shared" ref="E116:R116" si="24">IF(E115&gt;0,(E115*$C114),0)</f>
        <v>12595.996389308633</v>
      </c>
      <c r="F116" s="20">
        <f t="shared" si="24"/>
        <v>12583.400392919326</v>
      </c>
      <c r="G116" s="20">
        <f t="shared" si="24"/>
        <v>12583.400392919326</v>
      </c>
      <c r="H116" s="20">
        <f t="shared" si="24"/>
        <v>0</v>
      </c>
      <c r="I116" s="20">
        <f t="shared" si="24"/>
        <v>0</v>
      </c>
      <c r="J116" s="20">
        <f t="shared" si="24"/>
        <v>0</v>
      </c>
      <c r="K116" s="20">
        <f t="shared" si="24"/>
        <v>0</v>
      </c>
      <c r="L116" s="20">
        <f t="shared" si="24"/>
        <v>0</v>
      </c>
      <c r="M116" s="20">
        <f t="shared" si="24"/>
        <v>0</v>
      </c>
      <c r="N116" s="20">
        <f t="shared" si="24"/>
        <v>0</v>
      </c>
      <c r="O116" s="20">
        <f t="shared" si="24"/>
        <v>0</v>
      </c>
      <c r="P116" s="20">
        <f t="shared" si="24"/>
        <v>0</v>
      </c>
      <c r="Q116" s="20">
        <f t="shared" si="24"/>
        <v>0</v>
      </c>
      <c r="R116" s="20">
        <f t="shared" si="24"/>
        <v>0</v>
      </c>
      <c r="S116" s="20">
        <f>IF(S115&gt;0,(S115*$C114),0)</f>
        <v>0</v>
      </c>
      <c r="T116" s="126">
        <f t="shared" ref="T116:AN116" si="25">IF(T115&gt;0,(T115*$C114),0)</f>
        <v>0</v>
      </c>
      <c r="U116" s="20">
        <f t="shared" si="25"/>
        <v>0</v>
      </c>
      <c r="V116" s="20">
        <f t="shared" si="25"/>
        <v>0</v>
      </c>
      <c r="W116" s="20">
        <f t="shared" si="25"/>
        <v>0</v>
      </c>
      <c r="X116" s="20">
        <f t="shared" si="25"/>
        <v>0</v>
      </c>
      <c r="Y116" s="20">
        <f t="shared" si="25"/>
        <v>0</v>
      </c>
      <c r="Z116" s="20">
        <f t="shared" si="25"/>
        <v>0</v>
      </c>
      <c r="AA116" s="20">
        <f t="shared" si="25"/>
        <v>0</v>
      </c>
      <c r="AB116" s="20">
        <f t="shared" si="25"/>
        <v>0</v>
      </c>
      <c r="AC116" s="20">
        <f t="shared" si="25"/>
        <v>0</v>
      </c>
      <c r="AD116" s="20">
        <f t="shared" si="25"/>
        <v>0</v>
      </c>
      <c r="AE116" s="20">
        <f t="shared" si="25"/>
        <v>0</v>
      </c>
      <c r="AF116" s="20">
        <f t="shared" si="25"/>
        <v>0</v>
      </c>
      <c r="AG116" s="20">
        <f t="shared" si="25"/>
        <v>0</v>
      </c>
      <c r="AH116" s="20">
        <f t="shared" si="25"/>
        <v>0</v>
      </c>
      <c r="AI116" s="20">
        <f t="shared" si="25"/>
        <v>0</v>
      </c>
      <c r="AJ116" s="20">
        <f t="shared" si="25"/>
        <v>0</v>
      </c>
      <c r="AK116" s="20">
        <f t="shared" si="25"/>
        <v>0</v>
      </c>
      <c r="AL116" s="20">
        <f t="shared" si="25"/>
        <v>0</v>
      </c>
      <c r="AM116" s="20">
        <f t="shared" si="25"/>
        <v>0</v>
      </c>
      <c r="AN116" s="215">
        <f t="shared" si="25"/>
        <v>0</v>
      </c>
      <c r="AO116" s="215">
        <f>IF(AO115&gt;0,(AO115*$C114),0)</f>
        <v>0</v>
      </c>
      <c r="AP116" s="22">
        <f>IF(AP115&gt;0,(AP115*$C114),0)</f>
        <v>0</v>
      </c>
    </row>
    <row r="117" spans="1:42" ht="15.75" thickBot="1">
      <c r="A117" s="39"/>
      <c r="B117" s="7"/>
      <c r="C117" s="10"/>
      <c r="D117" s="463"/>
      <c r="E117" s="464"/>
      <c r="F117" s="464"/>
      <c r="G117" s="464"/>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5"/>
    </row>
    <row r="118" spans="1:42">
      <c r="A118" s="39"/>
      <c r="B118" s="4" t="s">
        <v>12</v>
      </c>
      <c r="C118" s="466" t="str">
        <f>Summary!B30</f>
        <v>A16</v>
      </c>
      <c r="D118" s="156" t="str">
        <f>Summary!C30</f>
        <v>Waste - Food Treatment Support</v>
      </c>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6"/>
    </row>
    <row r="119" spans="1:42">
      <c r="A119" s="39"/>
      <c r="B119" s="7" t="s">
        <v>189</v>
      </c>
      <c r="C119" s="134" t="str">
        <f>'A16 Waste Food Treatment Suppor'!D47</f>
        <v>A - High</v>
      </c>
      <c r="D119" s="176">
        <f>VLOOKUP(C119,'Confidence Factors'!$B$6:$D$9,3)</f>
        <v>1</v>
      </c>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10"/>
    </row>
    <row r="120" spans="1:42">
      <c r="A120" s="39"/>
      <c r="B120" s="7" t="s">
        <v>30</v>
      </c>
      <c r="C120" s="128">
        <f>SUM(D120:AN120)</f>
        <v>12000</v>
      </c>
      <c r="D120" s="177">
        <v>0</v>
      </c>
      <c r="E120" s="454">
        <f>'A16 Waste Food Treatment Suppor'!D70*'A16 Waste Food Treatment Suppor'!D75*'Calcs - Scen 1'!D119</f>
        <v>12000</v>
      </c>
      <c r="F120" s="454"/>
      <c r="G120" s="454"/>
      <c r="H120" s="454"/>
      <c r="I120" s="454"/>
      <c r="J120" s="454"/>
      <c r="K120" s="454"/>
      <c r="L120" s="454"/>
      <c r="M120" s="454"/>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row>
    <row r="121" spans="1:42">
      <c r="A121" s="39"/>
      <c r="B121" s="7" t="s">
        <v>31</v>
      </c>
      <c r="C121" s="129">
        <f>NPV($C$7,F120:AO120)+D120+E120</f>
        <v>12000</v>
      </c>
      <c r="D121" s="7"/>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10"/>
    </row>
    <row r="122" spans="1:42">
      <c r="A122" s="39"/>
      <c r="B122" s="7" t="s">
        <v>4</v>
      </c>
      <c r="C122" s="130" t="str">
        <f>IF(SUM(D122:AN122)&gt;1,"CHECK"," ")</f>
        <v xml:space="preserve"> </v>
      </c>
      <c r="D122" s="178">
        <v>0</v>
      </c>
      <c r="E122" s="15">
        <v>1</v>
      </c>
      <c r="F122" s="15"/>
      <c r="G122" s="15"/>
      <c r="H122" s="15"/>
      <c r="I122" s="15"/>
      <c r="J122" s="15"/>
      <c r="K122" s="15"/>
      <c r="L122" s="15"/>
      <c r="M122" s="15"/>
      <c r="N122" s="15"/>
      <c r="O122" s="15"/>
      <c r="P122" s="15"/>
      <c r="Q122" s="15"/>
      <c r="R122" s="15"/>
      <c r="S122" s="15"/>
      <c r="T122" s="125"/>
      <c r="U122" s="15"/>
      <c r="V122" s="15"/>
      <c r="W122" s="15"/>
      <c r="X122" s="15"/>
      <c r="Y122" s="15"/>
      <c r="Z122" s="15"/>
      <c r="AA122" s="15"/>
      <c r="AB122" s="15"/>
      <c r="AC122" s="15"/>
      <c r="AD122" s="15"/>
      <c r="AE122" s="15"/>
      <c r="AF122" s="15"/>
      <c r="AG122" s="15"/>
      <c r="AH122" s="15"/>
      <c r="AI122" s="15"/>
      <c r="AJ122" s="15"/>
      <c r="AK122" s="15"/>
      <c r="AL122" s="15"/>
      <c r="AM122" s="15"/>
      <c r="AN122" s="146"/>
      <c r="AO122" s="146"/>
      <c r="AP122" s="16"/>
    </row>
    <row r="123" spans="1:42" ht="15.75" thickBot="1">
      <c r="A123" s="39"/>
      <c r="B123" s="7"/>
      <c r="C123" s="10"/>
      <c r="D123" s="179">
        <f>IF(D122&gt;0,(D122*$C121),0)</f>
        <v>0</v>
      </c>
      <c r="E123" s="20">
        <f t="shared" ref="E123:R123" si="26">IF(E122&gt;0,(E122*$C121),0)</f>
        <v>12000</v>
      </c>
      <c r="F123" s="20">
        <f t="shared" si="26"/>
        <v>0</v>
      </c>
      <c r="G123" s="20">
        <f t="shared" si="26"/>
        <v>0</v>
      </c>
      <c r="H123" s="20">
        <f t="shared" si="26"/>
        <v>0</v>
      </c>
      <c r="I123" s="20">
        <f t="shared" si="26"/>
        <v>0</v>
      </c>
      <c r="J123" s="20">
        <f t="shared" si="26"/>
        <v>0</v>
      </c>
      <c r="K123" s="20">
        <f t="shared" si="26"/>
        <v>0</v>
      </c>
      <c r="L123" s="20">
        <f t="shared" si="26"/>
        <v>0</v>
      </c>
      <c r="M123" s="20">
        <f t="shared" si="26"/>
        <v>0</v>
      </c>
      <c r="N123" s="20">
        <f t="shared" si="26"/>
        <v>0</v>
      </c>
      <c r="O123" s="20">
        <f t="shared" si="26"/>
        <v>0</v>
      </c>
      <c r="P123" s="20">
        <f t="shared" si="26"/>
        <v>0</v>
      </c>
      <c r="Q123" s="20">
        <f t="shared" si="26"/>
        <v>0</v>
      </c>
      <c r="R123" s="20">
        <f t="shared" si="26"/>
        <v>0</v>
      </c>
      <c r="S123" s="20">
        <f>IF(S122&gt;0,(S122*$C121),0)</f>
        <v>0</v>
      </c>
      <c r="T123" s="126">
        <f t="shared" ref="T123:AN123" si="27">IF(T122&gt;0,(T122*$C121),0)</f>
        <v>0</v>
      </c>
      <c r="U123" s="20">
        <f t="shared" si="27"/>
        <v>0</v>
      </c>
      <c r="V123" s="20">
        <f t="shared" si="27"/>
        <v>0</v>
      </c>
      <c r="W123" s="20">
        <f t="shared" si="27"/>
        <v>0</v>
      </c>
      <c r="X123" s="20">
        <f t="shared" si="27"/>
        <v>0</v>
      </c>
      <c r="Y123" s="20">
        <f t="shared" si="27"/>
        <v>0</v>
      </c>
      <c r="Z123" s="20">
        <f t="shared" si="27"/>
        <v>0</v>
      </c>
      <c r="AA123" s="20">
        <f t="shared" si="27"/>
        <v>0</v>
      </c>
      <c r="AB123" s="20">
        <f t="shared" si="27"/>
        <v>0</v>
      </c>
      <c r="AC123" s="20">
        <f t="shared" si="27"/>
        <v>0</v>
      </c>
      <c r="AD123" s="20">
        <f t="shared" si="27"/>
        <v>0</v>
      </c>
      <c r="AE123" s="20">
        <f t="shared" si="27"/>
        <v>0</v>
      </c>
      <c r="AF123" s="20">
        <f t="shared" si="27"/>
        <v>0</v>
      </c>
      <c r="AG123" s="20">
        <f t="shared" si="27"/>
        <v>0</v>
      </c>
      <c r="AH123" s="20">
        <f t="shared" si="27"/>
        <v>0</v>
      </c>
      <c r="AI123" s="20">
        <f t="shared" si="27"/>
        <v>0</v>
      </c>
      <c r="AJ123" s="20">
        <f t="shared" si="27"/>
        <v>0</v>
      </c>
      <c r="AK123" s="20">
        <f t="shared" si="27"/>
        <v>0</v>
      </c>
      <c r="AL123" s="20">
        <f t="shared" si="27"/>
        <v>0</v>
      </c>
      <c r="AM123" s="20">
        <f t="shared" si="27"/>
        <v>0</v>
      </c>
      <c r="AN123" s="215">
        <f t="shared" si="27"/>
        <v>0</v>
      </c>
      <c r="AO123" s="215">
        <f>IF(AO122&gt;0,(AO122*$C121),0)</f>
        <v>0</v>
      </c>
      <c r="AP123" s="22">
        <f>IF(AP122&gt;0,(AP122*$C121),0)</f>
        <v>0</v>
      </c>
    </row>
    <row r="124" spans="1:42" ht="15.75" thickBot="1">
      <c r="A124" s="39"/>
      <c r="B124" s="7"/>
      <c r="C124" s="10"/>
      <c r="D124" s="463"/>
      <c r="E124" s="464"/>
      <c r="F124" s="464"/>
      <c r="G124" s="464"/>
      <c r="H124" s="464"/>
      <c r="I124" s="464"/>
      <c r="J124" s="464"/>
      <c r="K124" s="464"/>
      <c r="L124" s="464"/>
      <c r="M124" s="464"/>
      <c r="N124" s="464"/>
      <c r="O124" s="464"/>
      <c r="P124" s="464"/>
      <c r="Q124" s="464"/>
      <c r="R124" s="464"/>
      <c r="S124" s="464"/>
      <c r="T124" s="464"/>
      <c r="U124" s="464"/>
      <c r="V124" s="464"/>
      <c r="W124" s="464"/>
      <c r="X124" s="464"/>
      <c r="Y124" s="464"/>
      <c r="Z124" s="464"/>
      <c r="AA124" s="464"/>
      <c r="AB124" s="464"/>
      <c r="AC124" s="464"/>
      <c r="AD124" s="464"/>
      <c r="AE124" s="464"/>
      <c r="AF124" s="464"/>
      <c r="AG124" s="464"/>
      <c r="AH124" s="464"/>
      <c r="AI124" s="464"/>
      <c r="AJ124" s="464"/>
      <c r="AK124" s="464"/>
      <c r="AL124" s="464"/>
      <c r="AM124" s="464"/>
      <c r="AN124" s="464"/>
      <c r="AO124" s="464"/>
      <c r="AP124" s="465"/>
    </row>
    <row r="125" spans="1:42">
      <c r="A125" s="39"/>
      <c r="B125" s="4" t="s">
        <v>12</v>
      </c>
      <c r="C125" s="466" t="str">
        <f>Summary!B31</f>
        <v>A17</v>
      </c>
      <c r="D125" s="156" t="str">
        <f>Summary!C31</f>
        <v>Waste - Avoided Future Contract Variations</v>
      </c>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6"/>
    </row>
    <row r="126" spans="1:42">
      <c r="A126" s="39"/>
      <c r="B126" s="7" t="s">
        <v>189</v>
      </c>
      <c r="C126" s="134" t="str">
        <f>'A17 Wst Avoid Future Variations'!D47</f>
        <v>D - Moderate</v>
      </c>
      <c r="D126" s="176">
        <f>VLOOKUP(C126,'Confidence Factors'!$B$6:$D$9,3)</f>
        <v>0.55000000000000004</v>
      </c>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10"/>
    </row>
    <row r="127" spans="1:42">
      <c r="A127" s="39"/>
      <c r="B127" s="7" t="s">
        <v>30</v>
      </c>
      <c r="C127" s="128">
        <f>SUM(D127:AN127)</f>
        <v>2585000.0000000005</v>
      </c>
      <c r="D127" s="177">
        <v>0</v>
      </c>
      <c r="E127" s="454">
        <f>'A12 Waste Avoided Abort Cost CV'!D105*'A12 Waste Avoided Abort Cost CV'!D110*'Calcs - Scen 1'!D126</f>
        <v>0</v>
      </c>
      <c r="F127" s="454">
        <f>'A13 Waste Avoid Advisor Non CV '!H102*'A13 Waste Avoid Advisor Non CV '!D103*'Calcs - Scen 1'!D126</f>
        <v>0</v>
      </c>
      <c r="G127" s="3">
        <v>0</v>
      </c>
      <c r="H127" s="3">
        <f>'A13 Waste Avoid Advisor Non CV '!J102*'A13 Waste Avoid Advisor Non CV '!D103*'Calcs - Scen 1'!D126</f>
        <v>0</v>
      </c>
      <c r="I127" s="3">
        <f>'A16 Waste Food Treatment Suppor'!H82*'A16 Waste Food Treatment Suppor'!D82*'Calcs - Scen 1'!D126</f>
        <v>0</v>
      </c>
      <c r="J127" s="3">
        <f>'A16 Waste Food Treatment Suppor'!I82*'A16 Waste Food Treatment Suppor'!D82*'Calcs - Scen 1'!D126</f>
        <v>0</v>
      </c>
      <c r="K127" s="3">
        <f>'A16 Waste Food Treatment Suppor'!J82*'A16 Waste Food Treatment Suppor'!D82*'Calcs - Scen 1'!D126</f>
        <v>0</v>
      </c>
      <c r="L127" s="3">
        <f>'A17 Wst Avoid Future Variations'!I$73*'A17 Wst Avoid Future Variations'!$D75*'Calcs - Scen 1'!$D126</f>
        <v>129250.00000000001</v>
      </c>
      <c r="M127" s="3">
        <f>'A17 Wst Avoid Future Variations'!J$73*'A17 Wst Avoid Future Variations'!$D75*'Calcs - Scen 1'!$D126</f>
        <v>129250.00000000001</v>
      </c>
      <c r="N127" s="3">
        <f>'A17 Wst Avoid Future Variations'!K$73*'A17 Wst Avoid Future Variations'!$D75*'Calcs - Scen 1'!$D126</f>
        <v>129250.00000000001</v>
      </c>
      <c r="O127" s="3">
        <f>'A17 Wst Avoid Future Variations'!L$73*'A17 Wst Avoid Future Variations'!$D75*'Calcs - Scen 1'!$D126</f>
        <v>129250.00000000001</v>
      </c>
      <c r="P127" s="3">
        <f>'A17 Wst Avoid Future Variations'!M$73*'A17 Wst Avoid Future Variations'!$D75*'Calcs - Scen 1'!$D126</f>
        <v>129250.00000000001</v>
      </c>
      <c r="Q127" s="3">
        <f>'A17 Wst Avoid Future Variations'!N$73*'A17 Wst Avoid Future Variations'!$D75*'Calcs - Scen 1'!$D126</f>
        <v>129250.00000000001</v>
      </c>
      <c r="R127" s="3">
        <f>'A17 Wst Avoid Future Variations'!O$73*'A17 Wst Avoid Future Variations'!$D75*'Calcs - Scen 1'!$D126</f>
        <v>129250.00000000001</v>
      </c>
      <c r="S127" s="3">
        <f>'A17 Wst Avoid Future Variations'!P$73*'A17 Wst Avoid Future Variations'!$D75*'Calcs - Scen 1'!$D126</f>
        <v>129250.00000000001</v>
      </c>
      <c r="T127" s="3">
        <f>'A17 Wst Avoid Future Variations'!Q$73*'A17 Wst Avoid Future Variations'!$D75*'Calcs - Scen 1'!$D126</f>
        <v>129250.00000000001</v>
      </c>
      <c r="U127" s="3">
        <f>'A17 Wst Avoid Future Variations'!R$73*'A17 Wst Avoid Future Variations'!$D75*'Calcs - Scen 1'!$D126</f>
        <v>129250.00000000001</v>
      </c>
      <c r="V127" s="3">
        <f>'A17 Wst Avoid Future Variations'!S$73*'A17 Wst Avoid Future Variations'!$D75*'Calcs - Scen 1'!$D126</f>
        <v>129250.00000000001</v>
      </c>
      <c r="W127" s="3">
        <f>'A17 Wst Avoid Future Variations'!T$73*'A17 Wst Avoid Future Variations'!$D75*'Calcs - Scen 1'!$D126</f>
        <v>129250.00000000001</v>
      </c>
      <c r="X127" s="3">
        <f>'A17 Wst Avoid Future Variations'!U$73*'A17 Wst Avoid Future Variations'!$D75*'Calcs - Scen 1'!$D126</f>
        <v>129250.00000000001</v>
      </c>
      <c r="Y127" s="3">
        <f>'A17 Wst Avoid Future Variations'!V$73*'A17 Wst Avoid Future Variations'!$D75*'Calcs - Scen 1'!$D126</f>
        <v>129250.00000000001</v>
      </c>
      <c r="Z127" s="3">
        <f>'A17 Wst Avoid Future Variations'!W$73*'A17 Wst Avoid Future Variations'!$D75*'Calcs - Scen 1'!$D126</f>
        <v>129250.00000000001</v>
      </c>
      <c r="AA127" s="3">
        <f>'A17 Wst Avoid Future Variations'!X$73*'A17 Wst Avoid Future Variations'!$D75*'Calcs - Scen 1'!$D126</f>
        <v>129250.00000000001</v>
      </c>
      <c r="AB127" s="3">
        <f>'A17 Wst Avoid Future Variations'!Y$73*'A17 Wst Avoid Future Variations'!$D75*'Calcs - Scen 1'!$D126</f>
        <v>129250.00000000001</v>
      </c>
      <c r="AC127" s="3">
        <f>'A17 Wst Avoid Future Variations'!Z$73*'A17 Wst Avoid Future Variations'!$D75*'Calcs - Scen 1'!$D126</f>
        <v>129250.00000000001</v>
      </c>
      <c r="AD127" s="3">
        <f>'A17 Wst Avoid Future Variations'!AA$73*'A17 Wst Avoid Future Variations'!$D75*'Calcs - Scen 1'!$D126</f>
        <v>129250.00000000001</v>
      </c>
      <c r="AE127" s="3">
        <f>'A17 Wst Avoid Future Variations'!AB$73*'A17 Wst Avoid Future Variations'!$D75*'Calcs - Scen 1'!$D126</f>
        <v>129250.00000000001</v>
      </c>
      <c r="AF127" s="3">
        <v>0</v>
      </c>
      <c r="AG127" s="3">
        <v>0</v>
      </c>
      <c r="AH127" s="3">
        <v>0</v>
      </c>
      <c r="AI127" s="3">
        <v>0</v>
      </c>
      <c r="AJ127" s="3">
        <v>0</v>
      </c>
      <c r="AK127" s="3">
        <v>0</v>
      </c>
      <c r="AL127" s="3">
        <v>0</v>
      </c>
      <c r="AM127" s="3">
        <v>0</v>
      </c>
      <c r="AN127" s="213">
        <v>0</v>
      </c>
      <c r="AO127" s="213">
        <v>0</v>
      </c>
      <c r="AP127" s="9">
        <v>0</v>
      </c>
    </row>
    <row r="128" spans="1:42">
      <c r="A128" s="39"/>
      <c r="B128" s="7" t="s">
        <v>31</v>
      </c>
      <c r="C128" s="129">
        <f>NPV($C$7,F127:AO127)+D127+E127</f>
        <v>1494362.5521965038</v>
      </c>
      <c r="D128" s="7"/>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10"/>
    </row>
    <row r="129" spans="1:42">
      <c r="A129" s="39"/>
      <c r="B129" s="7" t="s">
        <v>4</v>
      </c>
      <c r="C129" s="130" t="str">
        <f>IF(SUM(D129:AN129)&gt;1,"CHECK"," ")</f>
        <v xml:space="preserve"> </v>
      </c>
      <c r="D129" s="178">
        <f>1/3</f>
        <v>0.33333333333333331</v>
      </c>
      <c r="E129" s="178">
        <f t="shared" ref="E129:F129" si="28">1/3</f>
        <v>0.33333333333333331</v>
      </c>
      <c r="F129" s="178">
        <f t="shared" si="28"/>
        <v>0.33333333333333331</v>
      </c>
      <c r="G129" s="15"/>
      <c r="H129" s="15"/>
      <c r="I129" s="15"/>
      <c r="J129" s="15"/>
      <c r="K129" s="15"/>
      <c r="L129" s="15"/>
      <c r="M129" s="15"/>
      <c r="N129" s="15"/>
      <c r="O129" s="15"/>
      <c r="P129" s="15"/>
      <c r="Q129" s="15"/>
      <c r="R129" s="15"/>
      <c r="S129" s="15"/>
      <c r="T129" s="125"/>
      <c r="U129" s="15"/>
      <c r="V129" s="15"/>
      <c r="W129" s="15"/>
      <c r="X129" s="15"/>
      <c r="Y129" s="15"/>
      <c r="Z129" s="15"/>
      <c r="AA129" s="15"/>
      <c r="AB129" s="15"/>
      <c r="AC129" s="15"/>
      <c r="AD129" s="15"/>
      <c r="AE129" s="15"/>
      <c r="AF129" s="15"/>
      <c r="AG129" s="15"/>
      <c r="AH129" s="15"/>
      <c r="AI129" s="15"/>
      <c r="AJ129" s="15"/>
      <c r="AK129" s="15"/>
      <c r="AL129" s="15"/>
      <c r="AM129" s="15"/>
      <c r="AN129" s="146"/>
      <c r="AO129" s="146"/>
      <c r="AP129" s="16"/>
    </row>
    <row r="130" spans="1:42" ht="15.75" thickBot="1">
      <c r="A130" s="39"/>
      <c r="B130" s="7"/>
      <c r="C130" s="10"/>
      <c r="D130" s="179">
        <f>IF(D129&gt;0,(D129*$C128),0)</f>
        <v>498120.85073216795</v>
      </c>
      <c r="E130" s="20">
        <f t="shared" ref="E130:R130" si="29">IF(E129&gt;0,(E129*$C128),0)</f>
        <v>498120.85073216795</v>
      </c>
      <c r="F130" s="20">
        <f t="shared" si="29"/>
        <v>498120.85073216795</v>
      </c>
      <c r="G130" s="20">
        <f t="shared" si="29"/>
        <v>0</v>
      </c>
      <c r="H130" s="20">
        <f t="shared" si="29"/>
        <v>0</v>
      </c>
      <c r="I130" s="20">
        <f t="shared" si="29"/>
        <v>0</v>
      </c>
      <c r="J130" s="20">
        <f t="shared" si="29"/>
        <v>0</v>
      </c>
      <c r="K130" s="20">
        <f t="shared" si="29"/>
        <v>0</v>
      </c>
      <c r="L130" s="20">
        <f t="shared" si="29"/>
        <v>0</v>
      </c>
      <c r="M130" s="20">
        <f t="shared" si="29"/>
        <v>0</v>
      </c>
      <c r="N130" s="20">
        <f t="shared" si="29"/>
        <v>0</v>
      </c>
      <c r="O130" s="20">
        <f t="shared" si="29"/>
        <v>0</v>
      </c>
      <c r="P130" s="20">
        <f t="shared" si="29"/>
        <v>0</v>
      </c>
      <c r="Q130" s="20">
        <f t="shared" si="29"/>
        <v>0</v>
      </c>
      <c r="R130" s="20">
        <f t="shared" si="29"/>
        <v>0</v>
      </c>
      <c r="S130" s="20">
        <f>IF(S129&gt;0,(S129*$C128),0)</f>
        <v>0</v>
      </c>
      <c r="T130" s="126">
        <f t="shared" ref="T130:AN130" si="30">IF(T129&gt;0,(T129*$C128),0)</f>
        <v>0</v>
      </c>
      <c r="U130" s="20">
        <f t="shared" si="30"/>
        <v>0</v>
      </c>
      <c r="V130" s="20">
        <f t="shared" si="30"/>
        <v>0</v>
      </c>
      <c r="W130" s="20">
        <f t="shared" si="30"/>
        <v>0</v>
      </c>
      <c r="X130" s="20">
        <f t="shared" si="30"/>
        <v>0</v>
      </c>
      <c r="Y130" s="20">
        <f t="shared" si="30"/>
        <v>0</v>
      </c>
      <c r="Z130" s="20">
        <f t="shared" si="30"/>
        <v>0</v>
      </c>
      <c r="AA130" s="20">
        <f t="shared" si="30"/>
        <v>0</v>
      </c>
      <c r="AB130" s="20">
        <f t="shared" si="30"/>
        <v>0</v>
      </c>
      <c r="AC130" s="20">
        <f t="shared" si="30"/>
        <v>0</v>
      </c>
      <c r="AD130" s="20">
        <f t="shared" si="30"/>
        <v>0</v>
      </c>
      <c r="AE130" s="20">
        <f t="shared" si="30"/>
        <v>0</v>
      </c>
      <c r="AF130" s="20">
        <f t="shared" si="30"/>
        <v>0</v>
      </c>
      <c r="AG130" s="20">
        <f t="shared" si="30"/>
        <v>0</v>
      </c>
      <c r="AH130" s="20">
        <f t="shared" si="30"/>
        <v>0</v>
      </c>
      <c r="AI130" s="20">
        <f t="shared" si="30"/>
        <v>0</v>
      </c>
      <c r="AJ130" s="20">
        <f t="shared" si="30"/>
        <v>0</v>
      </c>
      <c r="AK130" s="20">
        <f t="shared" si="30"/>
        <v>0</v>
      </c>
      <c r="AL130" s="20">
        <f t="shared" si="30"/>
        <v>0</v>
      </c>
      <c r="AM130" s="20">
        <f t="shared" si="30"/>
        <v>0</v>
      </c>
      <c r="AN130" s="215">
        <f t="shared" si="30"/>
        <v>0</v>
      </c>
      <c r="AO130" s="215">
        <f>IF(AO129&gt;0,(AO129*$C128),0)</f>
        <v>0</v>
      </c>
      <c r="AP130" s="22">
        <f>IF(AP129&gt;0,(AP129*$C128),0)</f>
        <v>0</v>
      </c>
    </row>
    <row r="131" spans="1:42" ht="15.75" thickBot="1">
      <c r="A131" s="39"/>
      <c r="B131" s="7"/>
      <c r="C131" s="10"/>
      <c r="D131" s="463"/>
      <c r="E131" s="464"/>
      <c r="F131" s="464"/>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5"/>
    </row>
    <row r="132" spans="1:42">
      <c r="A132" s="39"/>
      <c r="B132" s="4" t="s">
        <v>12</v>
      </c>
      <c r="C132" s="466" t="str">
        <f>Summary!B32</f>
        <v>A18</v>
      </c>
      <c r="D132" s="156" t="str">
        <f>Summary!C32</f>
        <v>Avoided Consultancy Costs - NPD Contract</v>
      </c>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6"/>
    </row>
    <row r="133" spans="1:42">
      <c r="A133" s="39"/>
      <c r="B133" s="7" t="s">
        <v>189</v>
      </c>
      <c r="C133" s="134" t="str">
        <f>'A18 NPD Contract-Avoid Consulta'!D47</f>
        <v>A - High</v>
      </c>
      <c r="D133" s="176">
        <f>VLOOKUP(C133,'Confidence Factors'!$B$6:$D$9,3)</f>
        <v>1</v>
      </c>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10"/>
    </row>
    <row r="134" spans="1:42">
      <c r="A134" s="39"/>
      <c r="B134" s="7" t="s">
        <v>30</v>
      </c>
      <c r="C134" s="128">
        <f>SUM(D134:AN134)</f>
        <v>74000</v>
      </c>
      <c r="D134" s="177">
        <v>0</v>
      </c>
      <c r="E134" s="454">
        <f>'A18 NPD Contract-Avoid Consulta'!D70*'A18 NPD Contract-Avoid Consulta'!D75*'Calcs - Scen 1'!D133</f>
        <v>74000</v>
      </c>
      <c r="F134" s="454">
        <f>'A13 Waste Avoid Advisor Non CV '!H109*'A13 Waste Avoid Advisor Non CV '!D110*'Calcs - Scen 1'!D133</f>
        <v>0</v>
      </c>
      <c r="G134" s="3">
        <v>0</v>
      </c>
      <c r="H134" s="3">
        <f>'A13 Waste Avoid Advisor Non CV '!J109*'A13 Waste Avoid Advisor Non CV '!D110*'Calcs - Scen 1'!D133</f>
        <v>0</v>
      </c>
      <c r="I134" s="3">
        <f>'A16 Waste Food Treatment Suppor'!H89*'A16 Waste Food Treatment Suppor'!D89*'Calcs - Scen 1'!D133</f>
        <v>0</v>
      </c>
      <c r="J134" s="3">
        <f>'A16 Waste Food Treatment Suppor'!I89*'A16 Waste Food Treatment Suppor'!D89*'Calcs - Scen 1'!D133</f>
        <v>0</v>
      </c>
      <c r="K134" s="3">
        <f>'A16 Waste Food Treatment Suppor'!J89*'A16 Waste Food Treatment Suppor'!D89*'Calcs - Scen 1'!D133</f>
        <v>0</v>
      </c>
      <c r="L134" s="3">
        <f>'A17 Wst Avoid Future Variations'!I80*'A17 Wst Avoid Future Variations'!D82*'Calcs - Scen 1'!D133</f>
        <v>0</v>
      </c>
      <c r="M134" s="3">
        <f>'A17 Wst Avoid Future Variations'!J80*'A17 Wst Avoid Future Variations'!D82*'Calcs - Scen 1'!D133</f>
        <v>0</v>
      </c>
      <c r="N134" s="3">
        <f>'A17 Wst Avoid Future Variations'!K80*'Calcs - Scen 1'!D133</f>
        <v>0</v>
      </c>
      <c r="O134" s="3">
        <f>'A17 Wst Avoid Future Variations'!L80*'A17 Wst Avoid Future Variations'!D82*'Calcs - Scen 1'!D133</f>
        <v>0</v>
      </c>
      <c r="P134" s="3">
        <f>'A17 Wst Avoid Future Variations'!M80*'A17 Wst Avoid Future Variations'!D82*'Calcs - Scen 1'!D133</f>
        <v>0</v>
      </c>
      <c r="Q134" s="3">
        <f>'A17 Wst Avoid Future Variations'!N80*'A17 Wst Avoid Future Variations'!D82*'Calcs - Scen 1'!D133</f>
        <v>0</v>
      </c>
      <c r="R134" s="3">
        <f>'A17 Wst Avoid Future Variations'!O80*'A17 Wst Avoid Future Variations'!D82*'Calcs - Scen 1'!D133</f>
        <v>0</v>
      </c>
      <c r="S134" s="3">
        <f>'A17 Wst Avoid Future Variations'!P80*'A17 Wst Avoid Future Variations'!D82*'Calcs - Scen 1'!D133</f>
        <v>0</v>
      </c>
      <c r="T134" s="127">
        <f>'A17 Wst Avoid Future Variations'!Q80*'A17 Wst Avoid Future Variations'!D82*'Calcs - Scen 1'!D133</f>
        <v>0</v>
      </c>
      <c r="U134" s="3">
        <f>'A17 Wst Avoid Future Variations'!R80*'A17 Wst Avoid Future Variations'!D82*'Calcs - Scen 1'!D133</f>
        <v>0</v>
      </c>
      <c r="V134" s="3">
        <f>'A17 Wst Avoid Future Variations'!S80*'A17 Wst Avoid Future Variations'!D82*'Calcs - Scen 1'!D133</f>
        <v>0</v>
      </c>
      <c r="W134" s="3">
        <f>'A17 Wst Avoid Future Variations'!T80*'A17 Wst Avoid Future Variations'!D82*'Calcs - Scen 1'!D133</f>
        <v>0</v>
      </c>
      <c r="X134" s="3">
        <f>'A17 Wst Avoid Future Variations'!U80*'A17 Wst Avoid Future Variations'!D82*'Calcs - Scen 1'!D133</f>
        <v>0</v>
      </c>
      <c r="Y134" s="3">
        <f>'A17 Wst Avoid Future Variations'!V80*'A17 Wst Avoid Future Variations'!D82*'Calcs - Scen 1'!D133</f>
        <v>0</v>
      </c>
      <c r="Z134" s="3">
        <f>'A17 Wst Avoid Future Variations'!W80*'A17 Wst Avoid Future Variations'!D82*'Calcs - Scen 1'!D133</f>
        <v>0</v>
      </c>
      <c r="AA134" s="3">
        <f>'A17 Wst Avoid Future Variations'!X80*'A17 Wst Avoid Future Variations'!D82*'Calcs - Scen 1'!D133</f>
        <v>0</v>
      </c>
      <c r="AB134" s="3">
        <f>'A17 Wst Avoid Future Variations'!Y80*'A17 Wst Avoid Future Variations'!D82*'Calcs - Scen 1'!D133</f>
        <v>0</v>
      </c>
      <c r="AC134" s="3">
        <f>'A17 Wst Avoid Future Variations'!Z80*'A17 Wst Avoid Future Variations'!D82*'Calcs - Scen 1'!D133</f>
        <v>0</v>
      </c>
      <c r="AD134" s="3">
        <f>'A17 Wst Avoid Future Variations'!AA80*'A17 Wst Avoid Future Variations'!D82*'Calcs - Scen 1'!D133</f>
        <v>0</v>
      </c>
      <c r="AE134" s="3">
        <f>'A17 Wst Avoid Future Variations'!AB80*'A17 Wst Avoid Future Variations'!D82*'Calcs - Scen 1'!D133</f>
        <v>0</v>
      </c>
      <c r="AF134" s="3">
        <v>0</v>
      </c>
      <c r="AG134" s="3">
        <v>0</v>
      </c>
      <c r="AH134" s="3">
        <v>0</v>
      </c>
      <c r="AI134" s="3">
        <v>0</v>
      </c>
      <c r="AJ134" s="3">
        <v>0</v>
      </c>
      <c r="AK134" s="3">
        <v>0</v>
      </c>
      <c r="AL134" s="3">
        <v>0</v>
      </c>
      <c r="AM134" s="3">
        <v>0</v>
      </c>
      <c r="AN134" s="213">
        <v>0</v>
      </c>
      <c r="AO134" s="213">
        <v>0</v>
      </c>
      <c r="AP134" s="9">
        <v>0</v>
      </c>
    </row>
    <row r="135" spans="1:42">
      <c r="A135" s="39"/>
      <c r="B135" s="7" t="s">
        <v>31</v>
      </c>
      <c r="C135" s="129">
        <f>NPV($C$7,F134:AO134)+D134+E134</f>
        <v>74000</v>
      </c>
      <c r="D135" s="7"/>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10"/>
    </row>
    <row r="136" spans="1:42">
      <c r="A136" s="39"/>
      <c r="B136" s="7" t="s">
        <v>4</v>
      </c>
      <c r="C136" s="130" t="str">
        <f>IF(SUM(D136:AN136)&gt;1,"CHECK"," ")</f>
        <v xml:space="preserve"> </v>
      </c>
      <c r="D136" s="178">
        <v>0</v>
      </c>
      <c r="E136" s="15">
        <v>1</v>
      </c>
      <c r="F136" s="15"/>
      <c r="G136" s="15"/>
      <c r="H136" s="15"/>
      <c r="I136" s="15"/>
      <c r="J136" s="15"/>
      <c r="K136" s="15"/>
      <c r="L136" s="15"/>
      <c r="M136" s="15"/>
      <c r="N136" s="15"/>
      <c r="O136" s="15"/>
      <c r="P136" s="15"/>
      <c r="Q136" s="15"/>
      <c r="R136" s="15"/>
      <c r="S136" s="15"/>
      <c r="T136" s="125"/>
      <c r="U136" s="15"/>
      <c r="V136" s="15"/>
      <c r="W136" s="15"/>
      <c r="X136" s="15"/>
      <c r="Y136" s="15"/>
      <c r="Z136" s="15"/>
      <c r="AA136" s="15"/>
      <c r="AB136" s="15"/>
      <c r="AC136" s="15"/>
      <c r="AD136" s="15"/>
      <c r="AE136" s="15"/>
      <c r="AF136" s="15"/>
      <c r="AG136" s="15"/>
      <c r="AH136" s="15"/>
      <c r="AI136" s="15"/>
      <c r="AJ136" s="15"/>
      <c r="AK136" s="15"/>
      <c r="AL136" s="15"/>
      <c r="AM136" s="15"/>
      <c r="AN136" s="146"/>
      <c r="AO136" s="146"/>
      <c r="AP136" s="16"/>
    </row>
    <row r="137" spans="1:42" ht="15.75" thickBot="1">
      <c r="A137" s="39"/>
      <c r="B137" s="7"/>
      <c r="C137" s="10"/>
      <c r="D137" s="179">
        <f>IF(D136&gt;0,(D136*$C135),0)</f>
        <v>0</v>
      </c>
      <c r="E137" s="20">
        <f t="shared" ref="E137:R137" si="31">IF(E136&gt;0,(E136*$C135),0)</f>
        <v>74000</v>
      </c>
      <c r="F137" s="20">
        <f t="shared" si="31"/>
        <v>0</v>
      </c>
      <c r="G137" s="20">
        <f t="shared" si="31"/>
        <v>0</v>
      </c>
      <c r="H137" s="20">
        <f t="shared" si="31"/>
        <v>0</v>
      </c>
      <c r="I137" s="20">
        <f t="shared" si="31"/>
        <v>0</v>
      </c>
      <c r="J137" s="20">
        <f t="shared" si="31"/>
        <v>0</v>
      </c>
      <c r="K137" s="20">
        <f t="shared" si="31"/>
        <v>0</v>
      </c>
      <c r="L137" s="20">
        <f t="shared" si="31"/>
        <v>0</v>
      </c>
      <c r="M137" s="20">
        <f t="shared" si="31"/>
        <v>0</v>
      </c>
      <c r="N137" s="20">
        <f t="shared" si="31"/>
        <v>0</v>
      </c>
      <c r="O137" s="20">
        <f t="shared" si="31"/>
        <v>0</v>
      </c>
      <c r="P137" s="20">
        <f t="shared" si="31"/>
        <v>0</v>
      </c>
      <c r="Q137" s="20">
        <f t="shared" si="31"/>
        <v>0</v>
      </c>
      <c r="R137" s="20">
        <f t="shared" si="31"/>
        <v>0</v>
      </c>
      <c r="S137" s="20">
        <f>IF(S136&gt;0,(S136*$C135),0)</f>
        <v>0</v>
      </c>
      <c r="T137" s="126">
        <f t="shared" ref="T137:AN137" si="32">IF(T136&gt;0,(T136*$C135),0)</f>
        <v>0</v>
      </c>
      <c r="U137" s="20">
        <f t="shared" si="32"/>
        <v>0</v>
      </c>
      <c r="V137" s="20">
        <f t="shared" si="32"/>
        <v>0</v>
      </c>
      <c r="W137" s="20">
        <f t="shared" si="32"/>
        <v>0</v>
      </c>
      <c r="X137" s="20">
        <f t="shared" si="32"/>
        <v>0</v>
      </c>
      <c r="Y137" s="20">
        <f t="shared" si="32"/>
        <v>0</v>
      </c>
      <c r="Z137" s="20">
        <f t="shared" si="32"/>
        <v>0</v>
      </c>
      <c r="AA137" s="20">
        <f t="shared" si="32"/>
        <v>0</v>
      </c>
      <c r="AB137" s="20">
        <f t="shared" si="32"/>
        <v>0</v>
      </c>
      <c r="AC137" s="20">
        <f t="shared" si="32"/>
        <v>0</v>
      </c>
      <c r="AD137" s="20">
        <f t="shared" si="32"/>
        <v>0</v>
      </c>
      <c r="AE137" s="20">
        <f t="shared" si="32"/>
        <v>0</v>
      </c>
      <c r="AF137" s="20">
        <f t="shared" si="32"/>
        <v>0</v>
      </c>
      <c r="AG137" s="20">
        <f t="shared" si="32"/>
        <v>0</v>
      </c>
      <c r="AH137" s="20">
        <f t="shared" si="32"/>
        <v>0</v>
      </c>
      <c r="AI137" s="20">
        <f t="shared" si="32"/>
        <v>0</v>
      </c>
      <c r="AJ137" s="20">
        <f t="shared" si="32"/>
        <v>0</v>
      </c>
      <c r="AK137" s="20">
        <f t="shared" si="32"/>
        <v>0</v>
      </c>
      <c r="AL137" s="20">
        <f t="shared" si="32"/>
        <v>0</v>
      </c>
      <c r="AM137" s="20">
        <f t="shared" si="32"/>
        <v>0</v>
      </c>
      <c r="AN137" s="215">
        <f t="shared" si="32"/>
        <v>0</v>
      </c>
      <c r="AO137" s="215">
        <f>IF(AO136&gt;0,(AO136*$C135),0)</f>
        <v>0</v>
      </c>
      <c r="AP137" s="22">
        <f>IF(AP136&gt;0,(AP136*$C135),0)</f>
        <v>0</v>
      </c>
    </row>
    <row r="138" spans="1:42" ht="15.75" thickBot="1">
      <c r="A138" s="39"/>
      <c r="B138" s="7"/>
      <c r="C138" s="10"/>
      <c r="D138" s="463"/>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5"/>
    </row>
    <row r="139" spans="1:42">
      <c r="A139" s="39"/>
      <c r="B139" s="4" t="s">
        <v>12</v>
      </c>
      <c r="C139" s="466" t="str">
        <f>Summary!B33</f>
        <v>A19</v>
      </c>
      <c r="D139" s="156" t="str">
        <f>Summary!C33</f>
        <v>hub - Consultancy Costs Avoided</v>
      </c>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6"/>
    </row>
    <row r="140" spans="1:42">
      <c r="A140" s="39"/>
      <c r="B140" s="7" t="s">
        <v>189</v>
      </c>
      <c r="C140" s="134" t="str">
        <f>'A19 hub consultancy avoided'!D47</f>
        <v>B - Very Good</v>
      </c>
      <c r="D140" s="176">
        <f>VLOOKUP(C140,'Confidence Factors'!$B$6:$D$9,3)</f>
        <v>0.9</v>
      </c>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10"/>
    </row>
    <row r="141" spans="1:42">
      <c r="A141" s="39"/>
      <c r="B141" s="7" t="s">
        <v>30</v>
      </c>
      <c r="C141" s="128">
        <f>SUM(D141:AN141)</f>
        <v>125334</v>
      </c>
      <c r="D141" s="177">
        <v>0</v>
      </c>
      <c r="E141" s="454">
        <f>'A18 NPD Contract-Avoid Consulta'!D77*'A18 NPD Contract-Avoid Consulta'!D82*'Calcs - Scen 1'!D140</f>
        <v>0</v>
      </c>
      <c r="F141" s="454">
        <f>422000*'A19 hub consultancy avoided'!D75*'Calcs - Scen 1'!D140</f>
        <v>125334</v>
      </c>
      <c r="G141" s="3">
        <v>0</v>
      </c>
      <c r="H141" s="3">
        <f>'A13 Waste Avoid Advisor Non CV '!J116*'A13 Waste Avoid Advisor Non CV '!D117*'Calcs - Scen 1'!D140</f>
        <v>0</v>
      </c>
      <c r="I141" s="3">
        <f>'A16 Waste Food Treatment Suppor'!H96*'A16 Waste Food Treatment Suppor'!D96*'Calcs - Scen 1'!D140</f>
        <v>0</v>
      </c>
      <c r="J141" s="3">
        <f>'A16 Waste Food Treatment Suppor'!I96*'A16 Waste Food Treatment Suppor'!D96*'Calcs - Scen 1'!D140</f>
        <v>0</v>
      </c>
      <c r="K141" s="3">
        <f>'A16 Waste Food Treatment Suppor'!J96*'A16 Waste Food Treatment Suppor'!D96*'Calcs - Scen 1'!D140</f>
        <v>0</v>
      </c>
      <c r="L141" s="3">
        <f>'A17 Wst Avoid Future Variations'!I87*'A17 Wst Avoid Future Variations'!D89*'Calcs - Scen 1'!D140</f>
        <v>0</v>
      </c>
      <c r="M141" s="3">
        <f>'A17 Wst Avoid Future Variations'!J87*'A17 Wst Avoid Future Variations'!D89*'Calcs - Scen 1'!D140</f>
        <v>0</v>
      </c>
      <c r="N141" s="3">
        <f>'A17 Wst Avoid Future Variations'!K87*'Calcs - Scen 1'!D140</f>
        <v>0</v>
      </c>
      <c r="O141" s="3">
        <f>'A17 Wst Avoid Future Variations'!L87*'A17 Wst Avoid Future Variations'!D89*'Calcs - Scen 1'!D140</f>
        <v>0</v>
      </c>
      <c r="P141" s="3">
        <f>'A17 Wst Avoid Future Variations'!M87*'A17 Wst Avoid Future Variations'!D89*'Calcs - Scen 1'!D140</f>
        <v>0</v>
      </c>
      <c r="Q141" s="3">
        <f>'A17 Wst Avoid Future Variations'!N87*'A17 Wst Avoid Future Variations'!D89*'Calcs - Scen 1'!D140</f>
        <v>0</v>
      </c>
      <c r="R141" s="3">
        <f>'A17 Wst Avoid Future Variations'!O87*'A17 Wst Avoid Future Variations'!D89*'Calcs - Scen 1'!D140</f>
        <v>0</v>
      </c>
      <c r="S141" s="3">
        <f>'A17 Wst Avoid Future Variations'!P87*'A17 Wst Avoid Future Variations'!D89*'Calcs - Scen 1'!D140</f>
        <v>0</v>
      </c>
      <c r="T141" s="127">
        <f>'A17 Wst Avoid Future Variations'!Q87*'A17 Wst Avoid Future Variations'!D89*'Calcs - Scen 1'!D140</f>
        <v>0</v>
      </c>
      <c r="U141" s="3">
        <f>'A17 Wst Avoid Future Variations'!R87*'A17 Wst Avoid Future Variations'!D89*'Calcs - Scen 1'!D140</f>
        <v>0</v>
      </c>
      <c r="V141" s="3">
        <f>'A17 Wst Avoid Future Variations'!S87*'A17 Wst Avoid Future Variations'!D89*'Calcs - Scen 1'!D140</f>
        <v>0</v>
      </c>
      <c r="W141" s="3">
        <f>'A17 Wst Avoid Future Variations'!T87*'A17 Wst Avoid Future Variations'!D89*'Calcs - Scen 1'!D140</f>
        <v>0</v>
      </c>
      <c r="X141" s="3">
        <f>'A17 Wst Avoid Future Variations'!U87*'A17 Wst Avoid Future Variations'!D89*'Calcs - Scen 1'!D140</f>
        <v>0</v>
      </c>
      <c r="Y141" s="3">
        <f>'A17 Wst Avoid Future Variations'!V87*'A17 Wst Avoid Future Variations'!D89*'Calcs - Scen 1'!D140</f>
        <v>0</v>
      </c>
      <c r="Z141" s="3">
        <f>'A17 Wst Avoid Future Variations'!W87*'A17 Wst Avoid Future Variations'!D89*'Calcs - Scen 1'!D140</f>
        <v>0</v>
      </c>
      <c r="AA141" s="3">
        <f>'A17 Wst Avoid Future Variations'!X87*'A17 Wst Avoid Future Variations'!D89*'Calcs - Scen 1'!D140</f>
        <v>0</v>
      </c>
      <c r="AB141" s="3">
        <f>'A17 Wst Avoid Future Variations'!Y87*'A17 Wst Avoid Future Variations'!D89*'Calcs - Scen 1'!D140</f>
        <v>0</v>
      </c>
      <c r="AC141" s="3">
        <f>'A17 Wst Avoid Future Variations'!Z87*'A17 Wst Avoid Future Variations'!D89*'Calcs - Scen 1'!D140</f>
        <v>0</v>
      </c>
      <c r="AD141" s="3">
        <f>'A17 Wst Avoid Future Variations'!AA87*'A17 Wst Avoid Future Variations'!D89*'Calcs - Scen 1'!D140</f>
        <v>0</v>
      </c>
      <c r="AE141" s="3">
        <f>'A17 Wst Avoid Future Variations'!AB87*'A17 Wst Avoid Future Variations'!D89*'Calcs - Scen 1'!D140</f>
        <v>0</v>
      </c>
      <c r="AF141" s="3">
        <v>0</v>
      </c>
      <c r="AG141" s="3">
        <v>0</v>
      </c>
      <c r="AH141" s="3">
        <v>0</v>
      </c>
      <c r="AI141" s="3">
        <v>0</v>
      </c>
      <c r="AJ141" s="3">
        <v>0</v>
      </c>
      <c r="AK141" s="3">
        <v>0</v>
      </c>
      <c r="AL141" s="3">
        <v>0</v>
      </c>
      <c r="AM141" s="3">
        <v>0</v>
      </c>
      <c r="AN141" s="213">
        <v>0</v>
      </c>
      <c r="AO141" s="213">
        <v>0</v>
      </c>
      <c r="AP141" s="9">
        <v>0</v>
      </c>
    </row>
    <row r="142" spans="1:42">
      <c r="A142" s="39"/>
      <c r="B142" s="7" t="s">
        <v>31</v>
      </c>
      <c r="C142" s="129">
        <f>NPV($C$7,F141:AO141)+D141+E141</f>
        <v>121095.65217391305</v>
      </c>
      <c r="D142" s="7"/>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10"/>
    </row>
    <row r="143" spans="1:42">
      <c r="A143" s="39"/>
      <c r="B143" s="7" t="s">
        <v>4</v>
      </c>
      <c r="C143" s="130" t="str">
        <f>IF(SUM(D143:AN143)&gt;1,"CHECK"," ")</f>
        <v xml:space="preserve"> </v>
      </c>
      <c r="D143" s="178">
        <v>0</v>
      </c>
      <c r="E143" s="15">
        <v>1</v>
      </c>
      <c r="F143" s="15"/>
      <c r="G143" s="15"/>
      <c r="H143" s="15"/>
      <c r="I143" s="15"/>
      <c r="J143" s="15"/>
      <c r="K143" s="15"/>
      <c r="L143" s="15"/>
      <c r="M143" s="15"/>
      <c r="N143" s="15"/>
      <c r="O143" s="15"/>
      <c r="P143" s="15"/>
      <c r="Q143" s="15"/>
      <c r="R143" s="15"/>
      <c r="S143" s="15"/>
      <c r="T143" s="125"/>
      <c r="U143" s="15"/>
      <c r="V143" s="15"/>
      <c r="W143" s="15"/>
      <c r="X143" s="15"/>
      <c r="Y143" s="15"/>
      <c r="Z143" s="15"/>
      <c r="AA143" s="15"/>
      <c r="AB143" s="15"/>
      <c r="AC143" s="15"/>
      <c r="AD143" s="15"/>
      <c r="AE143" s="15"/>
      <c r="AF143" s="15"/>
      <c r="AG143" s="15"/>
      <c r="AH143" s="15"/>
      <c r="AI143" s="15"/>
      <c r="AJ143" s="15"/>
      <c r="AK143" s="15"/>
      <c r="AL143" s="15"/>
      <c r="AM143" s="15"/>
      <c r="AN143" s="146"/>
      <c r="AO143" s="146"/>
      <c r="AP143" s="16"/>
    </row>
    <row r="144" spans="1:42" ht="15.75" thickBot="1">
      <c r="A144" s="39"/>
      <c r="B144" s="7"/>
      <c r="C144" s="10"/>
      <c r="D144" s="179">
        <f>IF(D143&gt;0,(D143*$C142),0)</f>
        <v>0</v>
      </c>
      <c r="E144" s="20">
        <f t="shared" ref="E144:R144" si="33">IF(E143&gt;0,(E143*$C142),0)</f>
        <v>121095.65217391305</v>
      </c>
      <c r="F144" s="20">
        <f t="shared" si="33"/>
        <v>0</v>
      </c>
      <c r="G144" s="20">
        <f t="shared" si="33"/>
        <v>0</v>
      </c>
      <c r="H144" s="20">
        <f t="shared" si="33"/>
        <v>0</v>
      </c>
      <c r="I144" s="20">
        <f t="shared" si="33"/>
        <v>0</v>
      </c>
      <c r="J144" s="20">
        <f t="shared" si="33"/>
        <v>0</v>
      </c>
      <c r="K144" s="20">
        <f t="shared" si="33"/>
        <v>0</v>
      </c>
      <c r="L144" s="20">
        <f t="shared" si="33"/>
        <v>0</v>
      </c>
      <c r="M144" s="20">
        <f t="shared" si="33"/>
        <v>0</v>
      </c>
      <c r="N144" s="20">
        <f t="shared" si="33"/>
        <v>0</v>
      </c>
      <c r="O144" s="20">
        <f t="shared" si="33"/>
        <v>0</v>
      </c>
      <c r="P144" s="20">
        <f t="shared" si="33"/>
        <v>0</v>
      </c>
      <c r="Q144" s="20">
        <f t="shared" si="33"/>
        <v>0</v>
      </c>
      <c r="R144" s="20">
        <f t="shared" si="33"/>
        <v>0</v>
      </c>
      <c r="S144" s="20">
        <f>IF(S143&gt;0,(S143*$C142),0)</f>
        <v>0</v>
      </c>
      <c r="T144" s="126">
        <f t="shared" ref="T144:AN144" si="34">IF(T143&gt;0,(T143*$C142),0)</f>
        <v>0</v>
      </c>
      <c r="U144" s="20">
        <f t="shared" si="34"/>
        <v>0</v>
      </c>
      <c r="V144" s="20">
        <f t="shared" si="34"/>
        <v>0</v>
      </c>
      <c r="W144" s="20">
        <f t="shared" si="34"/>
        <v>0</v>
      </c>
      <c r="X144" s="20">
        <f t="shared" si="34"/>
        <v>0</v>
      </c>
      <c r="Y144" s="20">
        <f t="shared" si="34"/>
        <v>0</v>
      </c>
      <c r="Z144" s="20">
        <f t="shared" si="34"/>
        <v>0</v>
      </c>
      <c r="AA144" s="20">
        <f t="shared" si="34"/>
        <v>0</v>
      </c>
      <c r="AB144" s="20">
        <f t="shared" si="34"/>
        <v>0</v>
      </c>
      <c r="AC144" s="20">
        <f t="shared" si="34"/>
        <v>0</v>
      </c>
      <c r="AD144" s="20">
        <f t="shared" si="34"/>
        <v>0</v>
      </c>
      <c r="AE144" s="20">
        <f t="shared" si="34"/>
        <v>0</v>
      </c>
      <c r="AF144" s="20">
        <f t="shared" si="34"/>
        <v>0</v>
      </c>
      <c r="AG144" s="20">
        <f t="shared" si="34"/>
        <v>0</v>
      </c>
      <c r="AH144" s="20">
        <f t="shared" si="34"/>
        <v>0</v>
      </c>
      <c r="AI144" s="20">
        <f t="shared" si="34"/>
        <v>0</v>
      </c>
      <c r="AJ144" s="20">
        <f t="shared" si="34"/>
        <v>0</v>
      </c>
      <c r="AK144" s="20">
        <f t="shared" si="34"/>
        <v>0</v>
      </c>
      <c r="AL144" s="20">
        <f t="shared" si="34"/>
        <v>0</v>
      </c>
      <c r="AM144" s="20">
        <f t="shared" si="34"/>
        <v>0</v>
      </c>
      <c r="AN144" s="215">
        <f t="shared" si="34"/>
        <v>0</v>
      </c>
      <c r="AO144" s="215">
        <f>IF(AO143&gt;0,(AO143*$C142),0)</f>
        <v>0</v>
      </c>
      <c r="AP144" s="22">
        <f>IF(AP143&gt;0,(AP143*$C142),0)</f>
        <v>0</v>
      </c>
    </row>
    <row r="145" spans="1:42" ht="15.75" thickBot="1">
      <c r="A145" s="39"/>
      <c r="B145" s="7"/>
      <c r="C145" s="10"/>
      <c r="D145" s="463"/>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4"/>
      <c r="AP145" s="465"/>
    </row>
    <row r="146" spans="1:42">
      <c r="A146" s="39"/>
      <c r="B146" s="4" t="s">
        <v>12</v>
      </c>
      <c r="C146" s="466" t="str">
        <f>Summary!B34</f>
        <v>A20</v>
      </c>
      <c r="D146" s="156" t="str">
        <f>Summary!C34</f>
        <v>hub performance management - avoided costs</v>
      </c>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6"/>
    </row>
    <row r="147" spans="1:42">
      <c r="A147" s="39"/>
      <c r="B147" s="7" t="s">
        <v>189</v>
      </c>
      <c r="C147" s="134" t="str">
        <f>'A20 hub performance mngt'!D47</f>
        <v>B - Very Good</v>
      </c>
      <c r="D147" s="176">
        <f>VLOOKUP(C147,'Confidence Factors'!$B$6:$D$9,3)</f>
        <v>0.9</v>
      </c>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10"/>
    </row>
    <row r="148" spans="1:42">
      <c r="A148" s="39"/>
      <c r="B148" s="7" t="s">
        <v>30</v>
      </c>
      <c r="C148" s="128">
        <f>SUM(D148:AN148)</f>
        <v>51210</v>
      </c>
      <c r="D148" s="177">
        <v>0</v>
      </c>
      <c r="E148" s="454">
        <f>'A18 NPD Contract-Avoid Consulta'!D84*'A18 NPD Contract-Avoid Consulta'!D89*'Calcs - Scen 1'!D147</f>
        <v>0</v>
      </c>
      <c r="F148" s="454">
        <f>(('A20 hub performance mngt'!$D70)/3)*'A20 hub performance mngt'!$D75*'Calcs - Scen 1'!$D147</f>
        <v>17070</v>
      </c>
      <c r="G148" s="454">
        <f>(('A20 hub performance mngt'!$D70)/3)*'A20 hub performance mngt'!$D75*'Calcs - Scen 1'!$D147</f>
        <v>17070</v>
      </c>
      <c r="H148" s="454">
        <f>(('A20 hub performance mngt'!$D70)/3)*'A20 hub performance mngt'!$D75*'Calcs - Scen 1'!$D147</f>
        <v>17070</v>
      </c>
      <c r="I148" s="3">
        <f>'A16 Waste Food Treatment Suppor'!H103*'A16 Waste Food Treatment Suppor'!D103*'Calcs - Scen 1'!D147</f>
        <v>0</v>
      </c>
      <c r="J148" s="3">
        <f>'A16 Waste Food Treatment Suppor'!I103*'A16 Waste Food Treatment Suppor'!D103*'Calcs - Scen 1'!D147</f>
        <v>0</v>
      </c>
      <c r="K148" s="3">
        <f>'A16 Waste Food Treatment Suppor'!J103*'A16 Waste Food Treatment Suppor'!D103*'Calcs - Scen 1'!D147</f>
        <v>0</v>
      </c>
      <c r="L148" s="3">
        <f>'A17 Wst Avoid Future Variations'!I94*'A17 Wst Avoid Future Variations'!D96*'Calcs - Scen 1'!D147</f>
        <v>0</v>
      </c>
      <c r="M148" s="3">
        <f>'A17 Wst Avoid Future Variations'!J94*'A17 Wst Avoid Future Variations'!D96*'Calcs - Scen 1'!D147</f>
        <v>0</v>
      </c>
      <c r="N148" s="3">
        <f>'A17 Wst Avoid Future Variations'!K94*'Calcs - Scen 1'!D147</f>
        <v>0</v>
      </c>
      <c r="O148" s="3">
        <f>'A17 Wst Avoid Future Variations'!L94*'A17 Wst Avoid Future Variations'!D96*'Calcs - Scen 1'!D147</f>
        <v>0</v>
      </c>
      <c r="P148" s="3">
        <f>'A17 Wst Avoid Future Variations'!M94*'A17 Wst Avoid Future Variations'!D96*'Calcs - Scen 1'!D147</f>
        <v>0</v>
      </c>
      <c r="Q148" s="3">
        <f>'A17 Wst Avoid Future Variations'!N94*'A17 Wst Avoid Future Variations'!D96*'Calcs - Scen 1'!D147</f>
        <v>0</v>
      </c>
      <c r="R148" s="3">
        <f>'A17 Wst Avoid Future Variations'!O94*'A17 Wst Avoid Future Variations'!D96*'Calcs - Scen 1'!D147</f>
        <v>0</v>
      </c>
      <c r="S148" s="3">
        <f>'A17 Wst Avoid Future Variations'!P94*'A17 Wst Avoid Future Variations'!D96*'Calcs - Scen 1'!D147</f>
        <v>0</v>
      </c>
      <c r="T148" s="127">
        <f>'A17 Wst Avoid Future Variations'!Q94*'A17 Wst Avoid Future Variations'!D96*'Calcs - Scen 1'!D147</f>
        <v>0</v>
      </c>
      <c r="U148" s="3">
        <f>'A17 Wst Avoid Future Variations'!R94*'A17 Wst Avoid Future Variations'!D96*'Calcs - Scen 1'!D147</f>
        <v>0</v>
      </c>
      <c r="V148" s="3">
        <f>'A17 Wst Avoid Future Variations'!S94*'A17 Wst Avoid Future Variations'!D96*'Calcs - Scen 1'!D147</f>
        <v>0</v>
      </c>
      <c r="W148" s="3">
        <f>'A17 Wst Avoid Future Variations'!T94*'A17 Wst Avoid Future Variations'!D96*'Calcs - Scen 1'!D147</f>
        <v>0</v>
      </c>
      <c r="X148" s="3">
        <f>'A17 Wst Avoid Future Variations'!U94*'A17 Wst Avoid Future Variations'!D96*'Calcs - Scen 1'!D147</f>
        <v>0</v>
      </c>
      <c r="Y148" s="3">
        <f>'A17 Wst Avoid Future Variations'!V94*'A17 Wst Avoid Future Variations'!D96*'Calcs - Scen 1'!D147</f>
        <v>0</v>
      </c>
      <c r="Z148" s="3">
        <f>'A17 Wst Avoid Future Variations'!W94*'A17 Wst Avoid Future Variations'!D96*'Calcs - Scen 1'!D147</f>
        <v>0</v>
      </c>
      <c r="AA148" s="3">
        <f>'A17 Wst Avoid Future Variations'!X94*'A17 Wst Avoid Future Variations'!D96*'Calcs - Scen 1'!D147</f>
        <v>0</v>
      </c>
      <c r="AB148" s="3">
        <f>'A17 Wst Avoid Future Variations'!Y94*'A17 Wst Avoid Future Variations'!D96*'Calcs - Scen 1'!D147</f>
        <v>0</v>
      </c>
      <c r="AC148" s="3">
        <f>'A17 Wst Avoid Future Variations'!Z94*'A17 Wst Avoid Future Variations'!D96*'Calcs - Scen 1'!D147</f>
        <v>0</v>
      </c>
      <c r="AD148" s="3">
        <f>'A17 Wst Avoid Future Variations'!AA94*'A17 Wst Avoid Future Variations'!D96*'Calcs - Scen 1'!D147</f>
        <v>0</v>
      </c>
      <c r="AE148" s="3">
        <f>'A17 Wst Avoid Future Variations'!AB94*'A17 Wst Avoid Future Variations'!D96*'Calcs - Scen 1'!D147</f>
        <v>0</v>
      </c>
      <c r="AF148" s="3">
        <v>0</v>
      </c>
      <c r="AG148" s="3">
        <v>0</v>
      </c>
      <c r="AH148" s="3">
        <v>0</v>
      </c>
      <c r="AI148" s="3">
        <v>0</v>
      </c>
      <c r="AJ148" s="3">
        <v>0</v>
      </c>
      <c r="AK148" s="3">
        <v>0</v>
      </c>
      <c r="AL148" s="3">
        <v>0</v>
      </c>
      <c r="AM148" s="3">
        <v>0</v>
      </c>
      <c r="AN148" s="213">
        <v>0</v>
      </c>
      <c r="AO148" s="213">
        <v>0</v>
      </c>
      <c r="AP148" s="9">
        <v>0</v>
      </c>
    </row>
    <row r="149" spans="1:42">
      <c r="A149" s="39"/>
      <c r="B149" s="7" t="s">
        <v>31</v>
      </c>
      <c r="C149" s="129">
        <f>NPV($C$7,F148:AO148)+D148+E148</f>
        <v>47823.943264196052</v>
      </c>
      <c r="D149" s="7"/>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10"/>
    </row>
    <row r="150" spans="1:42">
      <c r="A150" s="39"/>
      <c r="B150" s="7" t="s">
        <v>4</v>
      </c>
      <c r="C150" s="130" t="str">
        <f>IF(SUM(D150:AN150)&gt;1,"CHECK"," ")</f>
        <v xml:space="preserve"> </v>
      </c>
      <c r="D150" s="178">
        <v>0</v>
      </c>
      <c r="E150" s="15">
        <v>1</v>
      </c>
      <c r="F150" s="15"/>
      <c r="G150" s="15"/>
      <c r="H150" s="15"/>
      <c r="I150" s="15"/>
      <c r="J150" s="15"/>
      <c r="K150" s="15"/>
      <c r="L150" s="15"/>
      <c r="M150" s="15"/>
      <c r="N150" s="15"/>
      <c r="O150" s="15"/>
      <c r="P150" s="15"/>
      <c r="Q150" s="15"/>
      <c r="R150" s="15"/>
      <c r="S150" s="15"/>
      <c r="T150" s="125"/>
      <c r="U150" s="15"/>
      <c r="V150" s="15"/>
      <c r="W150" s="15"/>
      <c r="X150" s="15"/>
      <c r="Y150" s="15"/>
      <c r="Z150" s="15"/>
      <c r="AA150" s="15"/>
      <c r="AB150" s="15"/>
      <c r="AC150" s="15"/>
      <c r="AD150" s="15"/>
      <c r="AE150" s="15"/>
      <c r="AF150" s="15"/>
      <c r="AG150" s="15"/>
      <c r="AH150" s="15"/>
      <c r="AI150" s="15"/>
      <c r="AJ150" s="15"/>
      <c r="AK150" s="15"/>
      <c r="AL150" s="15"/>
      <c r="AM150" s="15"/>
      <c r="AN150" s="146"/>
      <c r="AO150" s="146"/>
      <c r="AP150" s="16"/>
    </row>
    <row r="151" spans="1:42" ht="15.75" thickBot="1">
      <c r="A151" s="39"/>
      <c r="B151" s="7"/>
      <c r="C151" s="10"/>
      <c r="D151" s="179">
        <f>IF(D150&gt;0,(D150*$C149),0)</f>
        <v>0</v>
      </c>
      <c r="E151" s="20">
        <f t="shared" ref="E151:R151" si="35">IF(E150&gt;0,(E150*$C149),0)</f>
        <v>47823.943264196052</v>
      </c>
      <c r="F151" s="20">
        <f t="shared" si="35"/>
        <v>0</v>
      </c>
      <c r="G151" s="20">
        <f t="shared" si="35"/>
        <v>0</v>
      </c>
      <c r="H151" s="20">
        <f t="shared" si="35"/>
        <v>0</v>
      </c>
      <c r="I151" s="20">
        <f t="shared" si="35"/>
        <v>0</v>
      </c>
      <c r="J151" s="20">
        <f t="shared" si="35"/>
        <v>0</v>
      </c>
      <c r="K151" s="20">
        <f t="shared" si="35"/>
        <v>0</v>
      </c>
      <c r="L151" s="20">
        <f t="shared" si="35"/>
        <v>0</v>
      </c>
      <c r="M151" s="20">
        <f t="shared" si="35"/>
        <v>0</v>
      </c>
      <c r="N151" s="20">
        <f t="shared" si="35"/>
        <v>0</v>
      </c>
      <c r="O151" s="20">
        <f t="shared" si="35"/>
        <v>0</v>
      </c>
      <c r="P151" s="20">
        <f t="shared" si="35"/>
        <v>0</v>
      </c>
      <c r="Q151" s="20">
        <f t="shared" si="35"/>
        <v>0</v>
      </c>
      <c r="R151" s="20">
        <f t="shared" si="35"/>
        <v>0</v>
      </c>
      <c r="S151" s="20">
        <f>IF(S150&gt;0,(S150*$C149),0)</f>
        <v>0</v>
      </c>
      <c r="T151" s="126">
        <f t="shared" ref="T151:AN151" si="36">IF(T150&gt;0,(T150*$C149),0)</f>
        <v>0</v>
      </c>
      <c r="U151" s="20">
        <f t="shared" si="36"/>
        <v>0</v>
      </c>
      <c r="V151" s="20">
        <f t="shared" si="36"/>
        <v>0</v>
      </c>
      <c r="W151" s="20">
        <f t="shared" si="36"/>
        <v>0</v>
      </c>
      <c r="X151" s="20">
        <f t="shared" si="36"/>
        <v>0</v>
      </c>
      <c r="Y151" s="20">
        <f t="shared" si="36"/>
        <v>0</v>
      </c>
      <c r="Z151" s="20">
        <f t="shared" si="36"/>
        <v>0</v>
      </c>
      <c r="AA151" s="20">
        <f t="shared" si="36"/>
        <v>0</v>
      </c>
      <c r="AB151" s="20">
        <f t="shared" si="36"/>
        <v>0</v>
      </c>
      <c r="AC151" s="20">
        <f t="shared" si="36"/>
        <v>0</v>
      </c>
      <c r="AD151" s="20">
        <f t="shared" si="36"/>
        <v>0</v>
      </c>
      <c r="AE151" s="20">
        <f t="shared" si="36"/>
        <v>0</v>
      </c>
      <c r="AF151" s="20">
        <f t="shared" si="36"/>
        <v>0</v>
      </c>
      <c r="AG151" s="20">
        <f t="shared" si="36"/>
        <v>0</v>
      </c>
      <c r="AH151" s="20">
        <f t="shared" si="36"/>
        <v>0</v>
      </c>
      <c r="AI151" s="20">
        <f t="shared" si="36"/>
        <v>0</v>
      </c>
      <c r="AJ151" s="20">
        <f t="shared" si="36"/>
        <v>0</v>
      </c>
      <c r="AK151" s="20">
        <f t="shared" si="36"/>
        <v>0</v>
      </c>
      <c r="AL151" s="20">
        <f t="shared" si="36"/>
        <v>0</v>
      </c>
      <c r="AM151" s="20">
        <f t="shared" si="36"/>
        <v>0</v>
      </c>
      <c r="AN151" s="215">
        <f t="shared" si="36"/>
        <v>0</v>
      </c>
      <c r="AO151" s="215">
        <f>IF(AO150&gt;0,(AO150*$C149),0)</f>
        <v>0</v>
      </c>
      <c r="AP151" s="22">
        <f>IF(AP150&gt;0,(AP150*$C149),0)</f>
        <v>0</v>
      </c>
    </row>
    <row r="152" spans="1:42" ht="15.75" thickBot="1">
      <c r="A152" s="39"/>
      <c r="B152" s="7"/>
      <c r="C152" s="10"/>
      <c r="D152" s="463"/>
      <c r="E152" s="464"/>
      <c r="F152" s="464"/>
      <c r="G152" s="464"/>
      <c r="H152" s="464"/>
      <c r="I152" s="464"/>
      <c r="J152" s="464"/>
      <c r="K152" s="464"/>
      <c r="L152" s="464"/>
      <c r="M152" s="464"/>
      <c r="N152" s="464"/>
      <c r="O152" s="464"/>
      <c r="P152" s="464"/>
      <c r="Q152" s="464"/>
      <c r="R152" s="464"/>
      <c r="S152" s="464"/>
      <c r="T152" s="464"/>
      <c r="U152" s="464"/>
      <c r="V152" s="464"/>
      <c r="W152" s="464"/>
      <c r="X152" s="464"/>
      <c r="Y152" s="464"/>
      <c r="Z152" s="464"/>
      <c r="AA152" s="464"/>
      <c r="AB152" s="464"/>
      <c r="AC152" s="464"/>
      <c r="AD152" s="464"/>
      <c r="AE152" s="464"/>
      <c r="AF152" s="464"/>
      <c r="AG152" s="464"/>
      <c r="AH152" s="464"/>
      <c r="AI152" s="464"/>
      <c r="AJ152" s="464"/>
      <c r="AK152" s="464"/>
      <c r="AL152" s="464"/>
      <c r="AM152" s="464"/>
      <c r="AN152" s="464"/>
      <c r="AO152" s="464"/>
      <c r="AP152" s="465"/>
    </row>
    <row r="153" spans="1:42">
      <c r="A153" s="39"/>
      <c r="B153" s="4" t="s">
        <v>12</v>
      </c>
      <c r="C153" s="466" t="str">
        <f>Summary!B35</f>
        <v>A21</v>
      </c>
      <c r="D153" s="156" t="str">
        <f>Summary!C35</f>
        <v>Asset Management - Avoided Cost of Pilot Development Work (Consultancy Costs Avoided)</v>
      </c>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6"/>
    </row>
    <row r="154" spans="1:42">
      <c r="A154" s="39"/>
      <c r="B154" s="7" t="s">
        <v>189</v>
      </c>
      <c r="C154" s="134" t="str">
        <f>'A21 Asset Mgt Avoided Dev Work'!D47</f>
        <v>A - High</v>
      </c>
      <c r="D154" s="176">
        <f>VLOOKUP(C154,'Confidence Factors'!$B$6:$D$9,3)</f>
        <v>1</v>
      </c>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10"/>
    </row>
    <row r="155" spans="1:42">
      <c r="A155" s="39"/>
      <c r="B155" s="7" t="s">
        <v>30</v>
      </c>
      <c r="C155" s="128">
        <f>SUM(D155:AN155)</f>
        <v>134000</v>
      </c>
      <c r="D155" s="177">
        <v>0</v>
      </c>
      <c r="E155" s="454">
        <f>'A21 Asset Mgt Avoided Dev Work'!D70*'A21 Asset Mgt Avoided Dev Work'!D75*'Calcs - Scen 1'!D154</f>
        <v>134000</v>
      </c>
      <c r="F155" s="454">
        <f>(('A20 hub performance mngt'!$D77)/3)*'A20 hub performance mngt'!$D82*'Calcs - Scen 1'!$D154</f>
        <v>0</v>
      </c>
      <c r="G155" s="454">
        <f>(('A20 hub performance mngt'!$D77)/3)*'A20 hub performance mngt'!$D82*'Calcs - Scen 1'!$D154</f>
        <v>0</v>
      </c>
      <c r="H155" s="454">
        <f>(('A20 hub performance mngt'!$D77)/3)*'A20 hub performance mngt'!$D82*'Calcs - Scen 1'!$D154</f>
        <v>0</v>
      </c>
      <c r="I155" s="3">
        <f>'A16 Waste Food Treatment Suppor'!H110*'A16 Waste Food Treatment Suppor'!D110*'Calcs - Scen 1'!D154</f>
        <v>0</v>
      </c>
      <c r="J155" s="3">
        <f>'A16 Waste Food Treatment Suppor'!I110*'A16 Waste Food Treatment Suppor'!D110*'Calcs - Scen 1'!D154</f>
        <v>0</v>
      </c>
      <c r="K155" s="3">
        <f>'A16 Waste Food Treatment Suppor'!J110*'A16 Waste Food Treatment Suppor'!D110*'Calcs - Scen 1'!D154</f>
        <v>0</v>
      </c>
      <c r="L155" s="3">
        <f>'A17 Wst Avoid Future Variations'!I101*'A17 Wst Avoid Future Variations'!D103*'Calcs - Scen 1'!D154</f>
        <v>0</v>
      </c>
      <c r="M155" s="3">
        <f>'A17 Wst Avoid Future Variations'!J101*'A17 Wst Avoid Future Variations'!D103*'Calcs - Scen 1'!D154</f>
        <v>0</v>
      </c>
      <c r="N155" s="3">
        <f>'A17 Wst Avoid Future Variations'!K101*'Calcs - Scen 1'!D154</f>
        <v>0</v>
      </c>
      <c r="O155" s="3">
        <f>'A17 Wst Avoid Future Variations'!L101*'A17 Wst Avoid Future Variations'!D103*'Calcs - Scen 1'!D154</f>
        <v>0</v>
      </c>
      <c r="P155" s="3">
        <f>'A17 Wst Avoid Future Variations'!M101*'A17 Wst Avoid Future Variations'!D103*'Calcs - Scen 1'!D154</f>
        <v>0</v>
      </c>
      <c r="Q155" s="3">
        <f>'A17 Wst Avoid Future Variations'!N101*'A17 Wst Avoid Future Variations'!D103*'Calcs - Scen 1'!D154</f>
        <v>0</v>
      </c>
      <c r="R155" s="3">
        <f>'A17 Wst Avoid Future Variations'!O101*'A17 Wst Avoid Future Variations'!D103*'Calcs - Scen 1'!D154</f>
        <v>0</v>
      </c>
      <c r="S155" s="3">
        <f>'A17 Wst Avoid Future Variations'!P101*'A17 Wst Avoid Future Variations'!D103*'Calcs - Scen 1'!D154</f>
        <v>0</v>
      </c>
      <c r="T155" s="127">
        <f>'A17 Wst Avoid Future Variations'!Q101*'A17 Wst Avoid Future Variations'!D103*'Calcs - Scen 1'!D154</f>
        <v>0</v>
      </c>
      <c r="U155" s="3">
        <f>'A17 Wst Avoid Future Variations'!R101*'A17 Wst Avoid Future Variations'!D103*'Calcs - Scen 1'!D154</f>
        <v>0</v>
      </c>
      <c r="V155" s="3">
        <f>'A17 Wst Avoid Future Variations'!S101*'A17 Wst Avoid Future Variations'!D103*'Calcs - Scen 1'!D154</f>
        <v>0</v>
      </c>
      <c r="W155" s="3">
        <f>'A17 Wst Avoid Future Variations'!T101*'A17 Wst Avoid Future Variations'!D103*'Calcs - Scen 1'!D154</f>
        <v>0</v>
      </c>
      <c r="X155" s="3">
        <f>'A17 Wst Avoid Future Variations'!U101*'A17 Wst Avoid Future Variations'!D103*'Calcs - Scen 1'!D154</f>
        <v>0</v>
      </c>
      <c r="Y155" s="3">
        <f>'A17 Wst Avoid Future Variations'!V101*'A17 Wst Avoid Future Variations'!D103*'Calcs - Scen 1'!D154</f>
        <v>0</v>
      </c>
      <c r="Z155" s="3">
        <f>'A17 Wst Avoid Future Variations'!W101*'A17 Wst Avoid Future Variations'!D103*'Calcs - Scen 1'!D154</f>
        <v>0</v>
      </c>
      <c r="AA155" s="3">
        <f>'A17 Wst Avoid Future Variations'!X101*'A17 Wst Avoid Future Variations'!D103*'Calcs - Scen 1'!D154</f>
        <v>0</v>
      </c>
      <c r="AB155" s="3">
        <f>'A17 Wst Avoid Future Variations'!Y101*'A17 Wst Avoid Future Variations'!D103*'Calcs - Scen 1'!D154</f>
        <v>0</v>
      </c>
      <c r="AC155" s="3">
        <f>'A17 Wst Avoid Future Variations'!Z101*'A17 Wst Avoid Future Variations'!D103*'Calcs - Scen 1'!D154</f>
        <v>0</v>
      </c>
      <c r="AD155" s="3">
        <f>'A17 Wst Avoid Future Variations'!AA101*'A17 Wst Avoid Future Variations'!D103*'Calcs - Scen 1'!D154</f>
        <v>0</v>
      </c>
      <c r="AE155" s="3">
        <f>'A17 Wst Avoid Future Variations'!AB101*'A17 Wst Avoid Future Variations'!D103*'Calcs - Scen 1'!D154</f>
        <v>0</v>
      </c>
      <c r="AF155" s="3">
        <v>0</v>
      </c>
      <c r="AG155" s="3">
        <v>0</v>
      </c>
      <c r="AH155" s="3">
        <v>0</v>
      </c>
      <c r="AI155" s="3">
        <v>0</v>
      </c>
      <c r="AJ155" s="3">
        <v>0</v>
      </c>
      <c r="AK155" s="3">
        <v>0</v>
      </c>
      <c r="AL155" s="3">
        <v>0</v>
      </c>
      <c r="AM155" s="3">
        <v>0</v>
      </c>
      <c r="AN155" s="213">
        <v>0</v>
      </c>
      <c r="AO155" s="213">
        <v>0</v>
      </c>
      <c r="AP155" s="9">
        <v>0</v>
      </c>
    </row>
    <row r="156" spans="1:42">
      <c r="A156" s="39"/>
      <c r="B156" s="7" t="s">
        <v>31</v>
      </c>
      <c r="C156" s="129">
        <f>NPV($C$7,F155:AO155)+D155+E155</f>
        <v>134000</v>
      </c>
      <c r="D156" s="7"/>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10"/>
    </row>
    <row r="157" spans="1:42">
      <c r="A157" s="39"/>
      <c r="B157" s="7" t="s">
        <v>4</v>
      </c>
      <c r="C157" s="130" t="str">
        <f>IF(SUM(D157:AN157)&gt;1,"CHECK"," ")</f>
        <v xml:space="preserve"> </v>
      </c>
      <c r="D157" s="178">
        <v>0</v>
      </c>
      <c r="E157" s="15">
        <v>1</v>
      </c>
      <c r="F157" s="15"/>
      <c r="G157" s="15"/>
      <c r="H157" s="15"/>
      <c r="I157" s="15"/>
      <c r="J157" s="15"/>
      <c r="K157" s="15"/>
      <c r="L157" s="15"/>
      <c r="M157" s="15"/>
      <c r="N157" s="15"/>
      <c r="O157" s="15"/>
      <c r="P157" s="15"/>
      <c r="Q157" s="15"/>
      <c r="R157" s="15"/>
      <c r="S157" s="15"/>
      <c r="T157" s="125"/>
      <c r="U157" s="15"/>
      <c r="V157" s="15"/>
      <c r="W157" s="15"/>
      <c r="X157" s="15"/>
      <c r="Y157" s="15"/>
      <c r="Z157" s="15"/>
      <c r="AA157" s="15"/>
      <c r="AB157" s="15"/>
      <c r="AC157" s="15"/>
      <c r="AD157" s="15"/>
      <c r="AE157" s="15"/>
      <c r="AF157" s="15"/>
      <c r="AG157" s="15"/>
      <c r="AH157" s="15"/>
      <c r="AI157" s="15"/>
      <c r="AJ157" s="15"/>
      <c r="AK157" s="15"/>
      <c r="AL157" s="15"/>
      <c r="AM157" s="15"/>
      <c r="AN157" s="146"/>
      <c r="AO157" s="146"/>
      <c r="AP157" s="16"/>
    </row>
    <row r="158" spans="1:42" ht="15.75" thickBot="1">
      <c r="A158" s="39"/>
      <c r="B158" s="7"/>
      <c r="C158" s="10"/>
      <c r="D158" s="179">
        <f>IF(D157&gt;0,(D157*$C156),0)</f>
        <v>0</v>
      </c>
      <c r="E158" s="20">
        <f t="shared" ref="E158:R158" si="37">IF(E157&gt;0,(E157*$C156),0)</f>
        <v>134000</v>
      </c>
      <c r="F158" s="20">
        <f t="shared" si="37"/>
        <v>0</v>
      </c>
      <c r="G158" s="20">
        <f t="shared" si="37"/>
        <v>0</v>
      </c>
      <c r="H158" s="20">
        <f t="shared" si="37"/>
        <v>0</v>
      </c>
      <c r="I158" s="20">
        <f t="shared" si="37"/>
        <v>0</v>
      </c>
      <c r="J158" s="20">
        <f t="shared" si="37"/>
        <v>0</v>
      </c>
      <c r="K158" s="20">
        <f t="shared" si="37"/>
        <v>0</v>
      </c>
      <c r="L158" s="20">
        <f t="shared" si="37"/>
        <v>0</v>
      </c>
      <c r="M158" s="20">
        <f t="shared" si="37"/>
        <v>0</v>
      </c>
      <c r="N158" s="20">
        <f t="shared" si="37"/>
        <v>0</v>
      </c>
      <c r="O158" s="20">
        <f t="shared" si="37"/>
        <v>0</v>
      </c>
      <c r="P158" s="20">
        <f t="shared" si="37"/>
        <v>0</v>
      </c>
      <c r="Q158" s="20">
        <f t="shared" si="37"/>
        <v>0</v>
      </c>
      <c r="R158" s="20">
        <f t="shared" si="37"/>
        <v>0</v>
      </c>
      <c r="S158" s="20">
        <f>IF(S157&gt;0,(S157*$C156),0)</f>
        <v>0</v>
      </c>
      <c r="T158" s="126">
        <f t="shared" ref="T158:AN158" si="38">IF(T157&gt;0,(T157*$C156),0)</f>
        <v>0</v>
      </c>
      <c r="U158" s="20">
        <f t="shared" si="38"/>
        <v>0</v>
      </c>
      <c r="V158" s="20">
        <f t="shared" si="38"/>
        <v>0</v>
      </c>
      <c r="W158" s="20">
        <f t="shared" si="38"/>
        <v>0</v>
      </c>
      <c r="X158" s="20">
        <f t="shared" si="38"/>
        <v>0</v>
      </c>
      <c r="Y158" s="20">
        <f t="shared" si="38"/>
        <v>0</v>
      </c>
      <c r="Z158" s="20">
        <f t="shared" si="38"/>
        <v>0</v>
      </c>
      <c r="AA158" s="20">
        <f t="shared" si="38"/>
        <v>0</v>
      </c>
      <c r="AB158" s="20">
        <f t="shared" si="38"/>
        <v>0</v>
      </c>
      <c r="AC158" s="20">
        <f t="shared" si="38"/>
        <v>0</v>
      </c>
      <c r="AD158" s="20">
        <f t="shared" si="38"/>
        <v>0</v>
      </c>
      <c r="AE158" s="20">
        <f t="shared" si="38"/>
        <v>0</v>
      </c>
      <c r="AF158" s="20">
        <f t="shared" si="38"/>
        <v>0</v>
      </c>
      <c r="AG158" s="20">
        <f t="shared" si="38"/>
        <v>0</v>
      </c>
      <c r="AH158" s="20">
        <f t="shared" si="38"/>
        <v>0</v>
      </c>
      <c r="AI158" s="20">
        <f t="shared" si="38"/>
        <v>0</v>
      </c>
      <c r="AJ158" s="20">
        <f t="shared" si="38"/>
        <v>0</v>
      </c>
      <c r="AK158" s="20">
        <f t="shared" si="38"/>
        <v>0</v>
      </c>
      <c r="AL158" s="20">
        <f t="shared" si="38"/>
        <v>0</v>
      </c>
      <c r="AM158" s="20">
        <f t="shared" si="38"/>
        <v>0</v>
      </c>
      <c r="AN158" s="215">
        <f t="shared" si="38"/>
        <v>0</v>
      </c>
      <c r="AO158" s="215">
        <f>IF(AO157&gt;0,(AO157*$C156),0)</f>
        <v>0</v>
      </c>
      <c r="AP158" s="22">
        <f>IF(AP157&gt;0,(AP157*$C156),0)</f>
        <v>0</v>
      </c>
    </row>
    <row r="159" spans="1:42" ht="15.75" thickBot="1">
      <c r="A159" s="39"/>
      <c r="B159" s="7"/>
      <c r="C159" s="10"/>
      <c r="D159" s="463"/>
      <c r="E159" s="464"/>
      <c r="F159" s="464"/>
      <c r="G159" s="464"/>
      <c r="H159" s="464"/>
      <c r="I159" s="464"/>
      <c r="J159" s="464"/>
      <c r="K159" s="464"/>
      <c r="L159" s="464"/>
      <c r="M159" s="464"/>
      <c r="N159" s="464"/>
      <c r="O159" s="464"/>
      <c r="P159" s="464"/>
      <c r="Q159" s="464"/>
      <c r="R159" s="464"/>
      <c r="S159" s="464"/>
      <c r="T159" s="464"/>
      <c r="U159" s="464"/>
      <c r="V159" s="464"/>
      <c r="W159" s="464"/>
      <c r="X159" s="464"/>
      <c r="Y159" s="464"/>
      <c r="Z159" s="464"/>
      <c r="AA159" s="464"/>
      <c r="AB159" s="464"/>
      <c r="AC159" s="464"/>
      <c r="AD159" s="464"/>
      <c r="AE159" s="464"/>
      <c r="AF159" s="464"/>
      <c r="AG159" s="464"/>
      <c r="AH159" s="464"/>
      <c r="AI159" s="464"/>
      <c r="AJ159" s="464"/>
      <c r="AK159" s="464"/>
      <c r="AL159" s="464"/>
      <c r="AM159" s="464"/>
      <c r="AN159" s="464"/>
      <c r="AO159" s="464"/>
      <c r="AP159" s="465"/>
    </row>
    <row r="160" spans="1:42">
      <c r="A160" s="39"/>
      <c r="B160" s="4" t="s">
        <v>12</v>
      </c>
      <c r="C160" s="466" t="str">
        <f>Summary!B36</f>
        <v>A22</v>
      </c>
      <c r="D160" s="156" t="str">
        <f>Summary!C36</f>
        <v>Optimism Bias &amp; Contingency Management Review - Development Work</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6"/>
    </row>
    <row r="161" spans="1:42">
      <c r="A161" s="39"/>
      <c r="B161" s="7" t="s">
        <v>189</v>
      </c>
      <c r="C161" s="134" t="str">
        <f>'A22 Optimism Bias &amp; Contingency'!D47</f>
        <v>A - High</v>
      </c>
      <c r="D161" s="176">
        <f>VLOOKUP(C161,'Confidence Factors'!$B$6:$D$9,3)</f>
        <v>1</v>
      </c>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10"/>
    </row>
    <row r="162" spans="1:42">
      <c r="A162" s="39"/>
      <c r="B162" s="7" t="s">
        <v>30</v>
      </c>
      <c r="C162" s="128">
        <f>SUM(D162:AN162)</f>
        <v>100000</v>
      </c>
      <c r="D162" s="177">
        <v>0</v>
      </c>
      <c r="E162" s="454">
        <f>(('A22 Optimism Bias &amp; Contingency'!D70)/2)*'A22 Optimism Bias &amp; Contingency'!D75*'Calcs - Scen 1'!D161</f>
        <v>50000</v>
      </c>
      <c r="F162" s="454">
        <f>(('A22 Optimism Bias &amp; Contingency'!D70)/2)*'A22 Optimism Bias &amp; Contingency'!D75*'Calcs - Scen 1'!D161</f>
        <v>50000</v>
      </c>
      <c r="G162" s="454">
        <f>(('A20 hub performance mngt'!$D84)/3)*'A20 hub performance mngt'!$D89*'Calcs - Scen 1'!$D161</f>
        <v>0</v>
      </c>
      <c r="H162" s="454">
        <f>(('A20 hub performance mngt'!$D84)/3)*'A20 hub performance mngt'!$D89*'Calcs - Scen 1'!$D161</f>
        <v>0</v>
      </c>
      <c r="I162" s="3">
        <f>'A16 Waste Food Treatment Suppor'!H117*'A16 Waste Food Treatment Suppor'!D117*'Calcs - Scen 1'!D161</f>
        <v>0</v>
      </c>
      <c r="J162" s="3">
        <f>'A16 Waste Food Treatment Suppor'!I117*'A16 Waste Food Treatment Suppor'!D117*'Calcs - Scen 1'!D161</f>
        <v>0</v>
      </c>
      <c r="K162" s="3">
        <f>'A16 Waste Food Treatment Suppor'!J117*'A16 Waste Food Treatment Suppor'!D117*'Calcs - Scen 1'!D161</f>
        <v>0</v>
      </c>
      <c r="L162" s="3">
        <f>'A17 Wst Avoid Future Variations'!I108*'A17 Wst Avoid Future Variations'!D110*'Calcs - Scen 1'!D161</f>
        <v>0</v>
      </c>
      <c r="M162" s="3">
        <f>'A17 Wst Avoid Future Variations'!J108*'A17 Wst Avoid Future Variations'!D110*'Calcs - Scen 1'!D161</f>
        <v>0</v>
      </c>
      <c r="N162" s="3">
        <f>'A17 Wst Avoid Future Variations'!K108*'Calcs - Scen 1'!D161</f>
        <v>0</v>
      </c>
      <c r="O162" s="3">
        <f>'A17 Wst Avoid Future Variations'!L108*'A17 Wst Avoid Future Variations'!D110*'Calcs - Scen 1'!D161</f>
        <v>0</v>
      </c>
      <c r="P162" s="3">
        <f>'A17 Wst Avoid Future Variations'!M108*'A17 Wst Avoid Future Variations'!D110*'Calcs - Scen 1'!D161</f>
        <v>0</v>
      </c>
      <c r="Q162" s="3">
        <f>'A17 Wst Avoid Future Variations'!N108*'A17 Wst Avoid Future Variations'!D110*'Calcs - Scen 1'!D161</f>
        <v>0</v>
      </c>
      <c r="R162" s="3">
        <f>'A17 Wst Avoid Future Variations'!O108*'A17 Wst Avoid Future Variations'!D110*'Calcs - Scen 1'!D161</f>
        <v>0</v>
      </c>
      <c r="S162" s="3">
        <f>'A17 Wst Avoid Future Variations'!P108*'A17 Wst Avoid Future Variations'!D110*'Calcs - Scen 1'!D161</f>
        <v>0</v>
      </c>
      <c r="T162" s="127">
        <f>'A17 Wst Avoid Future Variations'!Q108*'A17 Wst Avoid Future Variations'!D110*'Calcs - Scen 1'!D161</f>
        <v>0</v>
      </c>
      <c r="U162" s="3">
        <f>'A17 Wst Avoid Future Variations'!R108*'A17 Wst Avoid Future Variations'!D110*'Calcs - Scen 1'!D161</f>
        <v>0</v>
      </c>
      <c r="V162" s="3">
        <f>'A17 Wst Avoid Future Variations'!S108*'A17 Wst Avoid Future Variations'!D110*'Calcs - Scen 1'!D161</f>
        <v>0</v>
      </c>
      <c r="W162" s="3">
        <f>'A17 Wst Avoid Future Variations'!T108*'A17 Wst Avoid Future Variations'!D110*'Calcs - Scen 1'!D161</f>
        <v>0</v>
      </c>
      <c r="X162" s="3">
        <f>'A17 Wst Avoid Future Variations'!U108*'A17 Wst Avoid Future Variations'!D110*'Calcs - Scen 1'!D161</f>
        <v>0</v>
      </c>
      <c r="Y162" s="3">
        <f>'A17 Wst Avoid Future Variations'!V108*'A17 Wst Avoid Future Variations'!D110*'Calcs - Scen 1'!D161</f>
        <v>0</v>
      </c>
      <c r="Z162" s="3">
        <f>'A17 Wst Avoid Future Variations'!W108*'A17 Wst Avoid Future Variations'!D110*'Calcs - Scen 1'!D161</f>
        <v>0</v>
      </c>
      <c r="AA162" s="3">
        <f>'A17 Wst Avoid Future Variations'!X108*'A17 Wst Avoid Future Variations'!D110*'Calcs - Scen 1'!D161</f>
        <v>0</v>
      </c>
      <c r="AB162" s="3">
        <f>'A17 Wst Avoid Future Variations'!Y108*'A17 Wst Avoid Future Variations'!D110*'Calcs - Scen 1'!D161</f>
        <v>0</v>
      </c>
      <c r="AC162" s="3">
        <f>'A17 Wst Avoid Future Variations'!Z108*'A17 Wst Avoid Future Variations'!D110*'Calcs - Scen 1'!D161</f>
        <v>0</v>
      </c>
      <c r="AD162" s="3">
        <f>'A17 Wst Avoid Future Variations'!AA108*'A17 Wst Avoid Future Variations'!D110*'Calcs - Scen 1'!D161</f>
        <v>0</v>
      </c>
      <c r="AE162" s="3">
        <f>'A17 Wst Avoid Future Variations'!AB108*'A17 Wst Avoid Future Variations'!D110*'Calcs - Scen 1'!D161</f>
        <v>0</v>
      </c>
      <c r="AF162" s="3">
        <v>0</v>
      </c>
      <c r="AG162" s="3">
        <v>0</v>
      </c>
      <c r="AH162" s="3">
        <v>0</v>
      </c>
      <c r="AI162" s="3">
        <v>0</v>
      </c>
      <c r="AJ162" s="3">
        <v>0</v>
      </c>
      <c r="AK162" s="3">
        <v>0</v>
      </c>
      <c r="AL162" s="3">
        <v>0</v>
      </c>
      <c r="AM162" s="3">
        <v>0</v>
      </c>
      <c r="AN162" s="213">
        <v>0</v>
      </c>
      <c r="AO162" s="213">
        <v>0</v>
      </c>
      <c r="AP162" s="9">
        <v>0</v>
      </c>
    </row>
    <row r="163" spans="1:42">
      <c r="A163" s="39"/>
      <c r="B163" s="7" t="s">
        <v>31</v>
      </c>
      <c r="C163" s="129">
        <f>NPV($C$7,F162:AO162)+D162+E162</f>
        <v>98309.178743961354</v>
      </c>
      <c r="D163" s="7"/>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10"/>
    </row>
    <row r="164" spans="1:42">
      <c r="A164" s="39"/>
      <c r="B164" s="7" t="s">
        <v>4</v>
      </c>
      <c r="C164" s="130" t="str">
        <f>IF(SUM(D164:AN164)&gt;1,"CHECK"," ")</f>
        <v xml:space="preserve"> </v>
      </c>
      <c r="D164" s="178">
        <v>0</v>
      </c>
      <c r="E164" s="15">
        <v>0.5</v>
      </c>
      <c r="F164" s="15">
        <v>0.5</v>
      </c>
      <c r="G164" s="15"/>
      <c r="H164" s="15"/>
      <c r="I164" s="15"/>
      <c r="J164" s="15"/>
      <c r="K164" s="15"/>
      <c r="L164" s="15"/>
      <c r="M164" s="15"/>
      <c r="N164" s="15"/>
      <c r="O164" s="15"/>
      <c r="P164" s="15"/>
      <c r="Q164" s="15"/>
      <c r="R164" s="15"/>
      <c r="S164" s="15"/>
      <c r="T164" s="125"/>
      <c r="U164" s="15"/>
      <c r="V164" s="15"/>
      <c r="W164" s="15"/>
      <c r="X164" s="15"/>
      <c r="Y164" s="15"/>
      <c r="Z164" s="15"/>
      <c r="AA164" s="15"/>
      <c r="AB164" s="15"/>
      <c r="AC164" s="15"/>
      <c r="AD164" s="15"/>
      <c r="AE164" s="15"/>
      <c r="AF164" s="15"/>
      <c r="AG164" s="15"/>
      <c r="AH164" s="15"/>
      <c r="AI164" s="15"/>
      <c r="AJ164" s="15"/>
      <c r="AK164" s="15"/>
      <c r="AL164" s="15"/>
      <c r="AM164" s="15"/>
      <c r="AN164" s="146"/>
      <c r="AO164" s="146"/>
      <c r="AP164" s="16"/>
    </row>
    <row r="165" spans="1:42" ht="15.75" thickBot="1">
      <c r="A165" s="39"/>
      <c r="B165" s="7"/>
      <c r="C165" s="10"/>
      <c r="D165" s="179">
        <f>IF(D164&gt;0,(D164*$C163),0)</f>
        <v>0</v>
      </c>
      <c r="E165" s="20">
        <f t="shared" ref="E165:R165" si="39">IF(E164&gt;0,(E164*$C163),0)</f>
        <v>49154.589371980677</v>
      </c>
      <c r="F165" s="20">
        <f t="shared" si="39"/>
        <v>49154.589371980677</v>
      </c>
      <c r="G165" s="20">
        <f t="shared" si="39"/>
        <v>0</v>
      </c>
      <c r="H165" s="20">
        <f t="shared" si="39"/>
        <v>0</v>
      </c>
      <c r="I165" s="20">
        <f t="shared" si="39"/>
        <v>0</v>
      </c>
      <c r="J165" s="20">
        <f t="shared" si="39"/>
        <v>0</v>
      </c>
      <c r="K165" s="20">
        <f t="shared" si="39"/>
        <v>0</v>
      </c>
      <c r="L165" s="20">
        <f t="shared" si="39"/>
        <v>0</v>
      </c>
      <c r="M165" s="20">
        <f t="shared" si="39"/>
        <v>0</v>
      </c>
      <c r="N165" s="20">
        <f t="shared" si="39"/>
        <v>0</v>
      </c>
      <c r="O165" s="20">
        <f t="shared" si="39"/>
        <v>0</v>
      </c>
      <c r="P165" s="20">
        <f t="shared" si="39"/>
        <v>0</v>
      </c>
      <c r="Q165" s="20">
        <f t="shared" si="39"/>
        <v>0</v>
      </c>
      <c r="R165" s="20">
        <f t="shared" si="39"/>
        <v>0</v>
      </c>
      <c r="S165" s="20">
        <f>IF(S164&gt;0,(S164*$C163),0)</f>
        <v>0</v>
      </c>
      <c r="T165" s="126">
        <f t="shared" ref="T165:AN165" si="40">IF(T164&gt;0,(T164*$C163),0)</f>
        <v>0</v>
      </c>
      <c r="U165" s="20">
        <f t="shared" si="40"/>
        <v>0</v>
      </c>
      <c r="V165" s="20">
        <f t="shared" si="40"/>
        <v>0</v>
      </c>
      <c r="W165" s="20">
        <f t="shared" si="40"/>
        <v>0</v>
      </c>
      <c r="X165" s="20">
        <f t="shared" si="40"/>
        <v>0</v>
      </c>
      <c r="Y165" s="20">
        <f t="shared" si="40"/>
        <v>0</v>
      </c>
      <c r="Z165" s="20">
        <f t="shared" si="40"/>
        <v>0</v>
      </c>
      <c r="AA165" s="20">
        <f t="shared" si="40"/>
        <v>0</v>
      </c>
      <c r="AB165" s="20">
        <f t="shared" si="40"/>
        <v>0</v>
      </c>
      <c r="AC165" s="20">
        <f t="shared" si="40"/>
        <v>0</v>
      </c>
      <c r="AD165" s="20">
        <f t="shared" si="40"/>
        <v>0</v>
      </c>
      <c r="AE165" s="20">
        <f t="shared" si="40"/>
        <v>0</v>
      </c>
      <c r="AF165" s="20">
        <f t="shared" si="40"/>
        <v>0</v>
      </c>
      <c r="AG165" s="20">
        <f t="shared" si="40"/>
        <v>0</v>
      </c>
      <c r="AH165" s="20">
        <f t="shared" si="40"/>
        <v>0</v>
      </c>
      <c r="AI165" s="20">
        <f t="shared" si="40"/>
        <v>0</v>
      </c>
      <c r="AJ165" s="20">
        <f t="shared" si="40"/>
        <v>0</v>
      </c>
      <c r="AK165" s="20">
        <f t="shared" si="40"/>
        <v>0</v>
      </c>
      <c r="AL165" s="20">
        <f t="shared" si="40"/>
        <v>0</v>
      </c>
      <c r="AM165" s="20">
        <f t="shared" si="40"/>
        <v>0</v>
      </c>
      <c r="AN165" s="215">
        <f t="shared" si="40"/>
        <v>0</v>
      </c>
      <c r="AO165" s="215">
        <f>IF(AO164&gt;0,(AO164*$C163),0)</f>
        <v>0</v>
      </c>
      <c r="AP165" s="22">
        <f>IF(AP164&gt;0,(AP164*$C163),0)</f>
        <v>0</v>
      </c>
    </row>
    <row r="166" spans="1:42" ht="15.75" thickBot="1">
      <c r="A166" s="39"/>
      <c r="B166" s="7"/>
      <c r="C166" s="10"/>
      <c r="D166" s="463"/>
      <c r="E166" s="464"/>
      <c r="F166" s="464"/>
      <c r="G166" s="464"/>
      <c r="H166" s="464"/>
      <c r="I166" s="464"/>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464"/>
      <c r="AK166" s="464"/>
      <c r="AL166" s="464"/>
      <c r="AM166" s="464"/>
      <c r="AN166" s="464"/>
      <c r="AO166" s="464"/>
      <c r="AP166" s="465"/>
    </row>
    <row r="167" spans="1:42">
      <c r="A167" s="39"/>
      <c r="B167" s="4" t="s">
        <v>12</v>
      </c>
      <c r="C167" s="133" t="str">
        <f>Summary!B37</f>
        <v>B1</v>
      </c>
      <c r="D167" s="156" t="str">
        <f>Summary!C37</f>
        <v xml:space="preserve">TIF - Development of Model </v>
      </c>
      <c r="E167" s="21"/>
      <c r="F167" s="21"/>
      <c r="G167" s="21"/>
      <c r="H167" s="21"/>
      <c r="I167" s="21"/>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6"/>
    </row>
    <row r="168" spans="1:42">
      <c r="A168" s="39"/>
      <c r="B168" s="7" t="s">
        <v>189</v>
      </c>
      <c r="C168" s="134" t="str">
        <f>'B1 TIF Develop'!D47</f>
        <v>C - Good</v>
      </c>
      <c r="D168" s="176">
        <f>VLOOKUP(C168,'Confidence Factors'!$B$6:$D$9,3)</f>
        <v>0.75</v>
      </c>
      <c r="E168" s="95"/>
      <c r="F168" s="95"/>
      <c r="G168" s="95"/>
      <c r="H168" s="95"/>
      <c r="I168" s="95"/>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10"/>
    </row>
    <row r="169" spans="1:42">
      <c r="A169" s="39"/>
      <c r="B169" s="7" t="s">
        <v>30</v>
      </c>
      <c r="C169" s="128">
        <f>SUM(D169:AN169)</f>
        <v>61355000</v>
      </c>
      <c r="D169" s="180">
        <v>0</v>
      </c>
      <c r="E169" s="19">
        <v>0</v>
      </c>
      <c r="F169" s="19">
        <f>14490000*D168*'B1 TIF Develop'!D75</f>
        <v>3622500</v>
      </c>
      <c r="G169" s="19">
        <f>19100000*D168*'B1 TIF Develop'!D75</f>
        <v>4775000</v>
      </c>
      <c r="H169" s="19">
        <f>49000000*D168*'B1 TIF Develop'!D75</f>
        <v>12250000</v>
      </c>
      <c r="I169" s="19">
        <f>73000000*D168*'B1 TIF Develop'!D75</f>
        <v>18250000</v>
      </c>
      <c r="J169" s="19">
        <f>24240000*D168*'B1 TIF Develop'!D75</f>
        <v>6060000</v>
      </c>
      <c r="K169" s="454">
        <f>13310000*D168*'B1 TIF Develop'!D75</f>
        <v>3327500</v>
      </c>
      <c r="L169" s="454">
        <f>31940000*D168*'B1 TIF Develop'!D75</f>
        <v>7985000</v>
      </c>
      <c r="M169" s="454">
        <f>19090000*D168*'B1 TIF Develop'!D75</f>
        <v>4772500</v>
      </c>
      <c r="N169" s="454">
        <f>1250000*D168*'B1 TIF Develop'!D75</f>
        <v>312500</v>
      </c>
      <c r="O169" s="3">
        <v>0</v>
      </c>
      <c r="P169" s="3">
        <v>0</v>
      </c>
      <c r="Q169" s="3">
        <v>0</v>
      </c>
      <c r="R169" s="3">
        <v>0</v>
      </c>
      <c r="S169" s="3">
        <v>0</v>
      </c>
      <c r="T169" s="127">
        <v>0</v>
      </c>
      <c r="U169" s="3">
        <v>0</v>
      </c>
      <c r="V169" s="3">
        <v>0</v>
      </c>
      <c r="W169" s="3">
        <v>0</v>
      </c>
      <c r="X169" s="3">
        <v>0</v>
      </c>
      <c r="Y169" s="3">
        <v>0</v>
      </c>
      <c r="Z169" s="3">
        <v>0</v>
      </c>
      <c r="AA169" s="3">
        <v>0</v>
      </c>
      <c r="AB169" s="3">
        <v>0</v>
      </c>
      <c r="AC169" s="3">
        <v>0</v>
      </c>
      <c r="AD169" s="3">
        <v>0</v>
      </c>
      <c r="AE169" s="3">
        <v>0</v>
      </c>
      <c r="AF169" s="3">
        <v>0</v>
      </c>
      <c r="AG169" s="3">
        <v>0</v>
      </c>
      <c r="AH169" s="3">
        <v>0</v>
      </c>
      <c r="AI169" s="3">
        <v>0</v>
      </c>
      <c r="AJ169" s="3">
        <v>0</v>
      </c>
      <c r="AK169" s="3">
        <v>0</v>
      </c>
      <c r="AL169" s="3">
        <v>0</v>
      </c>
      <c r="AM169" s="3">
        <v>0</v>
      </c>
      <c r="AN169" s="213">
        <v>0</v>
      </c>
      <c r="AO169" s="213">
        <v>0</v>
      </c>
      <c r="AP169" s="9">
        <v>0</v>
      </c>
    </row>
    <row r="170" spans="1:42">
      <c r="A170" s="39"/>
      <c r="B170" s="7" t="s">
        <v>31</v>
      </c>
      <c r="C170" s="129">
        <f>NPV($C$7,F169:AO169)+D169+E169</f>
        <v>52849133.581190094</v>
      </c>
      <c r="D170" s="7"/>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10"/>
    </row>
    <row r="171" spans="1:42">
      <c r="A171" s="39"/>
      <c r="B171" s="7" t="s">
        <v>4</v>
      </c>
      <c r="C171" s="130" t="str">
        <f>IF(SUM(D171:AN171)&gt;1,"CHECK"," ")</f>
        <v xml:space="preserve"> </v>
      </c>
      <c r="D171" s="178">
        <v>0.5</v>
      </c>
      <c r="E171" s="15">
        <v>0.3</v>
      </c>
      <c r="F171" s="15">
        <v>0.2</v>
      </c>
      <c r="G171" s="15"/>
      <c r="H171" s="15"/>
      <c r="I171" s="15"/>
      <c r="J171" s="15"/>
      <c r="K171" s="15"/>
      <c r="L171" s="15"/>
      <c r="M171" s="15"/>
      <c r="N171" s="15"/>
      <c r="O171" s="15"/>
      <c r="P171" s="15"/>
      <c r="Q171" s="15"/>
      <c r="R171" s="15"/>
      <c r="S171" s="15"/>
      <c r="T171" s="125"/>
      <c r="U171" s="15"/>
      <c r="V171" s="15"/>
      <c r="W171" s="15"/>
      <c r="X171" s="15"/>
      <c r="Y171" s="15"/>
      <c r="Z171" s="15"/>
      <c r="AA171" s="15"/>
      <c r="AB171" s="15"/>
      <c r="AC171" s="15"/>
      <c r="AD171" s="15"/>
      <c r="AE171" s="15"/>
      <c r="AF171" s="15"/>
      <c r="AG171" s="15"/>
      <c r="AH171" s="15"/>
      <c r="AI171" s="15"/>
      <c r="AJ171" s="15"/>
      <c r="AK171" s="15"/>
      <c r="AL171" s="15"/>
      <c r="AM171" s="15"/>
      <c r="AN171" s="146"/>
      <c r="AO171" s="146"/>
      <c r="AP171" s="16"/>
    </row>
    <row r="172" spans="1:42" ht="15.75" thickBot="1">
      <c r="A172" s="39"/>
      <c r="B172" s="11" t="s">
        <v>32</v>
      </c>
      <c r="C172" s="51"/>
      <c r="D172" s="179">
        <f>IF(D171&gt;0,(D171*$C170),0)</f>
        <v>26424566.790595047</v>
      </c>
      <c r="E172" s="20">
        <f t="shared" ref="E172:AN172" si="41">IF(E171&gt;0,(E171*$C170),0)</f>
        <v>15854740.074357027</v>
      </c>
      <c r="F172" s="20">
        <f t="shared" si="41"/>
        <v>10569826.71623802</v>
      </c>
      <c r="G172" s="20">
        <f t="shared" si="41"/>
        <v>0</v>
      </c>
      <c r="H172" s="20">
        <f t="shared" si="41"/>
        <v>0</v>
      </c>
      <c r="I172" s="20">
        <f t="shared" si="41"/>
        <v>0</v>
      </c>
      <c r="J172" s="20">
        <f t="shared" si="41"/>
        <v>0</v>
      </c>
      <c r="K172" s="20">
        <f t="shared" si="41"/>
        <v>0</v>
      </c>
      <c r="L172" s="20">
        <f t="shared" si="41"/>
        <v>0</v>
      </c>
      <c r="M172" s="20">
        <f t="shared" si="41"/>
        <v>0</v>
      </c>
      <c r="N172" s="20">
        <f t="shared" si="41"/>
        <v>0</v>
      </c>
      <c r="O172" s="20">
        <f t="shared" si="41"/>
        <v>0</v>
      </c>
      <c r="P172" s="20">
        <f t="shared" si="41"/>
        <v>0</v>
      </c>
      <c r="Q172" s="20">
        <f t="shared" si="41"/>
        <v>0</v>
      </c>
      <c r="R172" s="20">
        <f t="shared" si="41"/>
        <v>0</v>
      </c>
      <c r="S172" s="20">
        <f>IF(S171&gt;0,(S171*$C170),0)</f>
        <v>0</v>
      </c>
      <c r="T172" s="126">
        <f t="shared" si="41"/>
        <v>0</v>
      </c>
      <c r="U172" s="20">
        <f t="shared" si="41"/>
        <v>0</v>
      </c>
      <c r="V172" s="20">
        <f t="shared" si="41"/>
        <v>0</v>
      </c>
      <c r="W172" s="20">
        <f t="shared" si="41"/>
        <v>0</v>
      </c>
      <c r="X172" s="20">
        <f t="shared" si="41"/>
        <v>0</v>
      </c>
      <c r="Y172" s="20">
        <f t="shared" si="41"/>
        <v>0</v>
      </c>
      <c r="Z172" s="20">
        <f t="shared" si="41"/>
        <v>0</v>
      </c>
      <c r="AA172" s="20">
        <f t="shared" si="41"/>
        <v>0</v>
      </c>
      <c r="AB172" s="20">
        <f t="shared" si="41"/>
        <v>0</v>
      </c>
      <c r="AC172" s="20">
        <f t="shared" si="41"/>
        <v>0</v>
      </c>
      <c r="AD172" s="20">
        <f t="shared" si="41"/>
        <v>0</v>
      </c>
      <c r="AE172" s="20">
        <f t="shared" si="41"/>
        <v>0</v>
      </c>
      <c r="AF172" s="20">
        <f t="shared" si="41"/>
        <v>0</v>
      </c>
      <c r="AG172" s="20">
        <f t="shared" si="41"/>
        <v>0</v>
      </c>
      <c r="AH172" s="20">
        <f t="shared" si="41"/>
        <v>0</v>
      </c>
      <c r="AI172" s="20">
        <f t="shared" si="41"/>
        <v>0</v>
      </c>
      <c r="AJ172" s="20">
        <f t="shared" si="41"/>
        <v>0</v>
      </c>
      <c r="AK172" s="20">
        <f t="shared" si="41"/>
        <v>0</v>
      </c>
      <c r="AL172" s="20">
        <f t="shared" si="41"/>
        <v>0</v>
      </c>
      <c r="AM172" s="20">
        <f t="shared" si="41"/>
        <v>0</v>
      </c>
      <c r="AN172" s="215">
        <f t="shared" si="41"/>
        <v>0</v>
      </c>
      <c r="AO172" s="215">
        <f>IF(AO171&gt;0,(AO171*$C170),0)</f>
        <v>0</v>
      </c>
      <c r="AP172" s="22">
        <f>IF(AP171&gt;0,(AP171*$C170),0)</f>
        <v>0</v>
      </c>
    </row>
    <row r="173" spans="1:42" ht="15.75" thickBot="1">
      <c r="A173" s="39"/>
      <c r="B173" s="7"/>
      <c r="C173" s="10"/>
      <c r="D173" s="221"/>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222"/>
    </row>
    <row r="174" spans="1:42">
      <c r="A174" s="39"/>
      <c r="B174" s="4" t="s">
        <v>12</v>
      </c>
      <c r="C174" s="133" t="str">
        <f>Summary!B38</f>
        <v>B2</v>
      </c>
      <c r="D174" s="156" t="str">
        <f>Summary!C38</f>
        <v xml:space="preserve">NHT - Development of Model </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6"/>
    </row>
    <row r="175" spans="1:42">
      <c r="A175" s="39"/>
      <c r="B175" s="7" t="s">
        <v>189</v>
      </c>
      <c r="C175" s="134" t="str">
        <f>'B2 NHT Develop'!D47</f>
        <v>B - Very Good</v>
      </c>
      <c r="D175" s="176">
        <f>VLOOKUP(C175,'Confidence Factors'!$B$6:$D$9,3)</f>
        <v>0.9</v>
      </c>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10"/>
    </row>
    <row r="176" spans="1:42">
      <c r="A176" s="39"/>
      <c r="B176" s="7" t="s">
        <v>30</v>
      </c>
      <c r="C176" s="128">
        <f>SUM(D176:AN176)</f>
        <v>30294000</v>
      </c>
      <c r="D176" s="180">
        <v>0</v>
      </c>
      <c r="E176" s="19">
        <v>0</v>
      </c>
      <c r="F176" s="19">
        <f>4000000*'B2 NHT Develop'!D75*'Calcs - Scen 1'!D175</f>
        <v>1188000</v>
      </c>
      <c r="G176" s="19">
        <f>98000000*'B2 NHT Develop'!D75*'Calcs - Scen 1'!D175</f>
        <v>29106000</v>
      </c>
      <c r="H176" s="19">
        <f>'B2 NHT Develop'!K$71*'B2 NHT Develop'!$D75*'Calcs - Scen 1'!$D175</f>
        <v>0</v>
      </c>
      <c r="I176" s="19">
        <f>'B2 NHT Develop'!L$71*'B2 NHT Develop'!$D75*'Calcs - Scen 1'!$D175</f>
        <v>0</v>
      </c>
      <c r="J176" s="19">
        <f>'B2 NHT Develop'!M$71*'B2 NHT Develop'!$D75*'Calcs - Scen 1'!$D175</f>
        <v>0</v>
      </c>
      <c r="K176" s="19">
        <f>'B2 NHT Develop'!N$71*'B2 NHT Develop'!$D75*'Calcs - Scen 1'!$D175</f>
        <v>0</v>
      </c>
      <c r="L176" s="19">
        <f>'B2 NHT Develop'!O$71*'B2 NHT Develop'!$D75*'Calcs - Scen 1'!$D175</f>
        <v>0</v>
      </c>
      <c r="M176" s="19">
        <f>'B2 NHT Develop'!P$71*'B2 NHT Develop'!$D75*'Calcs - Scen 1'!$D175</f>
        <v>0</v>
      </c>
      <c r="N176" s="19">
        <f>'B2 NHT Develop'!Q$71*'B2 NHT Develop'!$D75*'Calcs - Scen 1'!$D175</f>
        <v>0</v>
      </c>
      <c r="O176" s="3">
        <v>0</v>
      </c>
      <c r="P176" s="3">
        <v>0</v>
      </c>
      <c r="Q176" s="3">
        <v>0</v>
      </c>
      <c r="R176" s="3">
        <v>0</v>
      </c>
      <c r="S176" s="3">
        <v>0</v>
      </c>
      <c r="T176" s="127">
        <v>0</v>
      </c>
      <c r="U176" s="3">
        <v>0</v>
      </c>
      <c r="V176" s="3">
        <v>0</v>
      </c>
      <c r="W176" s="3">
        <v>0</v>
      </c>
      <c r="X176" s="3">
        <v>0</v>
      </c>
      <c r="Y176" s="3">
        <v>0</v>
      </c>
      <c r="Z176" s="3">
        <v>0</v>
      </c>
      <c r="AA176" s="3">
        <v>0</v>
      </c>
      <c r="AB176" s="3">
        <v>0</v>
      </c>
      <c r="AC176" s="3">
        <v>0</v>
      </c>
      <c r="AD176" s="3">
        <v>0</v>
      </c>
      <c r="AE176" s="3">
        <v>0</v>
      </c>
      <c r="AF176" s="3">
        <v>0</v>
      </c>
      <c r="AG176" s="3">
        <v>0</v>
      </c>
      <c r="AH176" s="3">
        <v>0</v>
      </c>
      <c r="AI176" s="3">
        <v>0</v>
      </c>
      <c r="AJ176" s="3">
        <v>0</v>
      </c>
      <c r="AK176" s="3">
        <v>0</v>
      </c>
      <c r="AL176" s="3">
        <v>0</v>
      </c>
      <c r="AM176" s="3">
        <v>0</v>
      </c>
      <c r="AN176" s="213">
        <v>0</v>
      </c>
      <c r="AO176" s="213">
        <v>0</v>
      </c>
      <c r="AP176" s="9">
        <v>0</v>
      </c>
    </row>
    <row r="177" spans="1:42">
      <c r="A177" s="39"/>
      <c r="B177" s="7" t="s">
        <v>31</v>
      </c>
      <c r="C177" s="129">
        <f>NPV($C$7,F176:AO176)+D176+E176</f>
        <v>28318588.53182105</v>
      </c>
      <c r="D177" s="7"/>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10"/>
    </row>
    <row r="178" spans="1:42">
      <c r="A178" s="39"/>
      <c r="B178" s="7" t="s">
        <v>4</v>
      </c>
      <c r="C178" s="130" t="str">
        <f>IF(SUM(D178:AN178)&gt;1,"CHECK"," ")</f>
        <v xml:space="preserve"> </v>
      </c>
      <c r="D178" s="178">
        <v>0.2</v>
      </c>
      <c r="E178" s="15">
        <v>0.6</v>
      </c>
      <c r="F178" s="15">
        <v>0.2</v>
      </c>
      <c r="G178" s="15"/>
      <c r="H178" s="15"/>
      <c r="I178" s="15"/>
      <c r="J178" s="15"/>
      <c r="K178" s="15"/>
      <c r="L178" s="15"/>
      <c r="M178" s="15"/>
      <c r="N178" s="15"/>
      <c r="O178" s="15"/>
      <c r="P178" s="15"/>
      <c r="Q178" s="15"/>
      <c r="R178" s="15"/>
      <c r="S178" s="15"/>
      <c r="T178" s="125"/>
      <c r="U178" s="15"/>
      <c r="V178" s="15"/>
      <c r="W178" s="15"/>
      <c r="X178" s="15"/>
      <c r="Y178" s="15"/>
      <c r="Z178" s="15"/>
      <c r="AA178" s="15"/>
      <c r="AB178" s="15"/>
      <c r="AC178" s="15"/>
      <c r="AD178" s="15"/>
      <c r="AE178" s="15"/>
      <c r="AF178" s="15"/>
      <c r="AG178" s="15"/>
      <c r="AH178" s="15"/>
      <c r="AI178" s="15"/>
      <c r="AJ178" s="15"/>
      <c r="AK178" s="15"/>
      <c r="AL178" s="15"/>
      <c r="AM178" s="15"/>
      <c r="AN178" s="146"/>
      <c r="AO178" s="146"/>
      <c r="AP178" s="16"/>
    </row>
    <row r="179" spans="1:42" ht="15.75" thickBot="1">
      <c r="A179" s="39"/>
      <c r="B179" s="11" t="s">
        <v>32</v>
      </c>
      <c r="C179" s="51"/>
      <c r="D179" s="179">
        <f>IF(D178&gt;0,(D178*$C177),0)</f>
        <v>5663717.7063642107</v>
      </c>
      <c r="E179" s="20">
        <f t="shared" ref="E179:AN179" si="42">IF(E178&gt;0,(E178*$C177),0)</f>
        <v>16991153.119092628</v>
      </c>
      <c r="F179" s="20">
        <f t="shared" si="42"/>
        <v>5663717.7063642107</v>
      </c>
      <c r="G179" s="20">
        <f t="shared" si="42"/>
        <v>0</v>
      </c>
      <c r="H179" s="20">
        <f t="shared" si="42"/>
        <v>0</v>
      </c>
      <c r="I179" s="20">
        <f t="shared" si="42"/>
        <v>0</v>
      </c>
      <c r="J179" s="20">
        <f t="shared" si="42"/>
        <v>0</v>
      </c>
      <c r="K179" s="20">
        <f t="shared" si="42"/>
        <v>0</v>
      </c>
      <c r="L179" s="20">
        <f t="shared" si="42"/>
        <v>0</v>
      </c>
      <c r="M179" s="20">
        <f t="shared" si="42"/>
        <v>0</v>
      </c>
      <c r="N179" s="20">
        <f t="shared" si="42"/>
        <v>0</v>
      </c>
      <c r="O179" s="20">
        <f t="shared" si="42"/>
        <v>0</v>
      </c>
      <c r="P179" s="20">
        <f t="shared" si="42"/>
        <v>0</v>
      </c>
      <c r="Q179" s="20">
        <f t="shared" si="42"/>
        <v>0</v>
      </c>
      <c r="R179" s="20">
        <f t="shared" si="42"/>
        <v>0</v>
      </c>
      <c r="S179" s="20">
        <f>IF(S178&gt;0,(S178*$C177),0)</f>
        <v>0</v>
      </c>
      <c r="T179" s="126">
        <f t="shared" si="42"/>
        <v>0</v>
      </c>
      <c r="U179" s="20">
        <f t="shared" si="42"/>
        <v>0</v>
      </c>
      <c r="V179" s="20">
        <f t="shared" si="42"/>
        <v>0</v>
      </c>
      <c r="W179" s="20">
        <f t="shared" si="42"/>
        <v>0</v>
      </c>
      <c r="X179" s="20">
        <f t="shared" si="42"/>
        <v>0</v>
      </c>
      <c r="Y179" s="20">
        <f t="shared" si="42"/>
        <v>0</v>
      </c>
      <c r="Z179" s="20">
        <f t="shared" si="42"/>
        <v>0</v>
      </c>
      <c r="AA179" s="20">
        <f t="shared" si="42"/>
        <v>0</v>
      </c>
      <c r="AB179" s="20">
        <f t="shared" si="42"/>
        <v>0</v>
      </c>
      <c r="AC179" s="20">
        <f t="shared" si="42"/>
        <v>0</v>
      </c>
      <c r="AD179" s="20">
        <f t="shared" si="42"/>
        <v>0</v>
      </c>
      <c r="AE179" s="20">
        <f t="shared" si="42"/>
        <v>0</v>
      </c>
      <c r="AF179" s="20">
        <f t="shared" si="42"/>
        <v>0</v>
      </c>
      <c r="AG179" s="20">
        <f t="shared" si="42"/>
        <v>0</v>
      </c>
      <c r="AH179" s="20">
        <f t="shared" si="42"/>
        <v>0</v>
      </c>
      <c r="AI179" s="20">
        <f t="shared" si="42"/>
        <v>0</v>
      </c>
      <c r="AJ179" s="20">
        <f t="shared" si="42"/>
        <v>0</v>
      </c>
      <c r="AK179" s="20">
        <f t="shared" si="42"/>
        <v>0</v>
      </c>
      <c r="AL179" s="20">
        <f t="shared" si="42"/>
        <v>0</v>
      </c>
      <c r="AM179" s="20">
        <f t="shared" si="42"/>
        <v>0</v>
      </c>
      <c r="AN179" s="215">
        <f t="shared" si="42"/>
        <v>0</v>
      </c>
      <c r="AO179" s="215">
        <f>IF(AO178&gt;0,(AO178*$C177),0)</f>
        <v>0</v>
      </c>
      <c r="AP179" s="22">
        <f>IF(AP178&gt;0,(AP178*$C177),0)</f>
        <v>0</v>
      </c>
    </row>
    <row r="180" spans="1:42" ht="15.75" thickBot="1">
      <c r="A180" s="39"/>
      <c r="B180" s="7"/>
      <c r="C180" s="10"/>
      <c r="D180" s="221"/>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222"/>
    </row>
    <row r="181" spans="1:42">
      <c r="A181" s="39"/>
      <c r="B181" s="4" t="s">
        <v>12</v>
      </c>
      <c r="C181" s="133" t="str">
        <f>Summary!B39</f>
        <v>C1</v>
      </c>
      <c r="D181" s="156" t="str">
        <f>Summary!C39</f>
        <v>Western Isles and Orkney Schools Projects - Finance Structure</v>
      </c>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6"/>
    </row>
    <row r="182" spans="1:42">
      <c r="A182" s="39"/>
      <c r="B182" s="7" t="s">
        <v>189</v>
      </c>
      <c r="C182" s="134" t="str">
        <f>'C1 West &amp; Ork'!D47</f>
        <v>A - High</v>
      </c>
      <c r="D182" s="176">
        <f>VLOOKUP(C182,'Confidence Factors'!$B$6:$D$9,3)</f>
        <v>1</v>
      </c>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10"/>
    </row>
    <row r="183" spans="1:42">
      <c r="A183" s="39"/>
      <c r="B183" s="7" t="s">
        <v>30</v>
      </c>
      <c r="C183" s="128">
        <f>SUM(D183:AN183)</f>
        <v>64500000</v>
      </c>
      <c r="D183" s="177">
        <v>0</v>
      </c>
      <c r="E183" s="19">
        <v>0</v>
      </c>
      <c r="F183" s="19">
        <v>0</v>
      </c>
      <c r="G183" s="19">
        <f>(('C1 West &amp; Ork'!$D70)/30)*'C1 West &amp; Ork'!$D75*'Calcs - Scen 1'!$D182</f>
        <v>2150000</v>
      </c>
      <c r="H183" s="19">
        <f>(('C1 West &amp; Ork'!$D70)/30)*'C1 West &amp; Ork'!$D75*'Calcs - Scen 1'!$D182</f>
        <v>2150000</v>
      </c>
      <c r="I183" s="19">
        <f>(('C1 West &amp; Ork'!$D70)/30)*'C1 West &amp; Ork'!$D75*'Calcs - Scen 1'!$D182</f>
        <v>2150000</v>
      </c>
      <c r="J183" s="19">
        <f>(('C1 West &amp; Ork'!$D70)/30)*'C1 West &amp; Ork'!$D75*'Calcs - Scen 1'!$D182</f>
        <v>2150000</v>
      </c>
      <c r="K183" s="19">
        <f>(('C1 West &amp; Ork'!$D70)/30)*'C1 West &amp; Ork'!$D75*'Calcs - Scen 1'!$D182</f>
        <v>2150000</v>
      </c>
      <c r="L183" s="19">
        <f>(('C1 West &amp; Ork'!$D70)/30)*'C1 West &amp; Ork'!$D75*'Calcs - Scen 1'!$D182</f>
        <v>2150000</v>
      </c>
      <c r="M183" s="19">
        <f>(('C1 West &amp; Ork'!$D70)/30)*'C1 West &amp; Ork'!$D75*'Calcs - Scen 1'!$D182</f>
        <v>2150000</v>
      </c>
      <c r="N183" s="19">
        <f>(('C1 West &amp; Ork'!$D70)/30)*'C1 West &amp; Ork'!$D75*'Calcs - Scen 1'!$D182</f>
        <v>2150000</v>
      </c>
      <c r="O183" s="19">
        <f>(('C1 West &amp; Ork'!$D70)/30)*'C1 West &amp; Ork'!$D75*'Calcs - Scen 1'!$D182</f>
        <v>2150000</v>
      </c>
      <c r="P183" s="19">
        <f>(('C1 West &amp; Ork'!$D70)/30)*'C1 West &amp; Ork'!$D75*'Calcs - Scen 1'!$D182</f>
        <v>2150000</v>
      </c>
      <c r="Q183" s="19">
        <f>(('C1 West &amp; Ork'!$D70)/30)*'C1 West &amp; Ork'!$D75*'Calcs - Scen 1'!$D182</f>
        <v>2150000</v>
      </c>
      <c r="R183" s="19">
        <f>(('C1 West &amp; Ork'!$D70)/30)*'C1 West &amp; Ork'!$D75*'Calcs - Scen 1'!$D182</f>
        <v>2150000</v>
      </c>
      <c r="S183" s="19">
        <f>(('C1 West &amp; Ork'!$D70)/30)*'C1 West &amp; Ork'!$D75*'Calcs - Scen 1'!$D182</f>
        <v>2150000</v>
      </c>
      <c r="T183" s="19">
        <f>(('C1 West &amp; Ork'!$D70)/30)*'C1 West &amp; Ork'!$D75*'Calcs - Scen 1'!$D182</f>
        <v>2150000</v>
      </c>
      <c r="U183" s="19">
        <f>(('C1 West &amp; Ork'!$D70)/30)*'C1 West &amp; Ork'!$D75*'Calcs - Scen 1'!$D182</f>
        <v>2150000</v>
      </c>
      <c r="V183" s="19">
        <f>(('C1 West &amp; Ork'!$D70)/30)*'C1 West &amp; Ork'!$D75*'Calcs - Scen 1'!$D182</f>
        <v>2150000</v>
      </c>
      <c r="W183" s="19">
        <f>(('C1 West &amp; Ork'!$D70)/30)*'C1 West &amp; Ork'!$D75*'Calcs - Scen 1'!$D182</f>
        <v>2150000</v>
      </c>
      <c r="X183" s="19">
        <f>(('C1 West &amp; Ork'!$D70)/30)*'C1 West &amp; Ork'!$D75*'Calcs - Scen 1'!$D182</f>
        <v>2150000</v>
      </c>
      <c r="Y183" s="19">
        <f>(('C1 West &amp; Ork'!$D70)/30)*'C1 West &amp; Ork'!$D75*'Calcs - Scen 1'!$D182</f>
        <v>2150000</v>
      </c>
      <c r="Z183" s="19">
        <f>(('C1 West &amp; Ork'!$D70)/30)*'C1 West &amp; Ork'!$D75*'Calcs - Scen 1'!$D182</f>
        <v>2150000</v>
      </c>
      <c r="AA183" s="19">
        <f>(('C1 West &amp; Ork'!$D70)/30)*'C1 West &amp; Ork'!$D75*'Calcs - Scen 1'!$D182</f>
        <v>2150000</v>
      </c>
      <c r="AB183" s="19">
        <f>(('C1 West &amp; Ork'!$D70)/30)*'C1 West &amp; Ork'!$D75*'Calcs - Scen 1'!$D182</f>
        <v>2150000</v>
      </c>
      <c r="AC183" s="19">
        <f>(('C1 West &amp; Ork'!$D70)/30)*'C1 West &amp; Ork'!$D75*'Calcs - Scen 1'!$D182</f>
        <v>2150000</v>
      </c>
      <c r="AD183" s="19">
        <f>(('C1 West &amp; Ork'!$D70)/30)*'C1 West &amp; Ork'!$D75*'Calcs - Scen 1'!$D182</f>
        <v>2150000</v>
      </c>
      <c r="AE183" s="19">
        <f>(('C1 West &amp; Ork'!$D70)/30)*'C1 West &amp; Ork'!$D75*'Calcs - Scen 1'!$D182</f>
        <v>2150000</v>
      </c>
      <c r="AF183" s="19">
        <f>(('C1 West &amp; Ork'!$D70)/30)*'C1 West &amp; Ork'!$D75*'Calcs - Scen 1'!$D182</f>
        <v>2150000</v>
      </c>
      <c r="AG183" s="19">
        <f>(('C1 West &amp; Ork'!$D70)/30)*'C1 West &amp; Ork'!$D75*'Calcs - Scen 1'!$D182</f>
        <v>2150000</v>
      </c>
      <c r="AH183" s="19">
        <f>(('C1 West &amp; Ork'!$D70)/30)*'C1 West &amp; Ork'!$D75*'Calcs - Scen 1'!$D182</f>
        <v>2150000</v>
      </c>
      <c r="AI183" s="19">
        <f>(('C1 West &amp; Ork'!$D70)/30)*'C1 West &amp; Ork'!$D75*'Calcs - Scen 1'!$D182</f>
        <v>2150000</v>
      </c>
      <c r="AJ183" s="19">
        <f>(('C1 West &amp; Ork'!$D70)/30)*'C1 West &amp; Ork'!$D75*'Calcs - Scen 1'!$D182</f>
        <v>2150000</v>
      </c>
      <c r="AK183" s="19">
        <v>0</v>
      </c>
      <c r="AL183" s="19">
        <v>0</v>
      </c>
      <c r="AM183" s="19">
        <v>0</v>
      </c>
      <c r="AN183" s="216">
        <v>0</v>
      </c>
      <c r="AO183" s="216">
        <v>0</v>
      </c>
      <c r="AP183" s="23">
        <v>0</v>
      </c>
    </row>
    <row r="184" spans="1:42">
      <c r="A184" s="39"/>
      <c r="B184" s="7" t="s">
        <v>31</v>
      </c>
      <c r="C184" s="129">
        <f>NPV($C$7,F183:AO183)+D183+E183</f>
        <v>38205698.197516993</v>
      </c>
      <c r="D184" s="7"/>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10"/>
    </row>
    <row r="185" spans="1:42">
      <c r="A185" s="39"/>
      <c r="B185" s="7" t="s">
        <v>4</v>
      </c>
      <c r="C185" s="130" t="str">
        <f>IF(SUM(D185:AN185)&gt;1,"CHECK"," ")</f>
        <v xml:space="preserve"> </v>
      </c>
      <c r="D185" s="178">
        <v>0.2</v>
      </c>
      <c r="E185" s="15">
        <v>0.8</v>
      </c>
      <c r="F185" s="15"/>
      <c r="G185" s="15"/>
      <c r="H185" s="15"/>
      <c r="I185" s="15"/>
      <c r="J185" s="15"/>
      <c r="K185" s="15"/>
      <c r="L185" s="15"/>
      <c r="M185" s="15"/>
      <c r="N185" s="15"/>
      <c r="O185" s="15"/>
      <c r="P185" s="15"/>
      <c r="Q185" s="15"/>
      <c r="R185" s="15"/>
      <c r="S185" s="15"/>
      <c r="T185" s="125"/>
      <c r="U185" s="15"/>
      <c r="V185" s="15"/>
      <c r="W185" s="15"/>
      <c r="X185" s="15"/>
      <c r="Y185" s="15"/>
      <c r="Z185" s="15"/>
      <c r="AA185" s="15"/>
      <c r="AB185" s="15"/>
      <c r="AC185" s="15"/>
      <c r="AD185" s="15"/>
      <c r="AE185" s="15"/>
      <c r="AF185" s="15"/>
      <c r="AG185" s="15"/>
      <c r="AH185" s="15"/>
      <c r="AI185" s="15"/>
      <c r="AJ185" s="15"/>
      <c r="AK185" s="15"/>
      <c r="AL185" s="15"/>
      <c r="AM185" s="15"/>
      <c r="AN185" s="146"/>
      <c r="AO185" s="146"/>
      <c r="AP185" s="16"/>
    </row>
    <row r="186" spans="1:42" ht="15.75" thickBot="1">
      <c r="A186" s="39"/>
      <c r="B186" s="11" t="s">
        <v>32</v>
      </c>
      <c r="C186" s="51"/>
      <c r="D186" s="179">
        <f>IF(D185&gt;0,(D185*$C184),0)</f>
        <v>7641139.6395033989</v>
      </c>
      <c r="E186" s="20">
        <f t="shared" ref="E186:AN186" si="43">IF(E185&gt;0,(E185*$C184),0)</f>
        <v>30564558.558013596</v>
      </c>
      <c r="F186" s="20">
        <f t="shared" si="43"/>
        <v>0</v>
      </c>
      <c r="G186" s="20">
        <f t="shared" si="43"/>
        <v>0</v>
      </c>
      <c r="H186" s="20">
        <f t="shared" si="43"/>
        <v>0</v>
      </c>
      <c r="I186" s="20">
        <f t="shared" si="43"/>
        <v>0</v>
      </c>
      <c r="J186" s="20">
        <f t="shared" si="43"/>
        <v>0</v>
      </c>
      <c r="K186" s="20">
        <f t="shared" si="43"/>
        <v>0</v>
      </c>
      <c r="L186" s="20">
        <f t="shared" si="43"/>
        <v>0</v>
      </c>
      <c r="M186" s="20">
        <f t="shared" si="43"/>
        <v>0</v>
      </c>
      <c r="N186" s="20">
        <f t="shared" si="43"/>
        <v>0</v>
      </c>
      <c r="O186" s="20">
        <f t="shared" si="43"/>
        <v>0</v>
      </c>
      <c r="P186" s="20">
        <f t="shared" si="43"/>
        <v>0</v>
      </c>
      <c r="Q186" s="20">
        <f t="shared" si="43"/>
        <v>0</v>
      </c>
      <c r="R186" s="20">
        <f t="shared" si="43"/>
        <v>0</v>
      </c>
      <c r="S186" s="20">
        <f>IF(S185&gt;0,(S185*$C184),0)</f>
        <v>0</v>
      </c>
      <c r="T186" s="126">
        <f t="shared" si="43"/>
        <v>0</v>
      </c>
      <c r="U186" s="20">
        <f t="shared" si="43"/>
        <v>0</v>
      </c>
      <c r="V186" s="20">
        <f t="shared" si="43"/>
        <v>0</v>
      </c>
      <c r="W186" s="20">
        <f t="shared" si="43"/>
        <v>0</v>
      </c>
      <c r="X186" s="20">
        <f t="shared" si="43"/>
        <v>0</v>
      </c>
      <c r="Y186" s="20">
        <f t="shared" si="43"/>
        <v>0</v>
      </c>
      <c r="Z186" s="20">
        <f t="shared" si="43"/>
        <v>0</v>
      </c>
      <c r="AA186" s="20">
        <f t="shared" si="43"/>
        <v>0</v>
      </c>
      <c r="AB186" s="20">
        <f t="shared" si="43"/>
        <v>0</v>
      </c>
      <c r="AC186" s="20">
        <f t="shared" si="43"/>
        <v>0</v>
      </c>
      <c r="AD186" s="20">
        <f t="shared" si="43"/>
        <v>0</v>
      </c>
      <c r="AE186" s="20">
        <f t="shared" si="43"/>
        <v>0</v>
      </c>
      <c r="AF186" s="20">
        <f t="shared" si="43"/>
        <v>0</v>
      </c>
      <c r="AG186" s="20">
        <f t="shared" si="43"/>
        <v>0</v>
      </c>
      <c r="AH186" s="20">
        <f t="shared" si="43"/>
        <v>0</v>
      </c>
      <c r="AI186" s="20">
        <f t="shared" si="43"/>
        <v>0</v>
      </c>
      <c r="AJ186" s="20">
        <f t="shared" si="43"/>
        <v>0</v>
      </c>
      <c r="AK186" s="20">
        <f t="shared" si="43"/>
        <v>0</v>
      </c>
      <c r="AL186" s="20">
        <f t="shared" si="43"/>
        <v>0</v>
      </c>
      <c r="AM186" s="20">
        <f t="shared" si="43"/>
        <v>0</v>
      </c>
      <c r="AN186" s="215">
        <f t="shared" si="43"/>
        <v>0</v>
      </c>
      <c r="AO186" s="215">
        <f>IF(AO185&gt;0,(AO185*$C184),0)</f>
        <v>0</v>
      </c>
      <c r="AP186" s="22">
        <f>IF(AP185&gt;0,(AP185*$C184),0)</f>
        <v>0</v>
      </c>
    </row>
    <row r="187" spans="1:42" ht="15.75" thickBot="1">
      <c r="A187" s="39"/>
      <c r="B187" s="11"/>
      <c r="C187" s="51"/>
      <c r="D187" s="221"/>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222"/>
    </row>
    <row r="188" spans="1:42">
      <c r="A188" s="39"/>
      <c r="B188" s="4" t="s">
        <v>12</v>
      </c>
      <c r="C188" s="133" t="str">
        <f>Summary!B40</f>
        <v>C2</v>
      </c>
      <c r="D188" s="156" t="str">
        <f>Summary!C40</f>
        <v>Borders Rail - Lower Financing Costs (Nil Benefit)</v>
      </c>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6"/>
    </row>
    <row r="189" spans="1:42">
      <c r="A189" s="39"/>
      <c r="B189" s="7" t="s">
        <v>189</v>
      </c>
      <c r="C189" s="134" t="str">
        <f>'C2 Borders Rail Fin'!D47</f>
        <v>D - Moderate</v>
      </c>
      <c r="D189" s="176">
        <f>VLOOKUP(C189,'Confidence Factors'!$B$6:$D$9,3)</f>
        <v>0.55000000000000004</v>
      </c>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10"/>
    </row>
    <row r="190" spans="1:42">
      <c r="A190" s="39"/>
      <c r="B190" s="7" t="s">
        <v>30</v>
      </c>
      <c r="C190" s="128">
        <f>SUM(D190:AN190)</f>
        <v>0</v>
      </c>
      <c r="D190" s="180">
        <v>0</v>
      </c>
      <c r="E190" s="3">
        <v>0</v>
      </c>
      <c r="F190" s="3">
        <v>0</v>
      </c>
      <c r="G190" s="3">
        <v>0</v>
      </c>
      <c r="H190" s="3">
        <v>0</v>
      </c>
      <c r="I190" s="19">
        <f>(1500000-1500000)*'C2 Borders Rail Fin'!$D$75*$D$189</f>
        <v>0</v>
      </c>
      <c r="J190" s="19">
        <f>(('C2 Borders Rail Fin'!$D70)/30)*'C2 Borders Rail Fin'!$D75*'Calcs - Scen 1'!$D189</f>
        <v>0</v>
      </c>
      <c r="K190" s="19">
        <f>(('C2 Borders Rail Fin'!$D70)/30)*'C2 Borders Rail Fin'!$D75*'Calcs - Scen 1'!$D189</f>
        <v>0</v>
      </c>
      <c r="L190" s="19">
        <f>(('C2 Borders Rail Fin'!$D70)/30)*'C2 Borders Rail Fin'!$D75*'Calcs - Scen 1'!$D189</f>
        <v>0</v>
      </c>
      <c r="M190" s="19">
        <f>(('C2 Borders Rail Fin'!$D70)/30)*'C2 Borders Rail Fin'!$D75*'Calcs - Scen 1'!$D189</f>
        <v>0</v>
      </c>
      <c r="N190" s="19">
        <f>(('C2 Borders Rail Fin'!$D70)/30)*'C2 Borders Rail Fin'!$D75*'Calcs - Scen 1'!$D189</f>
        <v>0</v>
      </c>
      <c r="O190" s="19">
        <f>(('C2 Borders Rail Fin'!$D70)/30)*'C2 Borders Rail Fin'!$D75*'Calcs - Scen 1'!$D189</f>
        <v>0</v>
      </c>
      <c r="P190" s="19">
        <f>(('C2 Borders Rail Fin'!$D70)/30)*'C2 Borders Rail Fin'!$D75*'Calcs - Scen 1'!$D189</f>
        <v>0</v>
      </c>
      <c r="Q190" s="19">
        <f>(('C2 Borders Rail Fin'!$D70)/30)*'C2 Borders Rail Fin'!$D75*'Calcs - Scen 1'!$D189</f>
        <v>0</v>
      </c>
      <c r="R190" s="19">
        <f>(('C2 Borders Rail Fin'!$D70)/30)*'C2 Borders Rail Fin'!$D75*'Calcs - Scen 1'!$D189</f>
        <v>0</v>
      </c>
      <c r="S190" s="19">
        <f>(('C2 Borders Rail Fin'!$D70)/30)*'C2 Borders Rail Fin'!$D75*'Calcs - Scen 1'!$D189</f>
        <v>0</v>
      </c>
      <c r="T190" s="19">
        <f>(('C2 Borders Rail Fin'!$D70)/30)*'C2 Borders Rail Fin'!$D75*'Calcs - Scen 1'!$D189</f>
        <v>0</v>
      </c>
      <c r="U190" s="19">
        <f>(('C2 Borders Rail Fin'!$D70)/30)*'C2 Borders Rail Fin'!$D75*'Calcs - Scen 1'!$D189</f>
        <v>0</v>
      </c>
      <c r="V190" s="19">
        <f>(('C2 Borders Rail Fin'!$D70)/30)*'C2 Borders Rail Fin'!$D75*'Calcs - Scen 1'!$D189</f>
        <v>0</v>
      </c>
      <c r="W190" s="19">
        <f>(('C2 Borders Rail Fin'!$D70)/30)*'C2 Borders Rail Fin'!$D75*'Calcs - Scen 1'!$D189</f>
        <v>0</v>
      </c>
      <c r="X190" s="19">
        <f>(('C2 Borders Rail Fin'!$D70)/30)*'C2 Borders Rail Fin'!$D75*'Calcs - Scen 1'!$D189</f>
        <v>0</v>
      </c>
      <c r="Y190" s="19">
        <f>(('C2 Borders Rail Fin'!$D70)/30)*'C2 Borders Rail Fin'!$D75*'Calcs - Scen 1'!$D189</f>
        <v>0</v>
      </c>
      <c r="Z190" s="19">
        <f>(('C2 Borders Rail Fin'!$D70)/30)*'C2 Borders Rail Fin'!$D75*'Calcs - Scen 1'!$D189</f>
        <v>0</v>
      </c>
      <c r="AA190" s="19">
        <f>(('C2 Borders Rail Fin'!$D70)/30)*'C2 Borders Rail Fin'!$D75*'Calcs - Scen 1'!$D189</f>
        <v>0</v>
      </c>
      <c r="AB190" s="19">
        <f>(('C2 Borders Rail Fin'!$D70)/30)*'C2 Borders Rail Fin'!$D75*'Calcs - Scen 1'!$D189</f>
        <v>0</v>
      </c>
      <c r="AC190" s="19">
        <f>(('C2 Borders Rail Fin'!$D70)/30)*'C2 Borders Rail Fin'!$D75*'Calcs - Scen 1'!$D189</f>
        <v>0</v>
      </c>
      <c r="AD190" s="19">
        <f>(('C2 Borders Rail Fin'!$D70)/30)*'C2 Borders Rail Fin'!$D75*'Calcs - Scen 1'!$D189</f>
        <v>0</v>
      </c>
      <c r="AE190" s="19">
        <f>(('C2 Borders Rail Fin'!$D70)/30)*'C2 Borders Rail Fin'!$D75*'Calcs - Scen 1'!$D189</f>
        <v>0</v>
      </c>
      <c r="AF190" s="19">
        <f>(('C2 Borders Rail Fin'!$D70)/30)*'C2 Borders Rail Fin'!$D75*'Calcs - Scen 1'!$D189</f>
        <v>0</v>
      </c>
      <c r="AG190" s="19">
        <f>(('C2 Borders Rail Fin'!$D70)/30)*'C2 Borders Rail Fin'!$D75*'Calcs - Scen 1'!$D189</f>
        <v>0</v>
      </c>
      <c r="AH190" s="19">
        <f>(('C2 Borders Rail Fin'!$D70)/30)*'C2 Borders Rail Fin'!$D75*'Calcs - Scen 1'!$D189</f>
        <v>0</v>
      </c>
      <c r="AI190" s="19">
        <f>(('C2 Borders Rail Fin'!$D70)/30)*'C2 Borders Rail Fin'!$D75*'Calcs - Scen 1'!$D189</f>
        <v>0</v>
      </c>
      <c r="AJ190" s="19">
        <f>(('C2 Borders Rail Fin'!$D70)/30)*'C2 Borders Rail Fin'!$D75*'Calcs - Scen 1'!$D189</f>
        <v>0</v>
      </c>
      <c r="AK190" s="19">
        <f>(('C2 Borders Rail Fin'!$D70)/30)*'C2 Borders Rail Fin'!$D75*'Calcs - Scen 1'!$D189</f>
        <v>0</v>
      </c>
      <c r="AL190" s="19">
        <f>(('C2 Borders Rail Fin'!$D70)/30)*'C2 Borders Rail Fin'!$D75*'Calcs - Scen 1'!$D189</f>
        <v>0</v>
      </c>
      <c r="AM190" s="19">
        <f>(('C2 Borders Rail Fin'!$D70)/30)*'C2 Borders Rail Fin'!$D75*'Calcs - Scen 1'!$D189</f>
        <v>0</v>
      </c>
      <c r="AN190" s="213">
        <v>0</v>
      </c>
      <c r="AO190" s="213">
        <v>0</v>
      </c>
      <c r="AP190" s="9">
        <v>0</v>
      </c>
    </row>
    <row r="191" spans="1:42">
      <c r="A191" s="39"/>
      <c r="B191" s="7" t="s">
        <v>31</v>
      </c>
      <c r="C191" s="129">
        <f>NPV($C$7,F190:AO190)+D190+E190</f>
        <v>0</v>
      </c>
      <c r="D191" s="7"/>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10"/>
    </row>
    <row r="192" spans="1:42">
      <c r="A192" s="39"/>
      <c r="B192" s="7" t="s">
        <v>4</v>
      </c>
      <c r="C192" s="130" t="str">
        <f>IF(SUM(D192:AN192)&gt;1,"CHECK"," ")</f>
        <v xml:space="preserve"> </v>
      </c>
      <c r="D192" s="178">
        <v>0.2</v>
      </c>
      <c r="E192" s="15">
        <v>0.8</v>
      </c>
      <c r="F192" s="15"/>
      <c r="G192" s="15"/>
      <c r="H192" s="15"/>
      <c r="I192" s="15"/>
      <c r="J192" s="15"/>
      <c r="K192" s="15"/>
      <c r="L192" s="15"/>
      <c r="M192" s="15"/>
      <c r="N192" s="15"/>
      <c r="O192" s="15"/>
      <c r="P192" s="15"/>
      <c r="Q192" s="15"/>
      <c r="R192" s="15"/>
      <c r="S192" s="15"/>
      <c r="T192" s="125"/>
      <c r="U192" s="15"/>
      <c r="V192" s="15"/>
      <c r="W192" s="15"/>
      <c r="X192" s="15"/>
      <c r="Y192" s="15"/>
      <c r="Z192" s="15"/>
      <c r="AA192" s="15"/>
      <c r="AB192" s="15"/>
      <c r="AC192" s="15"/>
      <c r="AD192" s="15"/>
      <c r="AE192" s="15"/>
      <c r="AF192" s="15"/>
      <c r="AG192" s="15"/>
      <c r="AH192" s="15"/>
      <c r="AI192" s="15"/>
      <c r="AJ192" s="15"/>
      <c r="AK192" s="15"/>
      <c r="AL192" s="15"/>
      <c r="AM192" s="15"/>
      <c r="AN192" s="146"/>
      <c r="AO192" s="146"/>
      <c r="AP192" s="16"/>
    </row>
    <row r="193" spans="1:42" ht="15.75" thickBot="1">
      <c r="A193" s="39"/>
      <c r="B193" s="11" t="s">
        <v>32</v>
      </c>
      <c r="C193" s="51"/>
      <c r="D193" s="179">
        <f>IF(D192&gt;0,(D192*$C191),0)</f>
        <v>0</v>
      </c>
      <c r="E193" s="20">
        <f t="shared" ref="E193:AN193" si="44">IF(E192&gt;0,(E192*$C191),0)</f>
        <v>0</v>
      </c>
      <c r="F193" s="20">
        <f t="shared" si="44"/>
        <v>0</v>
      </c>
      <c r="G193" s="20">
        <f t="shared" si="44"/>
        <v>0</v>
      </c>
      <c r="H193" s="20">
        <f t="shared" si="44"/>
        <v>0</v>
      </c>
      <c r="I193" s="20">
        <f t="shared" si="44"/>
        <v>0</v>
      </c>
      <c r="J193" s="20">
        <f t="shared" si="44"/>
        <v>0</v>
      </c>
      <c r="K193" s="20">
        <f t="shared" si="44"/>
        <v>0</v>
      </c>
      <c r="L193" s="20">
        <f t="shared" si="44"/>
        <v>0</v>
      </c>
      <c r="M193" s="20">
        <f t="shared" si="44"/>
        <v>0</v>
      </c>
      <c r="N193" s="20">
        <f t="shared" si="44"/>
        <v>0</v>
      </c>
      <c r="O193" s="20">
        <f t="shared" si="44"/>
        <v>0</v>
      </c>
      <c r="P193" s="20">
        <f t="shared" si="44"/>
        <v>0</v>
      </c>
      <c r="Q193" s="20">
        <f t="shared" si="44"/>
        <v>0</v>
      </c>
      <c r="R193" s="20">
        <f t="shared" si="44"/>
        <v>0</v>
      </c>
      <c r="S193" s="20">
        <f>IF(S192&gt;0,(S192*$C191),0)</f>
        <v>0</v>
      </c>
      <c r="T193" s="126">
        <f t="shared" si="44"/>
        <v>0</v>
      </c>
      <c r="U193" s="20">
        <f t="shared" si="44"/>
        <v>0</v>
      </c>
      <c r="V193" s="20">
        <f t="shared" si="44"/>
        <v>0</v>
      </c>
      <c r="W193" s="20">
        <f t="shared" si="44"/>
        <v>0</v>
      </c>
      <c r="X193" s="20">
        <f t="shared" si="44"/>
        <v>0</v>
      </c>
      <c r="Y193" s="20">
        <f t="shared" si="44"/>
        <v>0</v>
      </c>
      <c r="Z193" s="20">
        <f t="shared" si="44"/>
        <v>0</v>
      </c>
      <c r="AA193" s="20">
        <f t="shared" si="44"/>
        <v>0</v>
      </c>
      <c r="AB193" s="20">
        <f t="shared" si="44"/>
        <v>0</v>
      </c>
      <c r="AC193" s="20">
        <f t="shared" si="44"/>
        <v>0</v>
      </c>
      <c r="AD193" s="20">
        <f t="shared" si="44"/>
        <v>0</v>
      </c>
      <c r="AE193" s="20">
        <f t="shared" si="44"/>
        <v>0</v>
      </c>
      <c r="AF193" s="20">
        <f t="shared" si="44"/>
        <v>0</v>
      </c>
      <c r="AG193" s="20">
        <f t="shared" si="44"/>
        <v>0</v>
      </c>
      <c r="AH193" s="20">
        <f t="shared" si="44"/>
        <v>0</v>
      </c>
      <c r="AI193" s="20">
        <f t="shared" si="44"/>
        <v>0</v>
      </c>
      <c r="AJ193" s="20">
        <f t="shared" si="44"/>
        <v>0</v>
      </c>
      <c r="AK193" s="20">
        <f t="shared" si="44"/>
        <v>0</v>
      </c>
      <c r="AL193" s="20">
        <f t="shared" si="44"/>
        <v>0</v>
      </c>
      <c r="AM193" s="20">
        <f t="shared" si="44"/>
        <v>0</v>
      </c>
      <c r="AN193" s="215">
        <f t="shared" si="44"/>
        <v>0</v>
      </c>
      <c r="AO193" s="215">
        <f>IF(AO192&gt;0,(AO192*$C191),0)</f>
        <v>0</v>
      </c>
      <c r="AP193" s="22">
        <f>IF(AP192&gt;0,(AP192*$C191),0)</f>
        <v>0</v>
      </c>
    </row>
    <row r="194" spans="1:42" ht="15.75" thickBot="1">
      <c r="A194" s="39"/>
      <c r="B194" s="7"/>
      <c r="C194" s="10"/>
      <c r="D194" s="221"/>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222"/>
    </row>
    <row r="195" spans="1:42">
      <c r="A195" s="39"/>
      <c r="B195" s="4" t="s">
        <v>12</v>
      </c>
      <c r="C195" s="133" t="str">
        <f>Summary!B41</f>
        <v>C3</v>
      </c>
      <c r="D195" s="156" t="str">
        <f>Summary!C41</f>
        <v>Borders Rail - Competition</v>
      </c>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6"/>
    </row>
    <row r="196" spans="1:42">
      <c r="A196" s="39"/>
      <c r="B196" s="7" t="s">
        <v>189</v>
      </c>
      <c r="C196" s="134" t="str">
        <f>'C3 Borders Rail Comp'!D47</f>
        <v>C - Good</v>
      </c>
      <c r="D196" s="176">
        <f>VLOOKUP(C196,'Confidence Factors'!$B$6:$D$9,3)</f>
        <v>0.75</v>
      </c>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10"/>
    </row>
    <row r="197" spans="1:42">
      <c r="A197" s="39"/>
      <c r="B197" s="7" t="s">
        <v>30</v>
      </c>
      <c r="C197" s="128">
        <f>SUM(D197:AN197)</f>
        <v>14625000</v>
      </c>
      <c r="D197" s="177">
        <v>0</v>
      </c>
      <c r="E197" s="19">
        <v>0</v>
      </c>
      <c r="F197" s="19">
        <v>0</v>
      </c>
      <c r="G197" s="19">
        <v>0</v>
      </c>
      <c r="H197" s="19">
        <v>0</v>
      </c>
      <c r="I197" s="19">
        <f>(('C3 Borders Rail Comp'!$D70)/30)*'C3 Borders Rail Comp'!$D75*'Calcs - Scen 1'!$D196</f>
        <v>487500</v>
      </c>
      <c r="J197" s="19">
        <f>(('C3 Borders Rail Comp'!$D70)/30)*'C3 Borders Rail Comp'!$D75*'Calcs - Scen 1'!$D196</f>
        <v>487500</v>
      </c>
      <c r="K197" s="19">
        <f>(('C3 Borders Rail Comp'!$D70)/30)*'C3 Borders Rail Comp'!$D75*'Calcs - Scen 1'!$D196</f>
        <v>487500</v>
      </c>
      <c r="L197" s="19">
        <f>(('C3 Borders Rail Comp'!$D70)/30)*'C3 Borders Rail Comp'!$D75*'Calcs - Scen 1'!$D196</f>
        <v>487500</v>
      </c>
      <c r="M197" s="19">
        <f>(('C3 Borders Rail Comp'!$D70)/30)*'C3 Borders Rail Comp'!$D75*'Calcs - Scen 1'!$D196</f>
        <v>487500</v>
      </c>
      <c r="N197" s="19">
        <f>(('C3 Borders Rail Comp'!$D70)/30)*'C3 Borders Rail Comp'!$D75*'Calcs - Scen 1'!$D196</f>
        <v>487500</v>
      </c>
      <c r="O197" s="19">
        <f>(('C3 Borders Rail Comp'!$D70)/30)*'C3 Borders Rail Comp'!$D75*'Calcs - Scen 1'!$D196</f>
        <v>487500</v>
      </c>
      <c r="P197" s="19">
        <f>(('C3 Borders Rail Comp'!$D70)/30)*'C3 Borders Rail Comp'!$D75*'Calcs - Scen 1'!$D196</f>
        <v>487500</v>
      </c>
      <c r="Q197" s="19">
        <f>(('C3 Borders Rail Comp'!$D70)/30)*'C3 Borders Rail Comp'!$D75*'Calcs - Scen 1'!$D196</f>
        <v>487500</v>
      </c>
      <c r="R197" s="19">
        <f>(('C3 Borders Rail Comp'!$D70)/30)*'C3 Borders Rail Comp'!$D75*'Calcs - Scen 1'!$D196</f>
        <v>487500</v>
      </c>
      <c r="S197" s="19">
        <f>(('C3 Borders Rail Comp'!$D70)/30)*'C3 Borders Rail Comp'!$D75*'Calcs - Scen 1'!$D196</f>
        <v>487500</v>
      </c>
      <c r="T197" s="19">
        <f>(('C3 Borders Rail Comp'!$D70)/30)*'C3 Borders Rail Comp'!$D75*'Calcs - Scen 1'!$D196</f>
        <v>487500</v>
      </c>
      <c r="U197" s="19">
        <f>(('C3 Borders Rail Comp'!$D70)/30)*'C3 Borders Rail Comp'!$D75*'Calcs - Scen 1'!$D196</f>
        <v>487500</v>
      </c>
      <c r="V197" s="19">
        <f>(('C3 Borders Rail Comp'!$D70)/30)*'C3 Borders Rail Comp'!$D75*'Calcs - Scen 1'!$D196</f>
        <v>487500</v>
      </c>
      <c r="W197" s="19">
        <f>(('C3 Borders Rail Comp'!$D70)/30)*'C3 Borders Rail Comp'!$D75*'Calcs - Scen 1'!$D196</f>
        <v>487500</v>
      </c>
      <c r="X197" s="19">
        <f>(('C3 Borders Rail Comp'!$D70)/30)*'C3 Borders Rail Comp'!$D75*'Calcs - Scen 1'!$D196</f>
        <v>487500</v>
      </c>
      <c r="Y197" s="19">
        <f>(('C3 Borders Rail Comp'!$D70)/30)*'C3 Borders Rail Comp'!$D75*'Calcs - Scen 1'!$D196</f>
        <v>487500</v>
      </c>
      <c r="Z197" s="19">
        <f>(('C3 Borders Rail Comp'!$D70)/30)*'C3 Borders Rail Comp'!$D75*'Calcs - Scen 1'!$D196</f>
        <v>487500</v>
      </c>
      <c r="AA197" s="19">
        <f>(('C3 Borders Rail Comp'!$D70)/30)*'C3 Borders Rail Comp'!$D75*'Calcs - Scen 1'!$D196</f>
        <v>487500</v>
      </c>
      <c r="AB197" s="19">
        <f>(('C3 Borders Rail Comp'!$D70)/30)*'C3 Borders Rail Comp'!$D75*'Calcs - Scen 1'!$D196</f>
        <v>487500</v>
      </c>
      <c r="AC197" s="19">
        <f>(('C3 Borders Rail Comp'!$D70)/30)*'C3 Borders Rail Comp'!$D75*'Calcs - Scen 1'!$D196</f>
        <v>487500</v>
      </c>
      <c r="AD197" s="19">
        <f>(('C3 Borders Rail Comp'!$D70)/30)*'C3 Borders Rail Comp'!$D75*'Calcs - Scen 1'!$D196</f>
        <v>487500</v>
      </c>
      <c r="AE197" s="19">
        <f>(('C3 Borders Rail Comp'!$D70)/30)*'C3 Borders Rail Comp'!$D75*'Calcs - Scen 1'!$D196</f>
        <v>487500</v>
      </c>
      <c r="AF197" s="19">
        <f>(('C3 Borders Rail Comp'!$D70)/30)*'C3 Borders Rail Comp'!$D75*'Calcs - Scen 1'!$D196</f>
        <v>487500</v>
      </c>
      <c r="AG197" s="19">
        <f>(('C3 Borders Rail Comp'!$D70)/30)*'C3 Borders Rail Comp'!$D75*'Calcs - Scen 1'!$D196</f>
        <v>487500</v>
      </c>
      <c r="AH197" s="19">
        <f>(('C3 Borders Rail Comp'!$D70)/30)*'C3 Borders Rail Comp'!$D75*'Calcs - Scen 1'!$D196</f>
        <v>487500</v>
      </c>
      <c r="AI197" s="19">
        <f>(('C3 Borders Rail Comp'!$D70)/30)*'C3 Borders Rail Comp'!$D75*'Calcs - Scen 1'!$D196</f>
        <v>487500</v>
      </c>
      <c r="AJ197" s="19">
        <f>(('C3 Borders Rail Comp'!$D70)/30)*'C3 Borders Rail Comp'!$D75*'Calcs - Scen 1'!$D196</f>
        <v>487500</v>
      </c>
      <c r="AK197" s="19">
        <f>(('C3 Borders Rail Comp'!$D70)/30)*'C3 Borders Rail Comp'!$D75*'Calcs - Scen 1'!$D196</f>
        <v>487500</v>
      </c>
      <c r="AL197" s="19">
        <f>(('C3 Borders Rail Comp'!$D70)/30)*'C3 Borders Rail Comp'!$D75*'Calcs - Scen 1'!$D196</f>
        <v>487500</v>
      </c>
      <c r="AM197" s="19">
        <v>0</v>
      </c>
      <c r="AN197" s="216">
        <v>0</v>
      </c>
      <c r="AO197" s="216">
        <v>0</v>
      </c>
      <c r="AP197" s="23">
        <v>0</v>
      </c>
    </row>
    <row r="198" spans="1:42">
      <c r="A198" s="39"/>
      <c r="B198" s="7" t="s">
        <v>31</v>
      </c>
      <c r="C198" s="129">
        <f>NPV($C$7,F197:AO197)+D197+E197</f>
        <v>8086928.4605331924</v>
      </c>
      <c r="D198" s="7"/>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10"/>
    </row>
    <row r="199" spans="1:42">
      <c r="A199" s="39"/>
      <c r="B199" s="7" t="s">
        <v>4</v>
      </c>
      <c r="C199" s="130" t="str">
        <f>IF(SUM(D199:AN199)&gt;1,"CHECK"," ")</f>
        <v xml:space="preserve"> </v>
      </c>
      <c r="D199" s="178">
        <v>1</v>
      </c>
      <c r="E199" s="15">
        <v>0</v>
      </c>
      <c r="F199" s="15"/>
      <c r="G199" s="15"/>
      <c r="H199" s="15"/>
      <c r="I199" s="15"/>
      <c r="J199" s="15"/>
      <c r="K199" s="15"/>
      <c r="L199" s="15"/>
      <c r="M199" s="15"/>
      <c r="N199" s="15"/>
      <c r="O199" s="15"/>
      <c r="P199" s="15"/>
      <c r="Q199" s="15"/>
      <c r="R199" s="15"/>
      <c r="S199" s="15"/>
      <c r="T199" s="125"/>
      <c r="U199" s="15"/>
      <c r="V199" s="15"/>
      <c r="W199" s="15"/>
      <c r="X199" s="15"/>
      <c r="Y199" s="15"/>
      <c r="Z199" s="15"/>
      <c r="AA199" s="15"/>
      <c r="AB199" s="15"/>
      <c r="AC199" s="15"/>
      <c r="AD199" s="15"/>
      <c r="AE199" s="15"/>
      <c r="AF199" s="15"/>
      <c r="AG199" s="15"/>
      <c r="AH199" s="15"/>
      <c r="AI199" s="15"/>
      <c r="AJ199" s="15"/>
      <c r="AK199" s="15"/>
      <c r="AL199" s="15"/>
      <c r="AM199" s="15"/>
      <c r="AN199" s="146"/>
      <c r="AO199" s="146"/>
      <c r="AP199" s="16"/>
    </row>
    <row r="200" spans="1:42" ht="15.75" thickBot="1">
      <c r="A200" s="39"/>
      <c r="B200" s="11" t="s">
        <v>32</v>
      </c>
      <c r="C200" s="51"/>
      <c r="D200" s="179">
        <f t="shared" ref="D200:AN200" si="45">IF(D199&gt;0,(D199*$C198),0)</f>
        <v>8086928.4605331924</v>
      </c>
      <c r="E200" s="20">
        <f t="shared" si="45"/>
        <v>0</v>
      </c>
      <c r="F200" s="20">
        <f t="shared" si="45"/>
        <v>0</v>
      </c>
      <c r="G200" s="20">
        <f t="shared" si="45"/>
        <v>0</v>
      </c>
      <c r="H200" s="20">
        <f t="shared" si="45"/>
        <v>0</v>
      </c>
      <c r="I200" s="20">
        <f t="shared" si="45"/>
        <v>0</v>
      </c>
      <c r="J200" s="20">
        <f t="shared" si="45"/>
        <v>0</v>
      </c>
      <c r="K200" s="20">
        <f t="shared" si="45"/>
        <v>0</v>
      </c>
      <c r="L200" s="20">
        <f t="shared" si="45"/>
        <v>0</v>
      </c>
      <c r="M200" s="20">
        <f t="shared" si="45"/>
        <v>0</v>
      </c>
      <c r="N200" s="20">
        <f t="shared" si="45"/>
        <v>0</v>
      </c>
      <c r="O200" s="20">
        <f t="shared" si="45"/>
        <v>0</v>
      </c>
      <c r="P200" s="20">
        <f t="shared" si="45"/>
        <v>0</v>
      </c>
      <c r="Q200" s="20">
        <f t="shared" si="45"/>
        <v>0</v>
      </c>
      <c r="R200" s="20">
        <f t="shared" si="45"/>
        <v>0</v>
      </c>
      <c r="S200" s="20">
        <f>IF(S199&gt;0,(S199*$C198),0)</f>
        <v>0</v>
      </c>
      <c r="T200" s="126">
        <f t="shared" si="45"/>
        <v>0</v>
      </c>
      <c r="U200" s="20">
        <f t="shared" si="45"/>
        <v>0</v>
      </c>
      <c r="V200" s="20">
        <f t="shared" si="45"/>
        <v>0</v>
      </c>
      <c r="W200" s="20">
        <f t="shared" si="45"/>
        <v>0</v>
      </c>
      <c r="X200" s="20">
        <f t="shared" si="45"/>
        <v>0</v>
      </c>
      <c r="Y200" s="20">
        <f t="shared" si="45"/>
        <v>0</v>
      </c>
      <c r="Z200" s="20">
        <f t="shared" si="45"/>
        <v>0</v>
      </c>
      <c r="AA200" s="20">
        <f t="shared" si="45"/>
        <v>0</v>
      </c>
      <c r="AB200" s="20">
        <f t="shared" si="45"/>
        <v>0</v>
      </c>
      <c r="AC200" s="20">
        <f t="shared" si="45"/>
        <v>0</v>
      </c>
      <c r="AD200" s="20">
        <f t="shared" si="45"/>
        <v>0</v>
      </c>
      <c r="AE200" s="20">
        <f t="shared" si="45"/>
        <v>0</v>
      </c>
      <c r="AF200" s="20">
        <f t="shared" si="45"/>
        <v>0</v>
      </c>
      <c r="AG200" s="20">
        <f t="shared" si="45"/>
        <v>0</v>
      </c>
      <c r="AH200" s="20">
        <f t="shared" si="45"/>
        <v>0</v>
      </c>
      <c r="AI200" s="20">
        <f t="shared" si="45"/>
        <v>0</v>
      </c>
      <c r="AJ200" s="20">
        <f t="shared" si="45"/>
        <v>0</v>
      </c>
      <c r="AK200" s="20">
        <f t="shared" si="45"/>
        <v>0</v>
      </c>
      <c r="AL200" s="20">
        <f t="shared" si="45"/>
        <v>0</v>
      </c>
      <c r="AM200" s="20">
        <f t="shared" si="45"/>
        <v>0</v>
      </c>
      <c r="AN200" s="215">
        <f t="shared" si="45"/>
        <v>0</v>
      </c>
      <c r="AO200" s="215">
        <f>IF(AO199&gt;0,(AO199*$C198),0)</f>
        <v>0</v>
      </c>
      <c r="AP200" s="22">
        <f>IF(AP199&gt;0,(AP199*$C198),0)</f>
        <v>0</v>
      </c>
    </row>
    <row r="201" spans="1:42" ht="15.75" thickBot="1">
      <c r="A201" s="39"/>
      <c r="B201" s="7"/>
      <c r="C201" s="10"/>
      <c r="D201" s="221"/>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222"/>
    </row>
    <row r="202" spans="1:42">
      <c r="A202" s="39"/>
      <c r="B202" s="4" t="s">
        <v>12</v>
      </c>
      <c r="C202" s="133" t="str">
        <f>Summary!B42</f>
        <v>C4</v>
      </c>
      <c r="D202" s="156" t="str">
        <f>Summary!C42</f>
        <v>Orkney Schools Projects -  Business Case Diligence</v>
      </c>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6"/>
    </row>
    <row r="203" spans="1:42">
      <c r="A203" s="39"/>
      <c r="B203" s="7" t="s">
        <v>189</v>
      </c>
      <c r="C203" s="134" t="str">
        <f>'C4 Orkney Schools Fin'!D47</f>
        <v>A - High</v>
      </c>
      <c r="D203" s="176">
        <f>VLOOKUP(C203,'Confidence Factors'!$B$6:$D$9,3)</f>
        <v>1</v>
      </c>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10"/>
    </row>
    <row r="204" spans="1:42">
      <c r="A204" s="39"/>
      <c r="B204" s="7" t="s">
        <v>30</v>
      </c>
      <c r="C204" s="128">
        <f>SUM(D204:AN204)</f>
        <v>1736000</v>
      </c>
      <c r="D204" s="177">
        <v>0</v>
      </c>
      <c r="E204" s="19"/>
      <c r="F204" s="19">
        <v>0</v>
      </c>
      <c r="G204" s="19">
        <v>0</v>
      </c>
      <c r="H204" s="19">
        <f>(('C4 Orkney Schools Fin'!$D70)/28)*'C4 Orkney Schools Fin'!$D75*'Calcs - Scen 1'!$D203</f>
        <v>62000</v>
      </c>
      <c r="I204" s="19">
        <f>(('C4 Orkney Schools Fin'!$D70)/28)*'C4 Orkney Schools Fin'!$D75*'Calcs - Scen 1'!$D203</f>
        <v>62000</v>
      </c>
      <c r="J204" s="19">
        <f>(('C4 Orkney Schools Fin'!$D70)/28)*'C4 Orkney Schools Fin'!$D75*'Calcs - Scen 1'!$D203</f>
        <v>62000</v>
      </c>
      <c r="K204" s="19">
        <f>(('C4 Orkney Schools Fin'!$D70)/28)*'C4 Orkney Schools Fin'!$D75*'Calcs - Scen 1'!$D203</f>
        <v>62000</v>
      </c>
      <c r="L204" s="19">
        <f>(('C4 Orkney Schools Fin'!$D70)/28)*'C4 Orkney Schools Fin'!$D75*'Calcs - Scen 1'!$D203</f>
        <v>62000</v>
      </c>
      <c r="M204" s="19">
        <f>(('C4 Orkney Schools Fin'!$D70)/28)*'C4 Orkney Schools Fin'!$D75*'Calcs - Scen 1'!$D203</f>
        <v>62000</v>
      </c>
      <c r="N204" s="19">
        <f>(('C4 Orkney Schools Fin'!$D70)/28)*'C4 Orkney Schools Fin'!$D75*'Calcs - Scen 1'!$D203</f>
        <v>62000</v>
      </c>
      <c r="O204" s="19">
        <f>(('C4 Orkney Schools Fin'!$D70)/28)*'C4 Orkney Schools Fin'!$D75*'Calcs - Scen 1'!$D203</f>
        <v>62000</v>
      </c>
      <c r="P204" s="19">
        <f>(('C4 Orkney Schools Fin'!$D70)/28)*'C4 Orkney Schools Fin'!$D75*'Calcs - Scen 1'!$D203</f>
        <v>62000</v>
      </c>
      <c r="Q204" s="19">
        <f>(('C4 Orkney Schools Fin'!$D70)/28)*'C4 Orkney Schools Fin'!$D75*'Calcs - Scen 1'!$D203</f>
        <v>62000</v>
      </c>
      <c r="R204" s="19">
        <f>(('C4 Orkney Schools Fin'!$D70)/28)*'C4 Orkney Schools Fin'!$D75*'Calcs - Scen 1'!$D203</f>
        <v>62000</v>
      </c>
      <c r="S204" s="19">
        <f>(('C4 Orkney Schools Fin'!$D70)/28)*'C4 Orkney Schools Fin'!$D75*'Calcs - Scen 1'!$D203</f>
        <v>62000</v>
      </c>
      <c r="T204" s="19">
        <f>(('C4 Orkney Schools Fin'!$D70)/28)*'C4 Orkney Schools Fin'!$D75*'Calcs - Scen 1'!$D203</f>
        <v>62000</v>
      </c>
      <c r="U204" s="19">
        <f>(('C4 Orkney Schools Fin'!$D70)/28)*'C4 Orkney Schools Fin'!$D75*'Calcs - Scen 1'!$D203</f>
        <v>62000</v>
      </c>
      <c r="V204" s="19">
        <f>(('C4 Orkney Schools Fin'!$D70)/28)*'C4 Orkney Schools Fin'!$D75*'Calcs - Scen 1'!$D203</f>
        <v>62000</v>
      </c>
      <c r="W204" s="19">
        <f>(('C4 Orkney Schools Fin'!$D70)/28)*'C4 Orkney Schools Fin'!$D75*'Calcs - Scen 1'!$D203</f>
        <v>62000</v>
      </c>
      <c r="X204" s="19">
        <f>(('C4 Orkney Schools Fin'!$D70)/28)*'C4 Orkney Schools Fin'!$D75*'Calcs - Scen 1'!$D203</f>
        <v>62000</v>
      </c>
      <c r="Y204" s="19">
        <f>(('C4 Orkney Schools Fin'!$D70)/28)*'C4 Orkney Schools Fin'!$D75*'Calcs - Scen 1'!$D203</f>
        <v>62000</v>
      </c>
      <c r="Z204" s="19">
        <f>(('C4 Orkney Schools Fin'!$D70)/28)*'C4 Orkney Schools Fin'!$D75*'Calcs - Scen 1'!$D203</f>
        <v>62000</v>
      </c>
      <c r="AA204" s="19">
        <f>(('C4 Orkney Schools Fin'!$D70)/28)*'C4 Orkney Schools Fin'!$D75*'Calcs - Scen 1'!$D203</f>
        <v>62000</v>
      </c>
      <c r="AB204" s="19">
        <f>(('C4 Orkney Schools Fin'!$D70)/28)*'C4 Orkney Schools Fin'!$D75*'Calcs - Scen 1'!$D203</f>
        <v>62000</v>
      </c>
      <c r="AC204" s="19">
        <f>(('C4 Orkney Schools Fin'!$D70)/28)*'C4 Orkney Schools Fin'!$D75*'Calcs - Scen 1'!$D203</f>
        <v>62000</v>
      </c>
      <c r="AD204" s="19">
        <f>(('C4 Orkney Schools Fin'!$D70)/28)*'C4 Orkney Schools Fin'!$D75*'Calcs - Scen 1'!$D203</f>
        <v>62000</v>
      </c>
      <c r="AE204" s="19">
        <f>(('C4 Orkney Schools Fin'!$D70)/28)*'C4 Orkney Schools Fin'!$D75*'Calcs - Scen 1'!$D203</f>
        <v>62000</v>
      </c>
      <c r="AF204" s="19">
        <f>(('C4 Orkney Schools Fin'!$D70)/28)*'C4 Orkney Schools Fin'!$D75*'Calcs - Scen 1'!$D203</f>
        <v>62000</v>
      </c>
      <c r="AG204" s="19">
        <f>(('C4 Orkney Schools Fin'!$D70)/28)*'C4 Orkney Schools Fin'!$D75*'Calcs - Scen 1'!$D203</f>
        <v>62000</v>
      </c>
      <c r="AH204" s="19">
        <f>(('C4 Orkney Schools Fin'!$D70)/28)*'C4 Orkney Schools Fin'!$D75*'Calcs - Scen 1'!$D203</f>
        <v>62000</v>
      </c>
      <c r="AI204" s="19">
        <f>(('C4 Orkney Schools Fin'!$D70)/28)*'C4 Orkney Schools Fin'!$D75*'Calcs - Scen 1'!$D203</f>
        <v>62000</v>
      </c>
      <c r="AJ204" s="19">
        <v>0</v>
      </c>
      <c r="AK204" s="19">
        <v>0</v>
      </c>
      <c r="AL204" s="19">
        <v>0</v>
      </c>
      <c r="AM204" s="19">
        <v>0</v>
      </c>
      <c r="AN204" s="216">
        <v>0</v>
      </c>
      <c r="AO204" s="216">
        <v>0</v>
      </c>
      <c r="AP204" s="23">
        <v>0</v>
      </c>
    </row>
    <row r="205" spans="1:42">
      <c r="A205" s="39"/>
      <c r="B205" s="7" t="s">
        <v>31</v>
      </c>
      <c r="C205" s="129">
        <f>NPV($C$7,F204:AO204)+D204+E204</f>
        <v>1022525.7704392668</v>
      </c>
      <c r="D205" s="7"/>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10"/>
    </row>
    <row r="206" spans="1:42">
      <c r="A206" s="39"/>
      <c r="B206" s="7" t="s">
        <v>4</v>
      </c>
      <c r="C206" s="130" t="str">
        <f>IF(SUM(D206:AN206)&gt;1,"CHECK"," ")</f>
        <v xml:space="preserve"> </v>
      </c>
      <c r="D206" s="178">
        <v>0</v>
      </c>
      <c r="E206" s="15">
        <v>1</v>
      </c>
      <c r="F206" s="15"/>
      <c r="G206" s="15"/>
      <c r="H206" s="15"/>
      <c r="I206" s="15"/>
      <c r="J206" s="15"/>
      <c r="K206" s="15"/>
      <c r="L206" s="15"/>
      <c r="M206" s="15"/>
      <c r="N206" s="15"/>
      <c r="O206" s="15"/>
      <c r="P206" s="15"/>
      <c r="Q206" s="15"/>
      <c r="R206" s="15"/>
      <c r="S206" s="15"/>
      <c r="T206" s="125"/>
      <c r="U206" s="15"/>
      <c r="V206" s="15"/>
      <c r="W206" s="15"/>
      <c r="X206" s="15"/>
      <c r="Y206" s="15"/>
      <c r="Z206" s="15"/>
      <c r="AA206" s="15"/>
      <c r="AB206" s="15"/>
      <c r="AC206" s="15"/>
      <c r="AD206" s="15"/>
      <c r="AE206" s="15"/>
      <c r="AF206" s="15"/>
      <c r="AG206" s="15"/>
      <c r="AH206" s="15"/>
      <c r="AI206" s="15"/>
      <c r="AJ206" s="15"/>
      <c r="AK206" s="15"/>
      <c r="AL206" s="15"/>
      <c r="AM206" s="15"/>
      <c r="AN206" s="146"/>
      <c r="AO206" s="146"/>
      <c r="AP206" s="16"/>
    </row>
    <row r="207" spans="1:42" ht="15.75" thickBot="1">
      <c r="A207" s="39"/>
      <c r="B207" s="11" t="s">
        <v>32</v>
      </c>
      <c r="C207" s="51"/>
      <c r="D207" s="179">
        <f t="shared" ref="D207:R207" si="46">IF(D206&gt;0,(D206*$C205),0)</f>
        <v>0</v>
      </c>
      <c r="E207" s="20">
        <f t="shared" si="46"/>
        <v>1022525.7704392668</v>
      </c>
      <c r="F207" s="20">
        <f t="shared" si="46"/>
        <v>0</v>
      </c>
      <c r="G207" s="20">
        <f t="shared" si="46"/>
        <v>0</v>
      </c>
      <c r="H207" s="20">
        <f t="shared" si="46"/>
        <v>0</v>
      </c>
      <c r="I207" s="20">
        <f t="shared" si="46"/>
        <v>0</v>
      </c>
      <c r="J207" s="20">
        <f t="shared" si="46"/>
        <v>0</v>
      </c>
      <c r="K207" s="20">
        <f t="shared" si="46"/>
        <v>0</v>
      </c>
      <c r="L207" s="20">
        <f t="shared" si="46"/>
        <v>0</v>
      </c>
      <c r="M207" s="20">
        <f t="shared" si="46"/>
        <v>0</v>
      </c>
      <c r="N207" s="20">
        <f t="shared" si="46"/>
        <v>0</v>
      </c>
      <c r="O207" s="20">
        <f t="shared" si="46"/>
        <v>0</v>
      </c>
      <c r="P207" s="20">
        <f t="shared" si="46"/>
        <v>0</v>
      </c>
      <c r="Q207" s="20">
        <f t="shared" si="46"/>
        <v>0</v>
      </c>
      <c r="R207" s="20">
        <f t="shared" si="46"/>
        <v>0</v>
      </c>
      <c r="S207" s="20">
        <f>IF(S206&gt;0,(S206*$C205),0)</f>
        <v>0</v>
      </c>
      <c r="T207" s="126">
        <f t="shared" ref="T207:AN207" si="47">IF(T206&gt;0,(T206*$C205),0)</f>
        <v>0</v>
      </c>
      <c r="U207" s="20">
        <f t="shared" si="47"/>
        <v>0</v>
      </c>
      <c r="V207" s="20">
        <f t="shared" si="47"/>
        <v>0</v>
      </c>
      <c r="W207" s="20">
        <f t="shared" si="47"/>
        <v>0</v>
      </c>
      <c r="X207" s="20">
        <f t="shared" si="47"/>
        <v>0</v>
      </c>
      <c r="Y207" s="20">
        <f t="shared" si="47"/>
        <v>0</v>
      </c>
      <c r="Z207" s="20">
        <f t="shared" si="47"/>
        <v>0</v>
      </c>
      <c r="AA207" s="20">
        <f t="shared" si="47"/>
        <v>0</v>
      </c>
      <c r="AB207" s="20">
        <f t="shared" si="47"/>
        <v>0</v>
      </c>
      <c r="AC207" s="20">
        <f t="shared" si="47"/>
        <v>0</v>
      </c>
      <c r="AD207" s="20">
        <f t="shared" si="47"/>
        <v>0</v>
      </c>
      <c r="AE207" s="20">
        <f t="shared" si="47"/>
        <v>0</v>
      </c>
      <c r="AF207" s="20">
        <f t="shared" si="47"/>
        <v>0</v>
      </c>
      <c r="AG207" s="20">
        <f t="shared" si="47"/>
        <v>0</v>
      </c>
      <c r="AH207" s="20">
        <f t="shared" si="47"/>
        <v>0</v>
      </c>
      <c r="AI207" s="20">
        <f t="shared" si="47"/>
        <v>0</v>
      </c>
      <c r="AJ207" s="20">
        <f t="shared" si="47"/>
        <v>0</v>
      </c>
      <c r="AK207" s="20">
        <f t="shared" si="47"/>
        <v>0</v>
      </c>
      <c r="AL207" s="20">
        <f t="shared" si="47"/>
        <v>0</v>
      </c>
      <c r="AM207" s="20">
        <f t="shared" si="47"/>
        <v>0</v>
      </c>
      <c r="AN207" s="215">
        <f t="shared" si="47"/>
        <v>0</v>
      </c>
      <c r="AO207" s="215">
        <f>IF(AO206&gt;0,(AO206*$C205),0)</f>
        <v>0</v>
      </c>
      <c r="AP207" s="22">
        <f>IF(AP206&gt;0,(AP206*$C205),0)</f>
        <v>0</v>
      </c>
    </row>
    <row r="208" spans="1:42" ht="15.75" thickBot="1">
      <c r="A208" s="39"/>
      <c r="B208" s="7"/>
      <c r="C208" s="10"/>
      <c r="D208" s="221"/>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222"/>
    </row>
    <row r="209" spans="1:42">
      <c r="A209" s="39"/>
      <c r="B209" s="4" t="s">
        <v>12</v>
      </c>
      <c r="C209" s="133" t="str">
        <f>Summary!B43</f>
        <v>C5</v>
      </c>
      <c r="D209" s="156" t="str">
        <f>Summary!C43</f>
        <v>RHSC/DCN Procurement Strategy and Increased Competition</v>
      </c>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6"/>
    </row>
    <row r="210" spans="1:42">
      <c r="A210" s="39"/>
      <c r="B210" s="7" t="s">
        <v>189</v>
      </c>
      <c r="C210" s="134" t="str">
        <f>'C5 RHSC DCN Comp'!D47</f>
        <v>C - Good</v>
      </c>
      <c r="D210" s="176">
        <f>VLOOKUP(C210,'Confidence Factors'!$B$6:$D$9,3)</f>
        <v>0.75</v>
      </c>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10"/>
    </row>
    <row r="211" spans="1:42">
      <c r="A211" s="39"/>
      <c r="B211" s="7" t="s">
        <v>30</v>
      </c>
      <c r="C211" s="128">
        <f>SUM(D211:AN211)</f>
        <v>9016874.9999999981</v>
      </c>
      <c r="D211" s="177">
        <v>0</v>
      </c>
      <c r="E211" s="19">
        <v>0</v>
      </c>
      <c r="F211" s="19">
        <v>0</v>
      </c>
      <c r="G211" s="19">
        <v>0</v>
      </c>
      <c r="H211" s="19">
        <v>0</v>
      </c>
      <c r="I211" s="19">
        <f>'C5 RHSC DCN Comp'!N$78*'C5 RHSC DCN Comp'!$D75*'Calcs - Scen 1'!$D210</f>
        <v>300562.49999999994</v>
      </c>
      <c r="J211" s="19">
        <f>'C5 RHSC DCN Comp'!O$78*'C5 RHSC DCN Comp'!$D75*'Calcs - Scen 1'!$D210</f>
        <v>300562.49999999994</v>
      </c>
      <c r="K211" s="19">
        <f>'C5 RHSC DCN Comp'!P$78*'C5 RHSC DCN Comp'!$D75*'Calcs - Scen 1'!$D210</f>
        <v>300562.49999999994</v>
      </c>
      <c r="L211" s="19">
        <f>'C5 RHSC DCN Comp'!Q$78*'C5 RHSC DCN Comp'!$D75*'Calcs - Scen 1'!$D210</f>
        <v>300562.49999999994</v>
      </c>
      <c r="M211" s="19">
        <f>'C5 RHSC DCN Comp'!R$78*'C5 RHSC DCN Comp'!$D75*'Calcs - Scen 1'!$D210</f>
        <v>300562.49999999994</v>
      </c>
      <c r="N211" s="19">
        <f>'C5 RHSC DCN Comp'!S$78*'C5 RHSC DCN Comp'!$D75*'Calcs - Scen 1'!$D210</f>
        <v>300562.49999999994</v>
      </c>
      <c r="O211" s="19">
        <f>'C5 RHSC DCN Comp'!T$78*'C5 RHSC DCN Comp'!$D75*'Calcs - Scen 1'!$D210</f>
        <v>300562.49999999994</v>
      </c>
      <c r="P211" s="19">
        <f>'C5 RHSC DCN Comp'!U$78*'C5 RHSC DCN Comp'!$D75*'Calcs - Scen 1'!$D210</f>
        <v>300562.49999999994</v>
      </c>
      <c r="Q211" s="19">
        <f>'C5 RHSC DCN Comp'!V$78*'C5 RHSC DCN Comp'!$D75*'Calcs - Scen 1'!$D210</f>
        <v>300562.5</v>
      </c>
      <c r="R211" s="19">
        <f>'C5 RHSC DCN Comp'!W$78*'C5 RHSC DCN Comp'!$D75*'Calcs - Scen 1'!$D210</f>
        <v>300562.49999999994</v>
      </c>
      <c r="S211" s="19">
        <f>'C5 RHSC DCN Comp'!X$78*'C5 RHSC DCN Comp'!$D75*'Calcs - Scen 1'!$D210</f>
        <v>300562.49999999994</v>
      </c>
      <c r="T211" s="19">
        <f>'C5 RHSC DCN Comp'!Y$78*'C5 RHSC DCN Comp'!$D75*'Calcs - Scen 1'!$D210</f>
        <v>300562.49999999994</v>
      </c>
      <c r="U211" s="19">
        <f>'C5 RHSC DCN Comp'!Z$78*'C5 RHSC DCN Comp'!$D75*'Calcs - Scen 1'!$D210</f>
        <v>300562.49999999994</v>
      </c>
      <c r="V211" s="19">
        <f>'C5 RHSC DCN Comp'!AA$78*'C5 RHSC DCN Comp'!$D75*'Calcs - Scen 1'!$D210</f>
        <v>300562.49999999994</v>
      </c>
      <c r="W211" s="19">
        <f>'C5 RHSC DCN Comp'!AB$78*'C5 RHSC DCN Comp'!$D75*'Calcs - Scen 1'!$D210</f>
        <v>300562.49999999994</v>
      </c>
      <c r="X211" s="19">
        <f>'C5 RHSC DCN Comp'!AC$78*'C5 RHSC DCN Comp'!$D75*'Calcs - Scen 1'!$D210</f>
        <v>300562.49999999994</v>
      </c>
      <c r="Y211" s="19">
        <f>'C5 RHSC DCN Comp'!AD$78*'C5 RHSC DCN Comp'!$D75*'Calcs - Scen 1'!$D210</f>
        <v>300562.49999999994</v>
      </c>
      <c r="Z211" s="19">
        <f>'C5 RHSC DCN Comp'!AE$78*'C5 RHSC DCN Comp'!$D75*'Calcs - Scen 1'!$D210</f>
        <v>300562.49999999994</v>
      </c>
      <c r="AA211" s="19">
        <f>'C5 RHSC DCN Comp'!AF$78*'C5 RHSC DCN Comp'!$D75*'Calcs - Scen 1'!$D210</f>
        <v>300562.49999999994</v>
      </c>
      <c r="AB211" s="19">
        <f>'C5 RHSC DCN Comp'!AG$78*'C5 RHSC DCN Comp'!$D75*'Calcs - Scen 1'!$D210</f>
        <v>300562.49999999994</v>
      </c>
      <c r="AC211" s="19">
        <f>'C5 RHSC DCN Comp'!AH$78*'C5 RHSC DCN Comp'!$D75*'Calcs - Scen 1'!$D210</f>
        <v>300562.49999999994</v>
      </c>
      <c r="AD211" s="19">
        <f>'C5 RHSC DCN Comp'!AI$78*'C5 RHSC DCN Comp'!$D75*'Calcs - Scen 1'!$D210</f>
        <v>300562.49999999994</v>
      </c>
      <c r="AE211" s="19">
        <f>'C5 RHSC DCN Comp'!AJ$78*'C5 RHSC DCN Comp'!$D75*'Calcs - Scen 1'!$D210</f>
        <v>300562.49999999994</v>
      </c>
      <c r="AF211" s="19">
        <f>'C5 RHSC DCN Comp'!AK$78*'C5 RHSC DCN Comp'!$D75*'Calcs - Scen 1'!$D210</f>
        <v>300562.49999999994</v>
      </c>
      <c r="AG211" s="19">
        <f>'C5 RHSC DCN Comp'!AL$78*'C5 RHSC DCN Comp'!$D75*'Calcs - Scen 1'!$D210</f>
        <v>300562.49999999994</v>
      </c>
      <c r="AH211" s="19">
        <f>'C5 RHSC DCN Comp'!AM$78*'C5 RHSC DCN Comp'!$D75*'Calcs - Scen 1'!$D210</f>
        <v>300562.49999999994</v>
      </c>
      <c r="AI211" s="19">
        <f>'C5 RHSC DCN Comp'!AN$78*'C5 RHSC DCN Comp'!$D75*'Calcs - Scen 1'!$D210</f>
        <v>300562.49999999994</v>
      </c>
      <c r="AJ211" s="19">
        <f>'C5 RHSC DCN Comp'!AO$78*'C5 RHSC DCN Comp'!$D75*'Calcs - Scen 1'!$D210</f>
        <v>300562.49999999994</v>
      </c>
      <c r="AK211" s="19">
        <f>'C5 RHSC DCN Comp'!AP$78*'C5 RHSC DCN Comp'!$D75*'Calcs - Scen 1'!$D210</f>
        <v>300562.49999999994</v>
      </c>
      <c r="AL211" s="19">
        <f>'C5 RHSC DCN Comp'!AQ$78*'C5 RHSC DCN Comp'!$D75*'Calcs - Scen 1'!$D210</f>
        <v>300562.49999999994</v>
      </c>
      <c r="AM211" s="19">
        <f>'C5 RHSC DCN Comp'!AR$78*'C5 RHSC DCN Comp'!$D75*'Calcs - Scen 1'!$D210</f>
        <v>0</v>
      </c>
      <c r="AN211" s="19">
        <f>'C5 RHSC DCN Comp'!AS$78*'C5 RHSC DCN Comp'!$D75*'Calcs - Scen 1'!$D210</f>
        <v>0</v>
      </c>
      <c r="AO211" s="216">
        <v>0</v>
      </c>
      <c r="AP211" s="23">
        <v>0</v>
      </c>
    </row>
    <row r="212" spans="1:42">
      <c r="A212" s="39"/>
      <c r="B212" s="7" t="s">
        <v>31</v>
      </c>
      <c r="C212" s="129">
        <f>NPV($C$7,F211:AO211)+D211+E211</f>
        <v>4985902.4316287339</v>
      </c>
      <c r="D212" s="7"/>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10"/>
    </row>
    <row r="213" spans="1:42">
      <c r="A213" s="39"/>
      <c r="B213" s="7" t="s">
        <v>4</v>
      </c>
      <c r="C213" s="130" t="str">
        <f>IF(SUM(D213:AN213)&gt;1,"CHECK"," ")</f>
        <v xml:space="preserve"> </v>
      </c>
      <c r="D213" s="178">
        <v>0</v>
      </c>
      <c r="E213" s="15">
        <v>0.25</v>
      </c>
      <c r="F213" s="15">
        <v>0.5</v>
      </c>
      <c r="G213" s="15">
        <v>0.25</v>
      </c>
      <c r="H213" s="15"/>
      <c r="I213" s="15"/>
      <c r="J213" s="15"/>
      <c r="K213" s="15"/>
      <c r="L213" s="15"/>
      <c r="M213" s="15"/>
      <c r="N213" s="15"/>
      <c r="O213" s="15"/>
      <c r="P213" s="15"/>
      <c r="Q213" s="15"/>
      <c r="R213" s="15"/>
      <c r="S213" s="15"/>
      <c r="T213" s="125"/>
      <c r="U213" s="15"/>
      <c r="V213" s="15"/>
      <c r="W213" s="15"/>
      <c r="X213" s="15"/>
      <c r="Y213" s="15"/>
      <c r="Z213" s="15"/>
      <c r="AA213" s="15"/>
      <c r="AB213" s="15"/>
      <c r="AC213" s="15"/>
      <c r="AD213" s="15"/>
      <c r="AE213" s="15"/>
      <c r="AF213" s="15"/>
      <c r="AG213" s="15"/>
      <c r="AH213" s="15"/>
      <c r="AI213" s="15"/>
      <c r="AJ213" s="15"/>
      <c r="AK213" s="15"/>
      <c r="AL213" s="15"/>
      <c r="AM213" s="15"/>
      <c r="AN213" s="146"/>
      <c r="AO213" s="146"/>
      <c r="AP213" s="16"/>
    </row>
    <row r="214" spans="1:42" ht="15.75" thickBot="1">
      <c r="A214" s="39"/>
      <c r="B214" s="11" t="s">
        <v>32</v>
      </c>
      <c r="C214" s="51"/>
      <c r="D214" s="179">
        <f t="shared" ref="D214:R214" si="48">IF(D213&gt;0,(D213*$C212),0)</f>
        <v>0</v>
      </c>
      <c r="E214" s="20">
        <f t="shared" si="48"/>
        <v>1246475.6079071835</v>
      </c>
      <c r="F214" s="20">
        <f t="shared" si="48"/>
        <v>2492951.2158143669</v>
      </c>
      <c r="G214" s="20">
        <f t="shared" si="48"/>
        <v>1246475.6079071835</v>
      </c>
      <c r="H214" s="20">
        <f t="shared" si="48"/>
        <v>0</v>
      </c>
      <c r="I214" s="20">
        <f t="shared" si="48"/>
        <v>0</v>
      </c>
      <c r="J214" s="20">
        <f t="shared" si="48"/>
        <v>0</v>
      </c>
      <c r="K214" s="20">
        <f t="shared" si="48"/>
        <v>0</v>
      </c>
      <c r="L214" s="20">
        <f t="shared" si="48"/>
        <v>0</v>
      </c>
      <c r="M214" s="20">
        <f t="shared" si="48"/>
        <v>0</v>
      </c>
      <c r="N214" s="20">
        <f t="shared" si="48"/>
        <v>0</v>
      </c>
      <c r="O214" s="20">
        <f t="shared" si="48"/>
        <v>0</v>
      </c>
      <c r="P214" s="20">
        <f t="shared" si="48"/>
        <v>0</v>
      </c>
      <c r="Q214" s="20">
        <f t="shared" si="48"/>
        <v>0</v>
      </c>
      <c r="R214" s="20">
        <f t="shared" si="48"/>
        <v>0</v>
      </c>
      <c r="S214" s="20">
        <f>IF(S213&gt;0,(S213*$C212),0)</f>
        <v>0</v>
      </c>
      <c r="T214" s="126">
        <f t="shared" ref="T214:AN214" si="49">IF(T213&gt;0,(T213*$C212),0)</f>
        <v>0</v>
      </c>
      <c r="U214" s="20">
        <f t="shared" si="49"/>
        <v>0</v>
      </c>
      <c r="V214" s="20">
        <f t="shared" si="49"/>
        <v>0</v>
      </c>
      <c r="W214" s="20">
        <f t="shared" si="49"/>
        <v>0</v>
      </c>
      <c r="X214" s="20">
        <f t="shared" si="49"/>
        <v>0</v>
      </c>
      <c r="Y214" s="20">
        <f t="shared" si="49"/>
        <v>0</v>
      </c>
      <c r="Z214" s="20">
        <f t="shared" si="49"/>
        <v>0</v>
      </c>
      <c r="AA214" s="20">
        <f t="shared" si="49"/>
        <v>0</v>
      </c>
      <c r="AB214" s="20">
        <f t="shared" si="49"/>
        <v>0</v>
      </c>
      <c r="AC214" s="20">
        <f t="shared" si="49"/>
        <v>0</v>
      </c>
      <c r="AD214" s="20">
        <f t="shared" si="49"/>
        <v>0</v>
      </c>
      <c r="AE214" s="20">
        <f t="shared" si="49"/>
        <v>0</v>
      </c>
      <c r="AF214" s="20">
        <f t="shared" si="49"/>
        <v>0</v>
      </c>
      <c r="AG214" s="20">
        <f t="shared" si="49"/>
        <v>0</v>
      </c>
      <c r="AH214" s="20">
        <f t="shared" si="49"/>
        <v>0</v>
      </c>
      <c r="AI214" s="20">
        <f t="shared" si="49"/>
        <v>0</v>
      </c>
      <c r="AJ214" s="20">
        <f t="shared" si="49"/>
        <v>0</v>
      </c>
      <c r="AK214" s="20">
        <f t="shared" si="49"/>
        <v>0</v>
      </c>
      <c r="AL214" s="20">
        <f t="shared" si="49"/>
        <v>0</v>
      </c>
      <c r="AM214" s="20">
        <f t="shared" si="49"/>
        <v>0</v>
      </c>
      <c r="AN214" s="215">
        <f t="shared" si="49"/>
        <v>0</v>
      </c>
      <c r="AO214" s="215">
        <f>IF(AO213&gt;0,(AO213*$C212),0)</f>
        <v>0</v>
      </c>
      <c r="AP214" s="22">
        <f>IF(AP213&gt;0,(AP213*$C212),0)</f>
        <v>0</v>
      </c>
    </row>
    <row r="215" spans="1:42" ht="15.75" thickBot="1">
      <c r="A215" s="39"/>
      <c r="B215" s="7"/>
      <c r="C215" s="10"/>
      <c r="D215" s="221"/>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222"/>
    </row>
    <row r="216" spans="1:42">
      <c r="A216" s="39"/>
      <c r="B216" s="4" t="s">
        <v>12</v>
      </c>
      <c r="C216" s="133" t="str">
        <f>Summary!B44</f>
        <v>C6</v>
      </c>
      <c r="D216" s="156" t="str">
        <f>Summary!C44</f>
        <v>NPD Contract - Saved Procurement Time</v>
      </c>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6"/>
    </row>
    <row r="217" spans="1:42">
      <c r="A217" s="39"/>
      <c r="B217" s="7" t="s">
        <v>189</v>
      </c>
      <c r="C217" s="134" t="str">
        <f>'C6 NPD Saved Proc Time'!D47</f>
        <v>D - Moderate</v>
      </c>
      <c r="D217" s="176">
        <f>VLOOKUP(C217,'Confidence Factors'!$B$6:$D$9,3)</f>
        <v>0.55000000000000004</v>
      </c>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10"/>
    </row>
    <row r="218" spans="1:42">
      <c r="A218" s="39"/>
      <c r="B218" s="7" t="s">
        <v>30</v>
      </c>
      <c r="C218" s="128">
        <f>SUM(D218:AN218)</f>
        <v>5221562.5</v>
      </c>
      <c r="D218" s="177">
        <v>0</v>
      </c>
      <c r="E218" s="19">
        <f>(('C5 RHSC DCN Comp'!$D77)*0.25)*'C5 RHSC DCN Comp'!$D82*'Calcs - Scen 1'!$D217</f>
        <v>0</v>
      </c>
      <c r="F218" s="516">
        <f>'C6 NPD Saved Proc Time'!L$79*'C6 NPD Saved Proc Time'!$D75*'Calcs - Scen 1'!$D217</f>
        <v>0</v>
      </c>
      <c r="G218" s="516">
        <f>(('C6 NPD Saved Proc Time'!M$75)*1000)*'C6 NPD Saved Proc Time'!$D75*'Calcs - Scen 1'!$D217</f>
        <v>192500.00000000003</v>
      </c>
      <c r="H218" s="516">
        <f>(('C6 NPD Saved Proc Time'!N$75)*1000)*'C6 NPD Saved Proc Time'!$D75*'Calcs - Scen 1'!$D217</f>
        <v>192500.00000000003</v>
      </c>
      <c r="I218" s="516">
        <f>(('C6 NPD Saved Proc Time'!O$75)*1000)*'C6 NPD Saved Proc Time'!$D75*'Calcs - Scen 1'!$D217</f>
        <v>340725</v>
      </c>
      <c r="J218" s="516">
        <f>(('C6 NPD Saved Proc Time'!P$75)*1000)*'C6 NPD Saved Proc Time'!$D75*'Calcs - Scen 1'!$D217</f>
        <v>103950.00000000001</v>
      </c>
      <c r="K218" s="516">
        <f>(('C6 NPD Saved Proc Time'!Q$75)*1000)*'C6 NPD Saved Proc Time'!$D75*'Calcs - Scen 1'!$D217</f>
        <v>181912.50000000003</v>
      </c>
      <c r="L218" s="516">
        <f>(('C6 NPD Saved Proc Time'!R$75)*1000)*'C6 NPD Saved Proc Time'!$D75*'Calcs - Scen 1'!$D217</f>
        <v>181912.50000000003</v>
      </c>
      <c r="M218" s="516">
        <f>(('C6 NPD Saved Proc Time'!S$75)*1000)*'C6 NPD Saved Proc Time'!$D75*'Calcs - Scen 1'!$D217</f>
        <v>181912.50000000003</v>
      </c>
      <c r="N218" s="516">
        <f>(('C6 NPD Saved Proc Time'!T$75)*1000)*'C6 NPD Saved Proc Time'!$D75*'Calcs - Scen 1'!$D217</f>
        <v>181912.50000000003</v>
      </c>
      <c r="O218" s="516">
        <f>(('C6 NPD Saved Proc Time'!U$75)*1000)*'C6 NPD Saved Proc Time'!$D75*'Calcs - Scen 1'!$D217</f>
        <v>181912.50000000003</v>
      </c>
      <c r="P218" s="516">
        <f>(('C6 NPD Saved Proc Time'!V$75)*1000)*'C6 NPD Saved Proc Time'!$D75*'Calcs - Scen 1'!$D217</f>
        <v>181912.50000000003</v>
      </c>
      <c r="Q218" s="516">
        <f>(('C6 NPD Saved Proc Time'!W$75)*1000)*'C6 NPD Saved Proc Time'!$D75*'Calcs - Scen 1'!$D217</f>
        <v>181912.50000000003</v>
      </c>
      <c r="R218" s="516">
        <f>(('C6 NPD Saved Proc Time'!X$75)*1000)*'C6 NPD Saved Proc Time'!$D75*'Calcs - Scen 1'!$D217</f>
        <v>181912.50000000003</v>
      </c>
      <c r="S218" s="516">
        <f>(('C6 NPD Saved Proc Time'!Y$75)*1000)*'C6 NPD Saved Proc Time'!$D75*'Calcs - Scen 1'!$D217</f>
        <v>181912.50000000003</v>
      </c>
      <c r="T218" s="516">
        <f>(('C6 NPD Saved Proc Time'!Z$75)*1000)*'C6 NPD Saved Proc Time'!$D75*'Calcs - Scen 1'!$D217</f>
        <v>181912.50000000003</v>
      </c>
      <c r="U218" s="516">
        <f>(('C6 NPD Saved Proc Time'!AA$75)*1000)*'C6 NPD Saved Proc Time'!$D75*'Calcs - Scen 1'!$D217</f>
        <v>181912.50000000003</v>
      </c>
      <c r="V218" s="516">
        <f>(('C6 NPD Saved Proc Time'!AB$75)*1000)*'C6 NPD Saved Proc Time'!$D75*'Calcs - Scen 1'!$D217</f>
        <v>181912.50000000003</v>
      </c>
      <c r="W218" s="516">
        <f>(('C6 NPD Saved Proc Time'!AC$75)*1000)*'C6 NPD Saved Proc Time'!$D75*'Calcs - Scen 1'!$D217</f>
        <v>181912.50000000003</v>
      </c>
      <c r="X218" s="516">
        <f>(('C6 NPD Saved Proc Time'!AD$75)*1000)*'C6 NPD Saved Proc Time'!$D75*'Calcs - Scen 1'!$D217</f>
        <v>181912.50000000003</v>
      </c>
      <c r="Y218" s="516">
        <f>(('C6 NPD Saved Proc Time'!AE$75)*1000)*'C6 NPD Saved Proc Time'!$D75*'Calcs - Scen 1'!$D217</f>
        <v>181912.50000000003</v>
      </c>
      <c r="Z218" s="516">
        <f>(('C6 NPD Saved Proc Time'!AF$75)*1000)*'C6 NPD Saved Proc Time'!$D75*'Calcs - Scen 1'!$D217</f>
        <v>181912.50000000003</v>
      </c>
      <c r="AA218" s="516">
        <f>(('C6 NPD Saved Proc Time'!AG$75)*1000)*'C6 NPD Saved Proc Time'!$D75*'Calcs - Scen 1'!$D217</f>
        <v>181912.50000000003</v>
      </c>
      <c r="AB218" s="516">
        <f>(('C6 NPD Saved Proc Time'!AH$75)*1000)*'C6 NPD Saved Proc Time'!$D75*'Calcs - Scen 1'!$D217</f>
        <v>181912.50000000003</v>
      </c>
      <c r="AC218" s="516">
        <f>(('C6 NPD Saved Proc Time'!AI$75)*1000)*'C6 NPD Saved Proc Time'!$D75*'Calcs - Scen 1'!$D217</f>
        <v>181912.50000000003</v>
      </c>
      <c r="AD218" s="516">
        <f>(('C6 NPD Saved Proc Time'!AJ$75)*1000)*'C6 NPD Saved Proc Time'!$D75*'Calcs - Scen 1'!$D217</f>
        <v>181912.50000000003</v>
      </c>
      <c r="AE218" s="516">
        <f>(('C6 NPD Saved Proc Time'!AK$75)*1000)*'C6 NPD Saved Proc Time'!$D75*'Calcs - Scen 1'!$D217</f>
        <v>181912.50000000003</v>
      </c>
      <c r="AF218" s="516">
        <f>(('C6 NPD Saved Proc Time'!AL$75)*1000)*'C6 NPD Saved Proc Time'!$D75*'Calcs - Scen 1'!$D217</f>
        <v>181912.50000000003</v>
      </c>
      <c r="AG218" s="516">
        <f>(('C6 NPD Saved Proc Time'!AM$75)*1000)*'C6 NPD Saved Proc Time'!$D75*'Calcs - Scen 1'!$D217</f>
        <v>181912.50000000003</v>
      </c>
      <c r="AH218" s="516">
        <f>(('C6 NPD Saved Proc Time'!AN$75)*1000)*'C6 NPD Saved Proc Time'!$D75*'Calcs - Scen 1'!$D217</f>
        <v>129937.50000000001</v>
      </c>
      <c r="AI218" s="516">
        <f>(('C6 NPD Saved Proc Time'!AO$75)*1000)*'C6 NPD Saved Proc Time'!$D75*'Calcs - Scen 1'!$D217</f>
        <v>77962.5</v>
      </c>
      <c r="AJ218" s="516">
        <f>(('C6 NPD Saved Proc Time'!AP$75)*1000)*'C6 NPD Saved Proc Time'!$D75*'Calcs - Scen 1'!$D217</f>
        <v>0</v>
      </c>
      <c r="AK218" s="516">
        <f>(('C6 NPD Saved Proc Time'!AQ$75)*1000)*'C6 NPD Saved Proc Time'!$D75*'Calcs - Scen 1'!$D217</f>
        <v>0</v>
      </c>
      <c r="AL218" s="516">
        <f>(('C6 NPD Saved Proc Time'!AR$75)*1000)*'C6 NPD Saved Proc Time'!$D75*'Calcs - Scen 1'!$D217</f>
        <v>0</v>
      </c>
      <c r="AM218" s="516">
        <f>(('C6 NPD Saved Proc Time'!AS$75)*1000)*'C6 NPD Saved Proc Time'!$D75*'Calcs - Scen 1'!$D217</f>
        <v>0</v>
      </c>
      <c r="AN218" s="516">
        <f>(('C6 NPD Saved Proc Time'!AT$75)*1000)*'C6 NPD Saved Proc Time'!$D75*'Calcs - Scen 1'!$D217</f>
        <v>0</v>
      </c>
      <c r="AO218" s="516">
        <f>(('C6 NPD Saved Proc Time'!AU$75)*1000)*'C6 NPD Saved Proc Time'!$D75*'Calcs - Scen 1'!$D217</f>
        <v>0</v>
      </c>
      <c r="AP218" s="516">
        <f>(('C6 NPD Saved Proc Time'!AV$75)*1000)*'C6 NPD Saved Proc Time'!$D75*'Calcs - Scen 1'!$D217</f>
        <v>0</v>
      </c>
    </row>
    <row r="219" spans="1:42">
      <c r="A219" s="39"/>
      <c r="B219" s="7" t="s">
        <v>31</v>
      </c>
      <c r="C219" s="129">
        <f>NPV($C$7,F218:AO218)+D218+E218</f>
        <v>3205967.7138940352</v>
      </c>
      <c r="D219" s="7"/>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10"/>
    </row>
    <row r="220" spans="1:42">
      <c r="A220" s="39"/>
      <c r="B220" s="7" t="s">
        <v>4</v>
      </c>
      <c r="C220" s="130" t="str">
        <f>IF(SUM(D220:AN220)&gt;1,"CHECK"," ")</f>
        <v xml:space="preserve"> </v>
      </c>
      <c r="D220" s="178">
        <v>0</v>
      </c>
      <c r="E220" s="15">
        <v>0.6</v>
      </c>
      <c r="F220" s="15">
        <v>0.4</v>
      </c>
      <c r="G220" s="15"/>
      <c r="H220" s="15"/>
      <c r="I220" s="15"/>
      <c r="J220" s="15"/>
      <c r="K220" s="15"/>
      <c r="L220" s="15"/>
      <c r="M220" s="15"/>
      <c r="N220" s="15"/>
      <c r="O220" s="15"/>
      <c r="P220" s="15"/>
      <c r="Q220" s="15"/>
      <c r="R220" s="15"/>
      <c r="S220" s="15"/>
      <c r="T220" s="125"/>
      <c r="U220" s="15"/>
      <c r="V220" s="15"/>
      <c r="W220" s="15"/>
      <c r="X220" s="15"/>
      <c r="Y220" s="15"/>
      <c r="Z220" s="15"/>
      <c r="AA220" s="15"/>
      <c r="AB220" s="15"/>
      <c r="AC220" s="15"/>
      <c r="AD220" s="15"/>
      <c r="AE220" s="15"/>
      <c r="AF220" s="15"/>
      <c r="AG220" s="15"/>
      <c r="AH220" s="15"/>
      <c r="AI220" s="15"/>
      <c r="AJ220" s="15"/>
      <c r="AK220" s="15"/>
      <c r="AL220" s="15"/>
      <c r="AM220" s="15"/>
      <c r="AN220" s="146"/>
      <c r="AO220" s="146"/>
      <c r="AP220" s="16"/>
    </row>
    <row r="221" spans="1:42" ht="15.75" thickBot="1">
      <c r="A221" s="39"/>
      <c r="B221" s="11"/>
      <c r="C221" s="51"/>
      <c r="D221" s="179">
        <f t="shared" ref="D221:R221" si="50">IF(D220&gt;0,(D220*$C219),0)</f>
        <v>0</v>
      </c>
      <c r="E221" s="20">
        <f t="shared" si="50"/>
        <v>1923580.628336421</v>
      </c>
      <c r="F221" s="20">
        <f t="shared" si="50"/>
        <v>1282387.0855576142</v>
      </c>
      <c r="G221" s="20">
        <f t="shared" si="50"/>
        <v>0</v>
      </c>
      <c r="H221" s="20">
        <f t="shared" si="50"/>
        <v>0</v>
      </c>
      <c r="I221" s="20">
        <f t="shared" si="50"/>
        <v>0</v>
      </c>
      <c r="J221" s="20">
        <f t="shared" si="50"/>
        <v>0</v>
      </c>
      <c r="K221" s="20">
        <f t="shared" si="50"/>
        <v>0</v>
      </c>
      <c r="L221" s="20">
        <f t="shared" si="50"/>
        <v>0</v>
      </c>
      <c r="M221" s="20">
        <f t="shared" si="50"/>
        <v>0</v>
      </c>
      <c r="N221" s="20">
        <f t="shared" si="50"/>
        <v>0</v>
      </c>
      <c r="O221" s="20">
        <f t="shared" si="50"/>
        <v>0</v>
      </c>
      <c r="P221" s="20">
        <f t="shared" si="50"/>
        <v>0</v>
      </c>
      <c r="Q221" s="20">
        <f t="shared" si="50"/>
        <v>0</v>
      </c>
      <c r="R221" s="20">
        <f t="shared" si="50"/>
        <v>0</v>
      </c>
      <c r="S221" s="20">
        <f>IF(S220&gt;0,(S220*$C219),0)</f>
        <v>0</v>
      </c>
      <c r="T221" s="126">
        <f t="shared" ref="T221:AN221" si="51">IF(T220&gt;0,(T220*$C219),0)</f>
        <v>0</v>
      </c>
      <c r="U221" s="20">
        <f t="shared" si="51"/>
        <v>0</v>
      </c>
      <c r="V221" s="20">
        <f t="shared" si="51"/>
        <v>0</v>
      </c>
      <c r="W221" s="20">
        <f t="shared" si="51"/>
        <v>0</v>
      </c>
      <c r="X221" s="20">
        <f t="shared" si="51"/>
        <v>0</v>
      </c>
      <c r="Y221" s="20">
        <f t="shared" si="51"/>
        <v>0</v>
      </c>
      <c r="Z221" s="20">
        <f t="shared" si="51"/>
        <v>0</v>
      </c>
      <c r="AA221" s="20">
        <f t="shared" si="51"/>
        <v>0</v>
      </c>
      <c r="AB221" s="20">
        <f t="shared" si="51"/>
        <v>0</v>
      </c>
      <c r="AC221" s="20">
        <f t="shared" si="51"/>
        <v>0</v>
      </c>
      <c r="AD221" s="20">
        <f t="shared" si="51"/>
        <v>0</v>
      </c>
      <c r="AE221" s="20">
        <f t="shared" si="51"/>
        <v>0</v>
      </c>
      <c r="AF221" s="20">
        <f t="shared" si="51"/>
        <v>0</v>
      </c>
      <c r="AG221" s="20">
        <f t="shared" si="51"/>
        <v>0</v>
      </c>
      <c r="AH221" s="20">
        <f t="shared" si="51"/>
        <v>0</v>
      </c>
      <c r="AI221" s="20">
        <f t="shared" si="51"/>
        <v>0</v>
      </c>
      <c r="AJ221" s="20">
        <f t="shared" si="51"/>
        <v>0</v>
      </c>
      <c r="AK221" s="20">
        <f t="shared" si="51"/>
        <v>0</v>
      </c>
      <c r="AL221" s="20">
        <f t="shared" si="51"/>
        <v>0</v>
      </c>
      <c r="AM221" s="20">
        <f t="shared" si="51"/>
        <v>0</v>
      </c>
      <c r="AN221" s="215">
        <f t="shared" si="51"/>
        <v>0</v>
      </c>
      <c r="AO221" s="215">
        <f>IF(AO220&gt;0,(AO220*$C219),0)</f>
        <v>0</v>
      </c>
      <c r="AP221" s="22">
        <f>IF(AP220&gt;0,(AP220*$C219),0)</f>
        <v>0</v>
      </c>
    </row>
    <row r="222" spans="1:42" ht="15.75" thickBot="1">
      <c r="A222" s="39"/>
      <c r="B222" s="7"/>
      <c r="C222" s="10"/>
      <c r="D222" s="221"/>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222"/>
    </row>
    <row r="223" spans="1:42">
      <c r="A223" s="39"/>
      <c r="B223" s="4" t="s">
        <v>12</v>
      </c>
      <c r="C223" s="133" t="str">
        <f>Summary!B45</f>
        <v>C7</v>
      </c>
      <c r="D223" s="156" t="str">
        <f>Summary!C45</f>
        <v xml:space="preserve">NPD Contract - Optimal Risk Transfer </v>
      </c>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6"/>
    </row>
    <row r="224" spans="1:42">
      <c r="A224" s="39"/>
      <c r="B224" s="7" t="s">
        <v>189</v>
      </c>
      <c r="C224" s="134" t="str">
        <f>'C7 NPD Optimal Risk Transfer'!D47</f>
        <v>C - Good</v>
      </c>
      <c r="D224" s="176">
        <f>VLOOKUP(C224,'Confidence Factors'!$B$6:$D$9,3)</f>
        <v>0.75</v>
      </c>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10"/>
    </row>
    <row r="225" spans="1:42">
      <c r="A225" s="39"/>
      <c r="B225" s="7" t="s">
        <v>30</v>
      </c>
      <c r="C225" s="128">
        <f>SUM(D225:AN225)</f>
        <v>13894366.666666657</v>
      </c>
      <c r="D225" s="177">
        <v>0</v>
      </c>
      <c r="E225" s="19">
        <f>(('C5 RHSC DCN Comp'!$D84)*0.25)*'C5 RHSC DCN Comp'!$D89*'Calcs - Scen 1'!$D224</f>
        <v>0</v>
      </c>
      <c r="F225" s="516">
        <f>'C6 NPD Saved Proc Time'!L$79*'C6 NPD Saved Proc Time'!$D82*'Calcs - Scen 1'!$D224</f>
        <v>0</v>
      </c>
      <c r="G225" s="516">
        <f>'C6 NPD Saved Proc Time'!M$79*'C6 NPD Saved Proc Time'!$D82*'Calcs - Scen 1'!$D224</f>
        <v>0</v>
      </c>
      <c r="H225" s="516">
        <f>'C6 NPD Saved Proc Time'!N$79*'C6 NPD Saved Proc Time'!$D82*'Calcs - Scen 1'!$D224</f>
        <v>0</v>
      </c>
      <c r="I225" s="516">
        <f>'C7 NPD Optimal Risk Transfer'!R$42*'C7 NPD Optimal Risk Transfer'!$D75*'Calcs - Scen 1'!$D224</f>
        <v>166041.66666666663</v>
      </c>
      <c r="J225" s="516">
        <f>'C7 NPD Optimal Risk Transfer'!S$42*'C7 NPD Optimal Risk Transfer'!$D75*'Calcs - Scen 1'!$D224</f>
        <v>444991.66666666669</v>
      </c>
      <c r="K225" s="516">
        <f>'C7 NPD Optimal Risk Transfer'!T$42*'C7 NPD Optimal Risk Transfer'!$D75*'Calcs - Scen 1'!$D224</f>
        <v>664166.66666666651</v>
      </c>
      <c r="L225" s="516">
        <f>'C7 NPD Optimal Risk Transfer'!U$42*'C7 NPD Optimal Risk Transfer'!$D75*'Calcs - Scen 1'!$D224</f>
        <v>664166.66666666651</v>
      </c>
      <c r="M225" s="516">
        <f>'C7 NPD Optimal Risk Transfer'!V$42*'C7 NPD Optimal Risk Transfer'!$D75*'Calcs - Scen 1'!$D224</f>
        <v>664166.66666666651</v>
      </c>
      <c r="N225" s="516">
        <f>'C7 NPD Optimal Risk Transfer'!W$42*'C7 NPD Optimal Risk Transfer'!$D75*'Calcs - Scen 1'!$D224</f>
        <v>664166.66666666651</v>
      </c>
      <c r="O225" s="516">
        <f>'C7 NPD Optimal Risk Transfer'!X$42*'C7 NPD Optimal Risk Transfer'!$D75*'Calcs - Scen 1'!$D224</f>
        <v>664166.66666666651</v>
      </c>
      <c r="P225" s="516">
        <f>'C7 NPD Optimal Risk Transfer'!Y$42*'C7 NPD Optimal Risk Transfer'!$D75*'Calcs - Scen 1'!$D224</f>
        <v>664166.66666666651</v>
      </c>
      <c r="Q225" s="516">
        <f>'C7 NPD Optimal Risk Transfer'!Z$42*'C7 NPD Optimal Risk Transfer'!$D75*'Calcs - Scen 1'!$D224</f>
        <v>664166.66666666651</v>
      </c>
      <c r="R225" s="516">
        <f>'C7 NPD Optimal Risk Transfer'!AA$42*'C7 NPD Optimal Risk Transfer'!$D75*'Calcs - Scen 1'!$D224</f>
        <v>664166.66666666651</v>
      </c>
      <c r="S225" s="516">
        <f>'C7 NPD Optimal Risk Transfer'!AB$42*'C7 NPD Optimal Risk Transfer'!$D75*'Calcs - Scen 1'!$D224</f>
        <v>664166.66666666651</v>
      </c>
      <c r="T225" s="516">
        <f>'C7 NPD Optimal Risk Transfer'!AC$42*'C7 NPD Optimal Risk Transfer'!$D75*'Calcs - Scen 1'!$D224</f>
        <v>664166.66666666651</v>
      </c>
      <c r="U225" s="516">
        <f>'C7 NPD Optimal Risk Transfer'!AD$42*'C7 NPD Optimal Risk Transfer'!$D75*'Calcs - Scen 1'!$D224</f>
        <v>664166.66666666651</v>
      </c>
      <c r="V225" s="516">
        <f>'C7 NPD Optimal Risk Transfer'!AE$42*'C7 NPD Optimal Risk Transfer'!$D75*'Calcs - Scen 1'!$D224</f>
        <v>664166.66666666651</v>
      </c>
      <c r="W225" s="516">
        <f>'C7 NPD Optimal Risk Transfer'!AF$42*'C7 NPD Optimal Risk Transfer'!$D75*'Calcs - Scen 1'!$D224</f>
        <v>664166.66666666651</v>
      </c>
      <c r="X225" s="516">
        <f>'C7 NPD Optimal Risk Transfer'!AG$42*'C7 NPD Optimal Risk Transfer'!$D75*'Calcs - Scen 1'!$D224</f>
        <v>664166.66666666651</v>
      </c>
      <c r="Y225" s="516">
        <f>'C7 NPD Optimal Risk Transfer'!AH$42*'C7 NPD Optimal Risk Transfer'!$D75*'Calcs - Scen 1'!$D224</f>
        <v>664166.66666666651</v>
      </c>
      <c r="Z225" s="516">
        <f>'C7 NPD Optimal Risk Transfer'!AI$42*'C7 NPD Optimal Risk Transfer'!$D75*'Calcs - Scen 1'!$D224</f>
        <v>664166.66666666651</v>
      </c>
      <c r="AA225" s="516">
        <f>'C7 NPD Optimal Risk Transfer'!AJ$42*'C7 NPD Optimal Risk Transfer'!$D75*'Calcs - Scen 1'!$D224</f>
        <v>664166.66666666651</v>
      </c>
      <c r="AB225" s="516">
        <f>'C7 NPD Optimal Risk Transfer'!AK$42*'C7 NPD Optimal Risk Transfer'!$D75*'Calcs - Scen 1'!$D224</f>
        <v>664166.66666666651</v>
      </c>
      <c r="AC225" s="516">
        <f>'C7 NPD Optimal Risk Transfer'!AL$42*'C7 NPD Optimal Risk Transfer'!$D75*'Calcs - Scen 1'!$D224</f>
        <v>664166.66666666651</v>
      </c>
      <c r="AD225" s="516">
        <f>'C7 NPD Optimal Risk Transfer'!AM$42*'C7 NPD Optimal Risk Transfer'!$D75*'Calcs - Scen 1'!$D224</f>
        <v>664166.66666666651</v>
      </c>
      <c r="AE225" s="516">
        <v>0</v>
      </c>
      <c r="AF225" s="516">
        <f>'C7 NPD Optimal Risk Transfer'!AO$42*'C7 NPD Optimal Risk Transfer'!$D75*'Calcs - Scen 1'!$D224</f>
        <v>0</v>
      </c>
      <c r="AG225" s="516">
        <f>'C7 NPD Optimal Risk Transfer'!AP$42*'C7 NPD Optimal Risk Transfer'!$D75*'Calcs - Scen 1'!$D224</f>
        <v>0</v>
      </c>
      <c r="AH225" s="516">
        <f>'C7 NPD Optimal Risk Transfer'!AQ$42*'C7 NPD Optimal Risk Transfer'!$D75*'Calcs - Scen 1'!$D224</f>
        <v>0</v>
      </c>
      <c r="AI225" s="516">
        <f>'C7 NPD Optimal Risk Transfer'!AR$42*'C7 NPD Optimal Risk Transfer'!$D75*'Calcs - Scen 1'!$D224</f>
        <v>0</v>
      </c>
      <c r="AJ225" s="516">
        <f>'C7 NPD Optimal Risk Transfer'!AS$42*'C7 NPD Optimal Risk Transfer'!$D75*'Calcs - Scen 1'!$D224</f>
        <v>0</v>
      </c>
      <c r="AK225" s="516">
        <f>'C7 NPD Optimal Risk Transfer'!AT$42*'C7 NPD Optimal Risk Transfer'!$D75*'Calcs - Scen 1'!$D224</f>
        <v>0</v>
      </c>
      <c r="AL225" s="516">
        <f>'C7 NPD Optimal Risk Transfer'!AU$42*'C7 NPD Optimal Risk Transfer'!$D75*'Calcs - Scen 1'!$D224</f>
        <v>0</v>
      </c>
      <c r="AM225" s="19">
        <v>0</v>
      </c>
      <c r="AN225" s="216">
        <v>0</v>
      </c>
      <c r="AO225" s="216">
        <v>0</v>
      </c>
      <c r="AP225" s="23">
        <v>0</v>
      </c>
    </row>
    <row r="226" spans="1:42">
      <c r="A226" s="39"/>
      <c r="B226" s="7" t="s">
        <v>31</v>
      </c>
      <c r="C226" s="129">
        <f>NPV($C$7,F225:AO225)+D225+E225</f>
        <v>8467092.0850346126</v>
      </c>
      <c r="D226" s="7"/>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10"/>
    </row>
    <row r="227" spans="1:42">
      <c r="A227" s="39"/>
      <c r="B227" s="7" t="s">
        <v>4</v>
      </c>
      <c r="C227" s="130" t="str">
        <f>IF(SUM(D227:AN227)&gt;1,"CHECK"," ")</f>
        <v xml:space="preserve"> </v>
      </c>
      <c r="D227" s="178">
        <v>0</v>
      </c>
      <c r="E227" s="15">
        <v>0.33</v>
      </c>
      <c r="F227" s="15">
        <v>0.67</v>
      </c>
      <c r="G227" s="15"/>
      <c r="H227" s="15"/>
      <c r="I227" s="15"/>
      <c r="J227" s="15"/>
      <c r="K227" s="15"/>
      <c r="L227" s="15"/>
      <c r="M227" s="15"/>
      <c r="N227" s="15"/>
      <c r="O227" s="15"/>
      <c r="P227" s="15"/>
      <c r="Q227" s="15"/>
      <c r="R227" s="15"/>
      <c r="S227" s="15"/>
      <c r="T227" s="125"/>
      <c r="U227" s="15"/>
      <c r="V227" s="15"/>
      <c r="W227" s="15"/>
      <c r="X227" s="15"/>
      <c r="Y227" s="15"/>
      <c r="Z227" s="15"/>
      <c r="AA227" s="15"/>
      <c r="AB227" s="15"/>
      <c r="AC227" s="15"/>
      <c r="AD227" s="15"/>
      <c r="AE227" s="15"/>
      <c r="AF227" s="15"/>
      <c r="AG227" s="15"/>
      <c r="AH227" s="15"/>
      <c r="AI227" s="15"/>
      <c r="AJ227" s="15"/>
      <c r="AK227" s="15"/>
      <c r="AL227" s="15"/>
      <c r="AM227" s="15"/>
      <c r="AN227" s="146"/>
      <c r="AO227" s="146"/>
      <c r="AP227" s="16"/>
    </row>
    <row r="228" spans="1:42" ht="15.75" thickBot="1">
      <c r="A228" s="39"/>
      <c r="B228" s="11"/>
      <c r="C228" s="539"/>
      <c r="D228" s="179">
        <f t="shared" ref="D228:R228" si="52">IF(D227&gt;0,(D227*$C226),0)</f>
        <v>0</v>
      </c>
      <c r="E228" s="20">
        <f t="shared" si="52"/>
        <v>2794140.3880614224</v>
      </c>
      <c r="F228" s="20">
        <f t="shared" si="52"/>
        <v>5672951.6969731906</v>
      </c>
      <c r="G228" s="20">
        <f t="shared" si="52"/>
        <v>0</v>
      </c>
      <c r="H228" s="20">
        <f t="shared" si="52"/>
        <v>0</v>
      </c>
      <c r="I228" s="20">
        <f t="shared" si="52"/>
        <v>0</v>
      </c>
      <c r="J228" s="20">
        <f t="shared" si="52"/>
        <v>0</v>
      </c>
      <c r="K228" s="20">
        <f t="shared" si="52"/>
        <v>0</v>
      </c>
      <c r="L228" s="20">
        <f t="shared" si="52"/>
        <v>0</v>
      </c>
      <c r="M228" s="20">
        <f t="shared" si="52"/>
        <v>0</v>
      </c>
      <c r="N228" s="20">
        <f t="shared" si="52"/>
        <v>0</v>
      </c>
      <c r="O228" s="20">
        <f t="shared" si="52"/>
        <v>0</v>
      </c>
      <c r="P228" s="20">
        <f t="shared" si="52"/>
        <v>0</v>
      </c>
      <c r="Q228" s="20">
        <f t="shared" si="52"/>
        <v>0</v>
      </c>
      <c r="R228" s="20">
        <f t="shared" si="52"/>
        <v>0</v>
      </c>
      <c r="S228" s="20">
        <f>IF(S227&gt;0,(S227*$C226),0)</f>
        <v>0</v>
      </c>
      <c r="T228" s="126">
        <f t="shared" ref="T228:AN228" si="53">IF(T227&gt;0,(T227*$C226),0)</f>
        <v>0</v>
      </c>
      <c r="U228" s="20">
        <f t="shared" si="53"/>
        <v>0</v>
      </c>
      <c r="V228" s="20">
        <f t="shared" si="53"/>
        <v>0</v>
      </c>
      <c r="W228" s="20">
        <f t="shared" si="53"/>
        <v>0</v>
      </c>
      <c r="X228" s="20">
        <f t="shared" si="53"/>
        <v>0</v>
      </c>
      <c r="Y228" s="20">
        <f t="shared" si="53"/>
        <v>0</v>
      </c>
      <c r="Z228" s="20">
        <f t="shared" si="53"/>
        <v>0</v>
      </c>
      <c r="AA228" s="20">
        <f t="shared" si="53"/>
        <v>0</v>
      </c>
      <c r="AB228" s="20">
        <f t="shared" si="53"/>
        <v>0</v>
      </c>
      <c r="AC228" s="20">
        <f t="shared" si="53"/>
        <v>0</v>
      </c>
      <c r="AD228" s="20">
        <f t="shared" si="53"/>
        <v>0</v>
      </c>
      <c r="AE228" s="20">
        <f t="shared" si="53"/>
        <v>0</v>
      </c>
      <c r="AF228" s="20">
        <f t="shared" si="53"/>
        <v>0</v>
      </c>
      <c r="AG228" s="20">
        <f t="shared" si="53"/>
        <v>0</v>
      </c>
      <c r="AH228" s="20">
        <f t="shared" si="53"/>
        <v>0</v>
      </c>
      <c r="AI228" s="20">
        <f t="shared" si="53"/>
        <v>0</v>
      </c>
      <c r="AJ228" s="20">
        <f t="shared" si="53"/>
        <v>0</v>
      </c>
      <c r="AK228" s="20">
        <f t="shared" si="53"/>
        <v>0</v>
      </c>
      <c r="AL228" s="20">
        <f t="shared" si="53"/>
        <v>0</v>
      </c>
      <c r="AM228" s="20">
        <f t="shared" si="53"/>
        <v>0</v>
      </c>
      <c r="AN228" s="215">
        <f t="shared" si="53"/>
        <v>0</v>
      </c>
      <c r="AO228" s="215">
        <f>IF(AO227&gt;0,(AO227*$C226),0)</f>
        <v>0</v>
      </c>
      <c r="AP228" s="22">
        <f>IF(AP227&gt;0,(AP227*$C226),0)</f>
        <v>0</v>
      </c>
    </row>
    <row r="229" spans="1:42" ht="15.75" thickBot="1">
      <c r="A229" s="39"/>
      <c r="B229" s="7"/>
      <c r="C229" s="10"/>
      <c r="D229" s="221"/>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222"/>
    </row>
    <row r="230" spans="1:42">
      <c r="A230" s="39"/>
      <c r="B230" s="4" t="s">
        <v>12</v>
      </c>
      <c r="C230" s="133" t="str">
        <f>Summary!B46</f>
        <v>C8</v>
      </c>
      <c r="D230" s="156" t="str">
        <f>Summary!C46</f>
        <v>NPD Programme - Reduced Cost of Capital</v>
      </c>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6"/>
    </row>
    <row r="231" spans="1:42">
      <c r="A231" s="39"/>
      <c r="B231" s="7" t="s">
        <v>189</v>
      </c>
      <c r="C231" s="134" t="str">
        <f>'C8 Reduced Cost of Capital'!D47</f>
        <v>D - Moderate</v>
      </c>
      <c r="D231" s="176">
        <f>VLOOKUP(C231,'Confidence Factors'!$B$6:$D$9,3)</f>
        <v>0.55000000000000004</v>
      </c>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10"/>
    </row>
    <row r="232" spans="1:42">
      <c r="A232" s="39"/>
      <c r="B232" s="7" t="s">
        <v>30</v>
      </c>
      <c r="C232" s="128">
        <f>SUM(D232:AN232)</f>
        <v>20556250</v>
      </c>
      <c r="D232" s="177">
        <v>0</v>
      </c>
      <c r="E232" s="19">
        <f>(('C5 RHSC DCN Comp'!$D91)*0.25)*'C5 RHSC DCN Comp'!$D96*'Calcs - Scen 1'!$D231</f>
        <v>0</v>
      </c>
      <c r="F232" s="516">
        <f>'C6 NPD Saved Proc Time'!L$79*'C6 NPD Saved Proc Time'!$D89*'Calcs - Scen 1'!$D231</f>
        <v>0</v>
      </c>
      <c r="G232" s="516">
        <f>'C6 NPD Saved Proc Time'!M$79*'C6 NPD Saved Proc Time'!$D89*'Calcs - Scen 1'!$D231</f>
        <v>0</v>
      </c>
      <c r="H232" s="516">
        <f>'C6 NPD Saved Proc Time'!N$79*'C6 NPD Saved Proc Time'!$D89*'Calcs - Scen 1'!$D231</f>
        <v>0</v>
      </c>
      <c r="I232" s="516">
        <f>'C7 NPD Optimal Risk Transfer'!R$42*'C7 NPD Optimal Risk Transfer'!$D82*'Calcs - Scen 1'!$D231</f>
        <v>0</v>
      </c>
      <c r="J232" s="516">
        <f>'C7 NPD Optimal Risk Transfer'!S$42*'C7 NPD Optimal Risk Transfer'!$D82*'Calcs - Scen 1'!$D231</f>
        <v>0</v>
      </c>
      <c r="K232" s="516">
        <f>(('C8 Reduced Cost of Capital'!R74)*1000)*'C8 Reduced Cost of Capital'!D75*'Calcs - Scen 1'!D231</f>
        <v>440000.00000000006</v>
      </c>
      <c r="L232" s="516">
        <f>(('C8 Reduced Cost of Capital'!$S74)*1000)*'C8 Reduced Cost of Capital'!$D75*'Calcs - Scen 1'!$D231</f>
        <v>1058750</v>
      </c>
      <c r="M232" s="516">
        <f>(('C8 Reduced Cost of Capital'!$S74)*1000)*'C8 Reduced Cost of Capital'!$D75*'Calcs - Scen 1'!$D231</f>
        <v>1058750</v>
      </c>
      <c r="N232" s="516">
        <f>(('C8 Reduced Cost of Capital'!$S74)*1000)*'C8 Reduced Cost of Capital'!$D75*'Calcs - Scen 1'!$D231</f>
        <v>1058750</v>
      </c>
      <c r="O232" s="516">
        <f>(('C8 Reduced Cost of Capital'!$S74)*1000)*'C8 Reduced Cost of Capital'!$D75*'Calcs - Scen 1'!$D231</f>
        <v>1058750</v>
      </c>
      <c r="P232" s="516">
        <f>(('C8 Reduced Cost of Capital'!$S74)*1000)*'C8 Reduced Cost of Capital'!$D75*'Calcs - Scen 1'!$D231</f>
        <v>1058750</v>
      </c>
      <c r="Q232" s="516">
        <f>(('C8 Reduced Cost of Capital'!$S74)*1000)*'C8 Reduced Cost of Capital'!$D75*'Calcs - Scen 1'!$D231</f>
        <v>1058750</v>
      </c>
      <c r="R232" s="516">
        <f>(('C8 Reduced Cost of Capital'!$S74)*1000)*'C8 Reduced Cost of Capital'!$D75*'Calcs - Scen 1'!$D231</f>
        <v>1058750</v>
      </c>
      <c r="S232" s="516">
        <f>(('C8 Reduced Cost of Capital'!$S74)*1000)*'C8 Reduced Cost of Capital'!$D75*'Calcs - Scen 1'!$D231</f>
        <v>1058750</v>
      </c>
      <c r="T232" s="516">
        <f>(('C8 Reduced Cost of Capital'!$S74)*1000)*'C8 Reduced Cost of Capital'!$D75*'Calcs - Scen 1'!$D231</f>
        <v>1058750</v>
      </c>
      <c r="U232" s="516">
        <f>(('C8 Reduced Cost of Capital'!$S74)*1000)*'C8 Reduced Cost of Capital'!$D75*'Calcs - Scen 1'!$D231</f>
        <v>1058750</v>
      </c>
      <c r="V232" s="516">
        <f>(('C8 Reduced Cost of Capital'!$S74)*1000)*'C8 Reduced Cost of Capital'!$D75*'Calcs - Scen 1'!$D231</f>
        <v>1058750</v>
      </c>
      <c r="W232" s="516">
        <f>(('C8 Reduced Cost of Capital'!$S74)*1000)*'C8 Reduced Cost of Capital'!$D75*'Calcs - Scen 1'!$D231</f>
        <v>1058750</v>
      </c>
      <c r="X232" s="516">
        <f>(('C8 Reduced Cost of Capital'!$S74)*1000)*'C8 Reduced Cost of Capital'!$D75*'Calcs - Scen 1'!$D231</f>
        <v>1058750</v>
      </c>
      <c r="Y232" s="516">
        <f>(('C8 Reduced Cost of Capital'!$S74)*1000)*'C8 Reduced Cost of Capital'!$D75*'Calcs - Scen 1'!$D231</f>
        <v>1058750</v>
      </c>
      <c r="Z232" s="516">
        <f>(('C8 Reduced Cost of Capital'!$S74)*1000)*'C8 Reduced Cost of Capital'!$D75*'Calcs - Scen 1'!$D231</f>
        <v>1058750</v>
      </c>
      <c r="AA232" s="516">
        <f>(('C8 Reduced Cost of Capital'!$S74)*1000)*'C8 Reduced Cost of Capital'!$D75*'Calcs - Scen 1'!$D231</f>
        <v>1058750</v>
      </c>
      <c r="AB232" s="516">
        <f>(('C8 Reduced Cost of Capital'!$S74)*1000)*'C8 Reduced Cost of Capital'!$D75*'Calcs - Scen 1'!$D231</f>
        <v>1058750</v>
      </c>
      <c r="AC232" s="516">
        <f>(('C8 Reduced Cost of Capital'!$S74)*1000)*'C8 Reduced Cost of Capital'!$D75*'Calcs - Scen 1'!$D231</f>
        <v>1058750</v>
      </c>
      <c r="AD232" s="516">
        <f>(('C8 Reduced Cost of Capital'!$S74)*1000)*'C8 Reduced Cost of Capital'!$D75*'Calcs - Scen 1'!$D231</f>
        <v>1058750</v>
      </c>
      <c r="AE232" s="516">
        <f>(('C8 Reduced Cost of Capital'!AL$74)*1000)*'C8 Reduced Cost of Capital'!W$75*'Calcs - Scen 1'!W$231</f>
        <v>0</v>
      </c>
      <c r="AF232" s="516">
        <f>(('C8 Reduced Cost of Capital'!AM$74)*1000)*'C8 Reduced Cost of Capital'!X$75*'Calcs - Scen 1'!X$231</f>
        <v>0</v>
      </c>
      <c r="AG232" s="516">
        <f>(('C8 Reduced Cost of Capital'!AN$74)*1000)*'C8 Reduced Cost of Capital'!Y$75*'Calcs - Scen 1'!Y$231</f>
        <v>0</v>
      </c>
      <c r="AH232" s="516">
        <f>(('C8 Reduced Cost of Capital'!AO$74)*1000)*'C8 Reduced Cost of Capital'!Z$75*'Calcs - Scen 1'!Z$231</f>
        <v>0</v>
      </c>
      <c r="AI232" s="516">
        <f>(('C8 Reduced Cost of Capital'!AP$74)*1000)*'C8 Reduced Cost of Capital'!AA$75*'Calcs - Scen 1'!AA$231</f>
        <v>0</v>
      </c>
      <c r="AJ232" s="516">
        <f>(('C8 Reduced Cost of Capital'!AQ$74)*1000)*'C8 Reduced Cost of Capital'!AB$75*'Calcs - Scen 1'!AB$231</f>
        <v>0</v>
      </c>
      <c r="AK232" s="516">
        <f>'C7 NPD Optimal Risk Transfer'!AT$42*'C7 NPD Optimal Risk Transfer'!$D82*'Calcs - Scen 1'!$D231</f>
        <v>0</v>
      </c>
      <c r="AL232" s="516">
        <f>'C7 NPD Optimal Risk Transfer'!AU$42*'C7 NPD Optimal Risk Transfer'!$D82*'Calcs - Scen 1'!$D231</f>
        <v>0</v>
      </c>
      <c r="AM232" s="19">
        <v>0</v>
      </c>
      <c r="AN232" s="216">
        <v>0</v>
      </c>
      <c r="AO232" s="216">
        <v>0</v>
      </c>
      <c r="AP232" s="23">
        <v>0</v>
      </c>
    </row>
    <row r="233" spans="1:42">
      <c r="A233" s="39"/>
      <c r="B233" s="7" t="s">
        <v>31</v>
      </c>
      <c r="C233" s="129">
        <f>NPV($C$7,F232:AO232)+D232+E232</f>
        <v>12166138.348387802</v>
      </c>
      <c r="D233" s="7"/>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10"/>
    </row>
    <row r="234" spans="1:42">
      <c r="A234" s="39"/>
      <c r="B234" s="7" t="s">
        <v>4</v>
      </c>
      <c r="C234" s="130" t="str">
        <f>IF(SUM(D234:AN234)&gt;1,"CHECK"," ")</f>
        <v xml:space="preserve"> </v>
      </c>
      <c r="D234" s="178">
        <v>0</v>
      </c>
      <c r="E234" s="15">
        <v>0.2</v>
      </c>
      <c r="F234" s="15">
        <v>0.4</v>
      </c>
      <c r="G234" s="15">
        <v>0.4</v>
      </c>
      <c r="H234" s="15"/>
      <c r="I234" s="15"/>
      <c r="J234" s="15"/>
      <c r="K234" s="15"/>
      <c r="L234" s="15"/>
      <c r="M234" s="15"/>
      <c r="N234" s="15"/>
      <c r="O234" s="15"/>
      <c r="P234" s="15"/>
      <c r="Q234" s="15"/>
      <c r="R234" s="15"/>
      <c r="S234" s="15"/>
      <c r="T234" s="125"/>
      <c r="U234" s="15"/>
      <c r="V234" s="15"/>
      <c r="W234" s="15"/>
      <c r="X234" s="15"/>
      <c r="Y234" s="15"/>
      <c r="Z234" s="15"/>
      <c r="AA234" s="15"/>
      <c r="AB234" s="15"/>
      <c r="AC234" s="15"/>
      <c r="AD234" s="15"/>
      <c r="AE234" s="15"/>
      <c r="AF234" s="15"/>
      <c r="AG234" s="15"/>
      <c r="AH234" s="15"/>
      <c r="AI234" s="15"/>
      <c r="AJ234" s="15"/>
      <c r="AK234" s="15"/>
      <c r="AL234" s="15"/>
      <c r="AM234" s="15"/>
      <c r="AN234" s="146"/>
      <c r="AO234" s="146"/>
      <c r="AP234" s="16"/>
    </row>
    <row r="235" spans="1:42" ht="15.75" thickBot="1">
      <c r="A235" s="39"/>
      <c r="B235" s="11"/>
      <c r="C235" s="539"/>
      <c r="D235" s="179">
        <f t="shared" ref="D235:R235" si="54">IF(D234&gt;0,(D234*$C233),0)</f>
        <v>0</v>
      </c>
      <c r="E235" s="20">
        <f t="shared" si="54"/>
        <v>2433227.6696775607</v>
      </c>
      <c r="F235" s="20">
        <f t="shared" si="54"/>
        <v>4866455.3393551214</v>
      </c>
      <c r="G235" s="20">
        <f t="shared" si="54"/>
        <v>4866455.3393551214</v>
      </c>
      <c r="H235" s="20">
        <f t="shared" si="54"/>
        <v>0</v>
      </c>
      <c r="I235" s="20">
        <f t="shared" si="54"/>
        <v>0</v>
      </c>
      <c r="J235" s="20">
        <f t="shared" si="54"/>
        <v>0</v>
      </c>
      <c r="K235" s="20">
        <f t="shared" si="54"/>
        <v>0</v>
      </c>
      <c r="L235" s="20">
        <f t="shared" si="54"/>
        <v>0</v>
      </c>
      <c r="M235" s="20">
        <f t="shared" si="54"/>
        <v>0</v>
      </c>
      <c r="N235" s="20">
        <f t="shared" si="54"/>
        <v>0</v>
      </c>
      <c r="O235" s="20">
        <f t="shared" si="54"/>
        <v>0</v>
      </c>
      <c r="P235" s="20">
        <f t="shared" si="54"/>
        <v>0</v>
      </c>
      <c r="Q235" s="20">
        <f t="shared" si="54"/>
        <v>0</v>
      </c>
      <c r="R235" s="20">
        <f t="shared" si="54"/>
        <v>0</v>
      </c>
      <c r="S235" s="20">
        <f>IF(S234&gt;0,(S234*$C233),0)</f>
        <v>0</v>
      </c>
      <c r="T235" s="126">
        <f t="shared" ref="T235:AN235" si="55">IF(T234&gt;0,(T234*$C233),0)</f>
        <v>0</v>
      </c>
      <c r="U235" s="20">
        <f t="shared" si="55"/>
        <v>0</v>
      </c>
      <c r="V235" s="20">
        <f t="shared" si="55"/>
        <v>0</v>
      </c>
      <c r="W235" s="20">
        <f t="shared" si="55"/>
        <v>0</v>
      </c>
      <c r="X235" s="20">
        <f t="shared" si="55"/>
        <v>0</v>
      </c>
      <c r="Y235" s="20">
        <f t="shared" si="55"/>
        <v>0</v>
      </c>
      <c r="Z235" s="20">
        <f t="shared" si="55"/>
        <v>0</v>
      </c>
      <c r="AA235" s="20">
        <f t="shared" si="55"/>
        <v>0</v>
      </c>
      <c r="AB235" s="20">
        <f t="shared" si="55"/>
        <v>0</v>
      </c>
      <c r="AC235" s="20">
        <f t="shared" si="55"/>
        <v>0</v>
      </c>
      <c r="AD235" s="20">
        <f t="shared" si="55"/>
        <v>0</v>
      </c>
      <c r="AE235" s="20">
        <f t="shared" si="55"/>
        <v>0</v>
      </c>
      <c r="AF235" s="20">
        <f t="shared" si="55"/>
        <v>0</v>
      </c>
      <c r="AG235" s="20">
        <f t="shared" si="55"/>
        <v>0</v>
      </c>
      <c r="AH235" s="20">
        <f t="shared" si="55"/>
        <v>0</v>
      </c>
      <c r="AI235" s="20">
        <f t="shared" si="55"/>
        <v>0</v>
      </c>
      <c r="AJ235" s="20">
        <f t="shared" si="55"/>
        <v>0</v>
      </c>
      <c r="AK235" s="20">
        <f t="shared" si="55"/>
        <v>0</v>
      </c>
      <c r="AL235" s="20">
        <f t="shared" si="55"/>
        <v>0</v>
      </c>
      <c r="AM235" s="20">
        <f t="shared" si="55"/>
        <v>0</v>
      </c>
      <c r="AN235" s="215">
        <f t="shared" si="55"/>
        <v>0</v>
      </c>
      <c r="AO235" s="215">
        <f>IF(AO234&gt;0,(AO234*$C233),0)</f>
        <v>0</v>
      </c>
      <c r="AP235" s="22">
        <f>IF(AP234&gt;0,(AP234*$C233),0)</f>
        <v>0</v>
      </c>
    </row>
    <row r="236" spans="1:42" ht="15.75" thickBot="1">
      <c r="A236" s="39"/>
      <c r="B236" s="7"/>
      <c r="C236" s="10"/>
      <c r="D236" s="221"/>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222"/>
    </row>
    <row r="237" spans="1:42">
      <c r="A237" s="39"/>
      <c r="B237" s="4" t="s">
        <v>12</v>
      </c>
      <c r="C237" s="133" t="str">
        <f>Summary!B47</f>
        <v>C9</v>
      </c>
      <c r="D237" s="156" t="str">
        <f>Summary!C47</f>
        <v>hub - Return on Working capital investment</v>
      </c>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6"/>
    </row>
    <row r="238" spans="1:42">
      <c r="A238" s="39"/>
      <c r="B238" s="7" t="s">
        <v>189</v>
      </c>
      <c r="C238" s="134" t="str">
        <f>'C9 hub Return on Workg Cap Inv'!D47</f>
        <v>B - Very Good</v>
      </c>
      <c r="D238" s="176">
        <f>VLOOKUP(C238,'Confidence Factors'!$B$6:$D$9,3)</f>
        <v>0.9</v>
      </c>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10"/>
    </row>
    <row r="239" spans="1:42">
      <c r="A239" s="39"/>
      <c r="B239" s="7" t="s">
        <v>30</v>
      </c>
      <c r="C239" s="128">
        <f>SUM(D239:AN239)</f>
        <v>17100</v>
      </c>
      <c r="D239" s="177">
        <v>0</v>
      </c>
      <c r="E239" s="19">
        <f>'C9 hub Return on Workg Cap Inv'!I$73*'C9 hub Return on Workg Cap Inv'!$D75*'Calcs - Scen 1'!$D238</f>
        <v>2850</v>
      </c>
      <c r="F239" s="19">
        <f>'C9 hub Return on Workg Cap Inv'!J$73*'C9 hub Return on Workg Cap Inv'!$D75*'Calcs - Scen 1'!$D238</f>
        <v>2850</v>
      </c>
      <c r="G239" s="19">
        <f>'C9 hub Return on Workg Cap Inv'!K$73*'C9 hub Return on Workg Cap Inv'!$D75*'Calcs - Scen 1'!$D238</f>
        <v>2850</v>
      </c>
      <c r="H239" s="19">
        <f>'C9 hub Return on Workg Cap Inv'!L$73*'C9 hub Return on Workg Cap Inv'!$D75*'Calcs - Scen 1'!$D238</f>
        <v>2850</v>
      </c>
      <c r="I239" s="19">
        <f>'C9 hub Return on Workg Cap Inv'!M$73*'C9 hub Return on Workg Cap Inv'!$D75*'Calcs - Scen 1'!$D238</f>
        <v>2850</v>
      </c>
      <c r="J239" s="19">
        <f>'C9 hub Return on Workg Cap Inv'!N$73*'C9 hub Return on Workg Cap Inv'!$D75*'Calcs - Scen 1'!$D238</f>
        <v>2850</v>
      </c>
      <c r="K239" s="19">
        <f>'C9 hub Return on Workg Cap Inv'!O$73*'C9 hub Return on Workg Cap Inv'!$D75*'Calcs - Scen 1'!$D238</f>
        <v>0</v>
      </c>
      <c r="L239" s="19">
        <f>'C9 hub Return on Workg Cap Inv'!P$73*'C9 hub Return on Workg Cap Inv'!$D75*'Calcs - Scen 1'!$D238</f>
        <v>0</v>
      </c>
      <c r="M239" s="19">
        <f>'C9 hub Return on Workg Cap Inv'!Q$73*'C9 hub Return on Workg Cap Inv'!$D75*'Calcs - Scen 1'!$D238</f>
        <v>0</v>
      </c>
      <c r="N239" s="19">
        <f>'C9 hub Return on Workg Cap Inv'!R$73*'C9 hub Return on Workg Cap Inv'!$D75*'Calcs - Scen 1'!$D238</f>
        <v>0</v>
      </c>
      <c r="O239" s="19">
        <f>'C9 hub Return on Workg Cap Inv'!S$73*'C9 hub Return on Workg Cap Inv'!$D75*'Calcs - Scen 1'!$D238</f>
        <v>0</v>
      </c>
      <c r="P239" s="19">
        <f>'C9 hub Return on Workg Cap Inv'!T$73*'C9 hub Return on Workg Cap Inv'!$D75*'Calcs - Scen 1'!$D238</f>
        <v>0</v>
      </c>
      <c r="Q239" s="19">
        <f>'C9 hub Return on Workg Cap Inv'!U$73*'C9 hub Return on Workg Cap Inv'!$D75*'Calcs - Scen 1'!$D238</f>
        <v>0</v>
      </c>
      <c r="R239" s="19">
        <f>'C9 hub Return on Workg Cap Inv'!V$73*'C9 hub Return on Workg Cap Inv'!$D75*'Calcs - Scen 1'!$D238</f>
        <v>0</v>
      </c>
      <c r="S239" s="19">
        <f>'C9 hub Return on Workg Cap Inv'!W$73*'C9 hub Return on Workg Cap Inv'!$D75*'Calcs - Scen 1'!$D238</f>
        <v>0</v>
      </c>
      <c r="T239" s="19">
        <f>'C9 hub Return on Workg Cap Inv'!X$73*'C9 hub Return on Workg Cap Inv'!$D75*'Calcs - Scen 1'!$D238</f>
        <v>0</v>
      </c>
      <c r="U239" s="19">
        <f>'C9 hub Return on Workg Cap Inv'!Y$73*'C9 hub Return on Workg Cap Inv'!$D75*'Calcs - Scen 1'!$D238</f>
        <v>0</v>
      </c>
      <c r="V239" s="19">
        <f>'C9 hub Return on Workg Cap Inv'!Z$73*'C9 hub Return on Workg Cap Inv'!$D75*'Calcs - Scen 1'!$D238</f>
        <v>0</v>
      </c>
      <c r="W239" s="19">
        <f>'C9 hub Return on Workg Cap Inv'!AA$73*'C9 hub Return on Workg Cap Inv'!$D75*'Calcs - Scen 1'!$D238</f>
        <v>0</v>
      </c>
      <c r="X239" s="19">
        <f>'C9 hub Return on Workg Cap Inv'!AB$73*'C9 hub Return on Workg Cap Inv'!$D75*'Calcs - Scen 1'!$D238</f>
        <v>0</v>
      </c>
      <c r="Y239" s="19">
        <f>'C9 hub Return on Workg Cap Inv'!AC$73*'C9 hub Return on Workg Cap Inv'!$D75*'Calcs - Scen 1'!$D238</f>
        <v>0</v>
      </c>
      <c r="Z239" s="19">
        <f>'C9 hub Return on Workg Cap Inv'!AD$73*'C9 hub Return on Workg Cap Inv'!$D75*'Calcs - Scen 1'!$D238</f>
        <v>0</v>
      </c>
      <c r="AA239" s="19">
        <f>'C9 hub Return on Workg Cap Inv'!AE$73*'C9 hub Return on Workg Cap Inv'!$D75*'Calcs - Scen 1'!$D238</f>
        <v>0</v>
      </c>
      <c r="AB239" s="19">
        <f>'C9 hub Return on Workg Cap Inv'!AF$73*'C9 hub Return on Workg Cap Inv'!$D75*'Calcs - Scen 1'!$D238</f>
        <v>0</v>
      </c>
      <c r="AC239" s="19">
        <f>'C9 hub Return on Workg Cap Inv'!AG$73*'C9 hub Return on Workg Cap Inv'!$D75*'Calcs - Scen 1'!$D238</f>
        <v>0</v>
      </c>
      <c r="AD239" s="19">
        <f>'C9 hub Return on Workg Cap Inv'!AH$73*'C9 hub Return on Workg Cap Inv'!$D75*'Calcs - Scen 1'!$D238</f>
        <v>0</v>
      </c>
      <c r="AE239" s="19">
        <f>'C9 hub Return on Workg Cap Inv'!AI$73*'C9 hub Return on Workg Cap Inv'!$D75*'Calcs - Scen 1'!$D238</f>
        <v>0</v>
      </c>
      <c r="AF239" s="19">
        <f>'C9 hub Return on Workg Cap Inv'!AJ$73*'C9 hub Return on Workg Cap Inv'!$D75*'Calcs - Scen 1'!$D238</f>
        <v>0</v>
      </c>
      <c r="AG239" s="19">
        <f>'C9 hub Return on Workg Cap Inv'!AK$73*'C9 hub Return on Workg Cap Inv'!$D75*'Calcs - Scen 1'!$D238</f>
        <v>0</v>
      </c>
      <c r="AH239" s="19">
        <f>'C9 hub Return on Workg Cap Inv'!AL$73*'C9 hub Return on Workg Cap Inv'!$D75*'Calcs - Scen 1'!$D238</f>
        <v>0</v>
      </c>
      <c r="AI239" s="19">
        <f>'C9 hub Return on Workg Cap Inv'!AM$73*'C9 hub Return on Workg Cap Inv'!$D75*'Calcs - Scen 1'!$D238</f>
        <v>0</v>
      </c>
      <c r="AJ239" s="19">
        <f>'C9 hub Return on Workg Cap Inv'!AN$73*'C9 hub Return on Workg Cap Inv'!$D75*'Calcs - Scen 1'!$D238</f>
        <v>0</v>
      </c>
      <c r="AK239" s="19">
        <f>'C9 hub Return on Workg Cap Inv'!AO$73*'C9 hub Return on Workg Cap Inv'!$D75*'Calcs - Scen 1'!$D238</f>
        <v>0</v>
      </c>
      <c r="AL239" s="19">
        <f>'C9 hub Return on Workg Cap Inv'!AP$73*'C9 hub Return on Workg Cap Inv'!$D75*'Calcs - Scen 1'!$D238</f>
        <v>0</v>
      </c>
      <c r="AM239" s="19">
        <f>'C9 hub Return on Workg Cap Inv'!AQ$73*'C9 hub Return on Workg Cap Inv'!$D75*'Calcs - Scen 1'!$D238</f>
        <v>0</v>
      </c>
      <c r="AN239" s="19">
        <f>'C9 hub Return on Workg Cap Inv'!AR$73*'C9 hub Return on Workg Cap Inv'!$D75*'Calcs - Scen 1'!$D238</f>
        <v>0</v>
      </c>
      <c r="AO239" s="19">
        <f>'C9 hub Return on Workg Cap Inv'!AS$73*'C9 hub Return on Workg Cap Inv'!$D75*'Calcs - Scen 1'!$D238</f>
        <v>0</v>
      </c>
      <c r="AP239" s="19">
        <f>'C9 hub Return on Workg Cap Inv'!AT$73*'C9 hub Return on Workg Cap Inv'!$D75*'Calcs - Scen 1'!$D238</f>
        <v>0</v>
      </c>
    </row>
    <row r="240" spans="1:42">
      <c r="A240" s="39"/>
      <c r="B240" s="7" t="s">
        <v>31</v>
      </c>
      <c r="C240" s="129">
        <f>NPV($C$7,F239:AO239)+D239+E239</f>
        <v>15717.899270091635</v>
      </c>
      <c r="D240" s="7"/>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10"/>
    </row>
    <row r="241" spans="1:42">
      <c r="A241" s="39"/>
      <c r="B241" s="7" t="s">
        <v>4</v>
      </c>
      <c r="C241" s="130" t="str">
        <f>IF(SUM(D241:AN241)&gt;1,"CHECK"," ")</f>
        <v xml:space="preserve"> </v>
      </c>
      <c r="D241" s="178">
        <v>0.5</v>
      </c>
      <c r="E241" s="15">
        <v>0.5</v>
      </c>
      <c r="F241" s="15">
        <v>0</v>
      </c>
      <c r="G241" s="15">
        <v>0</v>
      </c>
      <c r="H241" s="15"/>
      <c r="I241" s="15"/>
      <c r="J241" s="15"/>
      <c r="K241" s="15"/>
      <c r="L241" s="15"/>
      <c r="M241" s="15"/>
      <c r="N241" s="15"/>
      <c r="O241" s="15"/>
      <c r="P241" s="15"/>
      <c r="Q241" s="15"/>
      <c r="R241" s="15"/>
      <c r="S241" s="15"/>
      <c r="T241" s="125"/>
      <c r="U241" s="15"/>
      <c r="V241" s="15"/>
      <c r="W241" s="15"/>
      <c r="X241" s="15"/>
      <c r="Y241" s="15"/>
      <c r="Z241" s="15"/>
      <c r="AA241" s="15"/>
      <c r="AB241" s="15"/>
      <c r="AC241" s="15"/>
      <c r="AD241" s="15"/>
      <c r="AE241" s="15"/>
      <c r="AF241" s="15"/>
      <c r="AG241" s="15"/>
      <c r="AH241" s="15"/>
      <c r="AI241" s="15"/>
      <c r="AJ241" s="15"/>
      <c r="AK241" s="15"/>
      <c r="AL241" s="15"/>
      <c r="AM241" s="15"/>
      <c r="AN241" s="146"/>
      <c r="AO241" s="146"/>
      <c r="AP241" s="16"/>
    </row>
    <row r="242" spans="1:42" ht="15.75" thickBot="1">
      <c r="A242" s="39"/>
      <c r="B242" s="11"/>
      <c r="C242" s="539"/>
      <c r="D242" s="179">
        <f t="shared" ref="D242:R242" si="56">IF(D241&gt;0,(D241*$C240),0)</f>
        <v>7858.9496350458176</v>
      </c>
      <c r="E242" s="20">
        <f t="shared" si="56"/>
        <v>7858.9496350458176</v>
      </c>
      <c r="F242" s="20">
        <f t="shared" si="56"/>
        <v>0</v>
      </c>
      <c r="G242" s="20">
        <f t="shared" si="56"/>
        <v>0</v>
      </c>
      <c r="H242" s="20">
        <f t="shared" si="56"/>
        <v>0</v>
      </c>
      <c r="I242" s="20">
        <f t="shared" si="56"/>
        <v>0</v>
      </c>
      <c r="J242" s="20">
        <f t="shared" si="56"/>
        <v>0</v>
      </c>
      <c r="K242" s="20">
        <f t="shared" si="56"/>
        <v>0</v>
      </c>
      <c r="L242" s="20">
        <f t="shared" si="56"/>
        <v>0</v>
      </c>
      <c r="M242" s="20">
        <f t="shared" si="56"/>
        <v>0</v>
      </c>
      <c r="N242" s="20">
        <f t="shared" si="56"/>
        <v>0</v>
      </c>
      <c r="O242" s="20">
        <f t="shared" si="56"/>
        <v>0</v>
      </c>
      <c r="P242" s="20">
        <f t="shared" si="56"/>
        <v>0</v>
      </c>
      <c r="Q242" s="20">
        <f t="shared" si="56"/>
        <v>0</v>
      </c>
      <c r="R242" s="20">
        <f t="shared" si="56"/>
        <v>0</v>
      </c>
      <c r="S242" s="20">
        <f>IF(S241&gt;0,(S241*$C240),0)</f>
        <v>0</v>
      </c>
      <c r="T242" s="126">
        <f t="shared" ref="T242:AN242" si="57">IF(T241&gt;0,(T241*$C240),0)</f>
        <v>0</v>
      </c>
      <c r="U242" s="20">
        <f t="shared" si="57"/>
        <v>0</v>
      </c>
      <c r="V242" s="20">
        <f t="shared" si="57"/>
        <v>0</v>
      </c>
      <c r="W242" s="20">
        <f t="shared" si="57"/>
        <v>0</v>
      </c>
      <c r="X242" s="20">
        <f t="shared" si="57"/>
        <v>0</v>
      </c>
      <c r="Y242" s="20">
        <f t="shared" si="57"/>
        <v>0</v>
      </c>
      <c r="Z242" s="20">
        <f t="shared" si="57"/>
        <v>0</v>
      </c>
      <c r="AA242" s="20">
        <f t="shared" si="57"/>
        <v>0</v>
      </c>
      <c r="AB242" s="20">
        <f t="shared" si="57"/>
        <v>0</v>
      </c>
      <c r="AC242" s="20">
        <f t="shared" si="57"/>
        <v>0</v>
      </c>
      <c r="AD242" s="20">
        <f t="shared" si="57"/>
        <v>0</v>
      </c>
      <c r="AE242" s="20">
        <f t="shared" si="57"/>
        <v>0</v>
      </c>
      <c r="AF242" s="20">
        <f t="shared" si="57"/>
        <v>0</v>
      </c>
      <c r="AG242" s="20">
        <f t="shared" si="57"/>
        <v>0</v>
      </c>
      <c r="AH242" s="20">
        <f t="shared" si="57"/>
        <v>0</v>
      </c>
      <c r="AI242" s="20">
        <f t="shared" si="57"/>
        <v>0</v>
      </c>
      <c r="AJ242" s="20">
        <f t="shared" si="57"/>
        <v>0</v>
      </c>
      <c r="AK242" s="20">
        <f t="shared" si="57"/>
        <v>0</v>
      </c>
      <c r="AL242" s="20">
        <f t="shared" si="57"/>
        <v>0</v>
      </c>
      <c r="AM242" s="20">
        <f t="shared" si="57"/>
        <v>0</v>
      </c>
      <c r="AN242" s="215">
        <f t="shared" si="57"/>
        <v>0</v>
      </c>
      <c r="AO242" s="215">
        <f>IF(AO241&gt;0,(AO241*$C240),0)</f>
        <v>0</v>
      </c>
      <c r="AP242" s="22">
        <f>IF(AP241&gt;0,(AP241*$C240),0)</f>
        <v>0</v>
      </c>
    </row>
    <row r="243" spans="1:42" ht="15.75" thickBot="1">
      <c r="A243" s="39"/>
      <c r="B243" s="7"/>
      <c r="C243" s="10"/>
      <c r="D243" s="221"/>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222"/>
    </row>
    <row r="244" spans="1:42">
      <c r="A244" s="39"/>
      <c r="B244" s="4" t="s">
        <v>12</v>
      </c>
      <c r="C244" s="133" t="str">
        <f>Summary!B48</f>
        <v>D1</v>
      </c>
      <c r="D244" s="156" t="str">
        <f>Summary!C48</f>
        <v>Hub Programme - Reduced Procurement Time</v>
      </c>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6"/>
    </row>
    <row r="245" spans="1:42">
      <c r="A245" s="39"/>
      <c r="B245" s="7" t="s">
        <v>189</v>
      </c>
      <c r="C245" s="134" t="str">
        <f>'D1 hub Reduced Proc Time'!D47</f>
        <v>B - Very Good</v>
      </c>
      <c r="D245" s="176">
        <f>VLOOKUP(C245,'Confidence Factors'!$B$6:$D$9,3)</f>
        <v>0.9</v>
      </c>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10"/>
    </row>
    <row r="246" spans="1:42">
      <c r="A246" s="39"/>
      <c r="B246" s="7" t="s">
        <v>30</v>
      </c>
      <c r="C246" s="128">
        <f>SUM(F246:AN246)</f>
        <v>20760187.5</v>
      </c>
      <c r="D246" s="124">
        <f>'D1-D5 hub Benefit Summary'!E8*1000000*$D$245</f>
        <v>0</v>
      </c>
      <c r="E246" s="124">
        <f>'D1-D5 hub Benefit Summary'!F8*1000000*$D$245</f>
        <v>0</v>
      </c>
      <c r="F246" s="124">
        <f>'D1-D5 hub Benefit Summary'!G8*1000000*$D$245</f>
        <v>594000</v>
      </c>
      <c r="G246" s="124">
        <f>'D1-D5 hub Benefit Summary'!H8*1000000*$D$245</f>
        <v>771299.99999999988</v>
      </c>
      <c r="H246" s="124">
        <f>'D1-D5 hub Benefit Summary'!I8*1000000*$D$245</f>
        <v>531637.5</v>
      </c>
      <c r="I246" s="124">
        <f>'D1-D5 hub Benefit Summary'!J8*1000000*$D$245</f>
        <v>659212.50000000012</v>
      </c>
      <c r="J246" s="124">
        <f>'D1-D5 hub Benefit Summary'!K8*1000000*$D$245</f>
        <v>713925</v>
      </c>
      <c r="K246" s="124">
        <f>'D1-D5 hub Benefit Summary'!L8*1000000*$D$245</f>
        <v>768637.50000000023</v>
      </c>
      <c r="L246" s="124">
        <f>'D1-D5 hub Benefit Summary'!M8*1000000*$D$245</f>
        <v>823350</v>
      </c>
      <c r="M246" s="124">
        <f>'D1-D5 hub Benefit Summary'!N8*1000000*$D$245</f>
        <v>878062.50000000023</v>
      </c>
      <c r="N246" s="124">
        <f>'D1-D5 hub Benefit Summary'!O8*1000000*$D$245</f>
        <v>932775.00000000012</v>
      </c>
      <c r="O246" s="124">
        <f>'D1-D5 hub Benefit Summary'!P8*1000000*$D$245</f>
        <v>987487.50000000012</v>
      </c>
      <c r="P246" s="124">
        <f>'D1-D5 hub Benefit Summary'!Q8*1000000*$D$245</f>
        <v>573187.50000000012</v>
      </c>
      <c r="Q246" s="124">
        <f>'D1-D5 hub Benefit Summary'!R8*1000000*$D$245</f>
        <v>627900.00000000012</v>
      </c>
      <c r="R246" s="124">
        <f>'D1-D5 hub Benefit Summary'!S8*1000000*$D$245</f>
        <v>627900.00000000012</v>
      </c>
      <c r="S246" s="124">
        <f>'D1-D5 hub Benefit Summary'!T8*1000000*$D$245</f>
        <v>627900.00000000012</v>
      </c>
      <c r="T246" s="124">
        <f>'D1-D5 hub Benefit Summary'!U8*1000000*$D$245</f>
        <v>627900.00000000012</v>
      </c>
      <c r="U246" s="124">
        <f>'D1-D5 hub Benefit Summary'!V8*1000000*$D$245</f>
        <v>627900.00000000012</v>
      </c>
      <c r="V246" s="124">
        <f>'D1-D5 hub Benefit Summary'!W8*1000000*$D$245</f>
        <v>627900.00000000012</v>
      </c>
      <c r="W246" s="124">
        <f>'D1-D5 hub Benefit Summary'!X8*1000000*$D$245</f>
        <v>627900.00000000012</v>
      </c>
      <c r="X246" s="124">
        <f>'D1-D5 hub Benefit Summary'!Y8*1000000*$D$245</f>
        <v>627900.00000000012</v>
      </c>
      <c r="Y246" s="124">
        <f>'D1-D5 hub Benefit Summary'!Z8*1000000*$D$245</f>
        <v>627900.00000000012</v>
      </c>
      <c r="Z246" s="124">
        <f>'D1-D5 hub Benefit Summary'!AA8*1000000*$D$245</f>
        <v>627900.00000000012</v>
      </c>
      <c r="AA246" s="124">
        <f>'D1-D5 hub Benefit Summary'!AB8*1000000*$D$245</f>
        <v>627900.00000000012</v>
      </c>
      <c r="AB246" s="124">
        <f>'D1-D5 hub Benefit Summary'!AC8*1000000*$D$245</f>
        <v>627900.00000000012</v>
      </c>
      <c r="AC246" s="124">
        <f>'D1-D5 hub Benefit Summary'!AD8*1000000*$D$245</f>
        <v>627900.00000000012</v>
      </c>
      <c r="AD246" s="124">
        <f>'D1-D5 hub Benefit Summary'!AE8*1000000*$D$245</f>
        <v>627900.00000000012</v>
      </c>
      <c r="AE246" s="124">
        <f>'D1-D5 hub Benefit Summary'!AF8*1000000*$D$245</f>
        <v>627900.00000000012</v>
      </c>
      <c r="AF246" s="124">
        <f>'D1-D5 hub Benefit Summary'!AG8*1000000*$D$245</f>
        <v>627900.00000000012</v>
      </c>
      <c r="AG246" s="124">
        <f>'D1-D5 hub Benefit Summary'!AH8*1000000*$D$245</f>
        <v>565275.00000000012</v>
      </c>
      <c r="AH246" s="124">
        <f>'D1-D5 hub Benefit Summary'!AI8*1000000*$D$245</f>
        <v>437700.00000000006</v>
      </c>
      <c r="AI246" s="124">
        <f>'D1-D5 hub Benefit Summary'!AJ8*1000000*$D$245</f>
        <v>382987.5</v>
      </c>
      <c r="AJ246" s="124">
        <f>'D1-D5 hub Benefit Summary'!AK8*1000000*$D$245</f>
        <v>328275</v>
      </c>
      <c r="AK246" s="124">
        <f>'D1-D5 hub Benefit Summary'!AL8*1000000*$D$245</f>
        <v>273562.5</v>
      </c>
      <c r="AL246" s="124">
        <f>'D1-D5 hub Benefit Summary'!AM8*1000000*$D$245</f>
        <v>218850</v>
      </c>
      <c r="AM246" s="124">
        <f>'D1-D5 hub Benefit Summary'!AN8*1000000*$D$245</f>
        <v>164137.5</v>
      </c>
      <c r="AN246" s="124">
        <f>'D1-D5 hub Benefit Summary'!AO8*1000000*$D$245</f>
        <v>109425</v>
      </c>
      <c r="AO246" s="124">
        <f>'D1-D5 hub Benefit Summary'!AP8*1000000*$D$245</f>
        <v>54712.5</v>
      </c>
      <c r="AP246" s="124">
        <f>'D1-D5 hub Benefit Summary'!AQ8*1000000*$D$245</f>
        <v>0</v>
      </c>
    </row>
    <row r="247" spans="1:42">
      <c r="A247" s="39"/>
      <c r="B247" s="7" t="s">
        <v>31</v>
      </c>
      <c r="C247" s="129">
        <f>NPV($C$7,F246:AO246)+D246+E246</f>
        <v>12754260.704932915</v>
      </c>
      <c r="D247" s="7"/>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10"/>
    </row>
    <row r="248" spans="1:42">
      <c r="A248" s="39"/>
      <c r="B248" s="7" t="s">
        <v>4</v>
      </c>
      <c r="C248" s="130" t="str">
        <f>IF(SUM(D248:AN248)&gt;1,"CHECK"," ")</f>
        <v xml:space="preserve"> </v>
      </c>
      <c r="D248" s="178">
        <f>'D1-D5 hub Benefit Summary'!E22</f>
        <v>0.4</v>
      </c>
      <c r="E248" s="15">
        <f>'D1-D5 hub Benefit Summary'!F22</f>
        <v>0.3</v>
      </c>
      <c r="F248" s="15">
        <f>'D1-D5 hub Benefit Summary'!G22</f>
        <v>0.2</v>
      </c>
      <c r="G248" s="15">
        <f>'D1-D5 hub Benefit Summary'!H22</f>
        <v>0.1</v>
      </c>
      <c r="H248" s="15">
        <f>'D1-D5 hub Benefit Summary'!I22</f>
        <v>0</v>
      </c>
      <c r="I248" s="15"/>
      <c r="J248" s="15"/>
      <c r="K248" s="15"/>
      <c r="L248" s="15"/>
      <c r="M248" s="15"/>
      <c r="N248" s="15"/>
      <c r="O248" s="15"/>
      <c r="P248" s="15"/>
      <c r="Q248" s="15"/>
      <c r="R248" s="15"/>
      <c r="S248" s="15"/>
      <c r="T248" s="125"/>
      <c r="U248" s="15"/>
      <c r="V248" s="15"/>
      <c r="W248" s="15"/>
      <c r="X248" s="15"/>
      <c r="Y248" s="15"/>
      <c r="Z248" s="15"/>
      <c r="AA248" s="15"/>
      <c r="AB248" s="15"/>
      <c r="AC248" s="15"/>
      <c r="AD248" s="15"/>
      <c r="AE248" s="15"/>
      <c r="AF248" s="15"/>
      <c r="AG248" s="15"/>
      <c r="AH248" s="15"/>
      <c r="AI248" s="15"/>
      <c r="AJ248" s="15"/>
      <c r="AK248" s="15"/>
      <c r="AL248" s="15"/>
      <c r="AM248" s="15"/>
      <c r="AN248" s="146"/>
      <c r="AO248" s="146"/>
      <c r="AP248" s="16"/>
    </row>
    <row r="249" spans="1:42" ht="15.75" thickBot="1">
      <c r="A249" s="39"/>
      <c r="B249" s="11" t="s">
        <v>32</v>
      </c>
      <c r="C249" s="51"/>
      <c r="D249" s="179">
        <f t="shared" ref="D249:AN249" si="58">IF(D248&gt;0,(D248*$C247),0)</f>
        <v>5101704.2819731664</v>
      </c>
      <c r="E249" s="20">
        <f t="shared" si="58"/>
        <v>3826278.2114798743</v>
      </c>
      <c r="F249" s="20">
        <f t="shared" si="58"/>
        <v>2550852.1409865832</v>
      </c>
      <c r="G249" s="20">
        <f t="shared" si="58"/>
        <v>1275426.0704932916</v>
      </c>
      <c r="H249" s="20">
        <f t="shared" si="58"/>
        <v>0</v>
      </c>
      <c r="I249" s="20">
        <f t="shared" si="58"/>
        <v>0</v>
      </c>
      <c r="J249" s="20">
        <f t="shared" si="58"/>
        <v>0</v>
      </c>
      <c r="K249" s="20">
        <f t="shared" si="58"/>
        <v>0</v>
      </c>
      <c r="L249" s="20">
        <f t="shared" si="58"/>
        <v>0</v>
      </c>
      <c r="M249" s="20">
        <f t="shared" si="58"/>
        <v>0</v>
      </c>
      <c r="N249" s="20">
        <f t="shared" si="58"/>
        <v>0</v>
      </c>
      <c r="O249" s="20">
        <f t="shared" si="58"/>
        <v>0</v>
      </c>
      <c r="P249" s="20">
        <f t="shared" si="58"/>
        <v>0</v>
      </c>
      <c r="Q249" s="20">
        <f t="shared" si="58"/>
        <v>0</v>
      </c>
      <c r="R249" s="20">
        <f t="shared" si="58"/>
        <v>0</v>
      </c>
      <c r="S249" s="20">
        <f>IF(S248&gt;0,(S248*$C247),0)</f>
        <v>0</v>
      </c>
      <c r="T249" s="126">
        <f t="shared" si="58"/>
        <v>0</v>
      </c>
      <c r="U249" s="20">
        <f t="shared" si="58"/>
        <v>0</v>
      </c>
      <c r="V249" s="20">
        <f t="shared" si="58"/>
        <v>0</v>
      </c>
      <c r="W249" s="20">
        <f t="shared" si="58"/>
        <v>0</v>
      </c>
      <c r="X249" s="20">
        <f t="shared" si="58"/>
        <v>0</v>
      </c>
      <c r="Y249" s="20">
        <f t="shared" si="58"/>
        <v>0</v>
      </c>
      <c r="Z249" s="20">
        <f t="shared" si="58"/>
        <v>0</v>
      </c>
      <c r="AA249" s="20">
        <f t="shared" si="58"/>
        <v>0</v>
      </c>
      <c r="AB249" s="20">
        <f t="shared" si="58"/>
        <v>0</v>
      </c>
      <c r="AC249" s="20">
        <f t="shared" si="58"/>
        <v>0</v>
      </c>
      <c r="AD249" s="20">
        <f t="shared" si="58"/>
        <v>0</v>
      </c>
      <c r="AE249" s="20">
        <f t="shared" si="58"/>
        <v>0</v>
      </c>
      <c r="AF249" s="20">
        <f t="shared" si="58"/>
        <v>0</v>
      </c>
      <c r="AG249" s="20">
        <f t="shared" si="58"/>
        <v>0</v>
      </c>
      <c r="AH249" s="20">
        <f t="shared" si="58"/>
        <v>0</v>
      </c>
      <c r="AI249" s="20">
        <f t="shared" si="58"/>
        <v>0</v>
      </c>
      <c r="AJ249" s="20">
        <f t="shared" si="58"/>
        <v>0</v>
      </c>
      <c r="AK249" s="20">
        <f t="shared" si="58"/>
        <v>0</v>
      </c>
      <c r="AL249" s="20">
        <f t="shared" si="58"/>
        <v>0</v>
      </c>
      <c r="AM249" s="20">
        <f t="shared" si="58"/>
        <v>0</v>
      </c>
      <c r="AN249" s="215">
        <f t="shared" si="58"/>
        <v>0</v>
      </c>
      <c r="AO249" s="215">
        <f>IF(AO248&gt;0,(AO248*$C247),0)</f>
        <v>0</v>
      </c>
      <c r="AP249" s="22">
        <f>IF(AP248&gt;0,(AP248*$C247),0)</f>
        <v>0</v>
      </c>
    </row>
    <row r="250" spans="1:42" ht="15.75" thickBot="1">
      <c r="A250" s="39"/>
      <c r="B250" s="7"/>
      <c r="C250" s="10"/>
      <c r="D250" s="221"/>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222"/>
    </row>
    <row r="251" spans="1:42">
      <c r="A251" s="39"/>
      <c r="B251" s="4" t="s">
        <v>12</v>
      </c>
      <c r="C251" s="133" t="str">
        <f>Summary!B49</f>
        <v>D2</v>
      </c>
      <c r="D251" s="156" t="str">
        <f>Summary!C49</f>
        <v>Hub Programme - Capital Costs Continuous Improvement</v>
      </c>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6"/>
    </row>
    <row r="252" spans="1:42">
      <c r="A252" s="39"/>
      <c r="B252" s="7" t="s">
        <v>189</v>
      </c>
      <c r="C252" s="134" t="str">
        <f>'D2 hub Cont Improvement'!D47</f>
        <v>C - Good</v>
      </c>
      <c r="D252" s="176">
        <f>VLOOKUP(C252,'Confidence Factors'!$B$6:$D$9,3)</f>
        <v>0.75</v>
      </c>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10"/>
    </row>
    <row r="253" spans="1:42">
      <c r="A253" s="39"/>
      <c r="B253" s="7" t="s">
        <v>30</v>
      </c>
      <c r="C253" s="128">
        <f>SUM(D253:AP253)</f>
        <v>29804859.375</v>
      </c>
      <c r="D253" s="177">
        <f>'D1-D5 hub Benefit Summary'!E10*1000000*$D$252</f>
        <v>0</v>
      </c>
      <c r="E253" s="19">
        <f>'D1-D5 hub Benefit Summary'!F10*1000000*$D$252</f>
        <v>0</v>
      </c>
      <c r="F253" s="19">
        <f>'D1-D5 hub Benefit Summary'!G10*1000000*$D$252</f>
        <v>0</v>
      </c>
      <c r="G253" s="19">
        <f>'D1-D5 hub Benefit Summary'!H10*1000000*$D$252</f>
        <v>155625.00000000003</v>
      </c>
      <c r="H253" s="19">
        <f>'D1-D5 hub Benefit Summary'!I10*1000000*$D$252</f>
        <v>313125.00000000006</v>
      </c>
      <c r="I253" s="19">
        <f>'D1-D5 hub Benefit Summary'!J10*1000000*$D$252</f>
        <v>534900</v>
      </c>
      <c r="J253" s="19">
        <f>'D1-D5 hub Benefit Summary'!K10*1000000*$D$252</f>
        <v>763579.6875</v>
      </c>
      <c r="K253" s="19">
        <f>'D1-D5 hub Benefit Summary'!L10*1000000*$D$252</f>
        <v>1012776.5625000002</v>
      </c>
      <c r="L253" s="19">
        <f>'D1-D5 hub Benefit Summary'!M10*1000000*$D$252</f>
        <v>1282490.625</v>
      </c>
      <c r="M253" s="19">
        <f>'D1-D5 hub Benefit Summary'!N10*1000000*$D$252</f>
        <v>1572721.8750000005</v>
      </c>
      <c r="N253" s="19">
        <f>'D1-D5 hub Benefit Summary'!O10*1000000*$D$252</f>
        <v>1883470.3125</v>
      </c>
      <c r="O253" s="19">
        <f>'D1-D5 hub Benefit Summary'!P10*1000000*$D$252</f>
        <v>2214735.9374999995</v>
      </c>
      <c r="P253" s="19">
        <f>'D1-D5 hub Benefit Summary'!Q10*1000000*$D$252</f>
        <v>690018.75</v>
      </c>
      <c r="Q253" s="19">
        <f>'D1-D5 hub Benefit Summary'!R10*1000000*$D$252</f>
        <v>866896.875</v>
      </c>
      <c r="R253" s="19">
        <f>'D1-D5 hub Benefit Summary'!S10*1000000*$D$252</f>
        <v>866896.875</v>
      </c>
      <c r="S253" s="19">
        <f>'D1-D5 hub Benefit Summary'!T10*1000000*$D$252</f>
        <v>866896.875</v>
      </c>
      <c r="T253" s="19">
        <f>'D1-D5 hub Benefit Summary'!U10*1000000*$D$252</f>
        <v>866896.875</v>
      </c>
      <c r="U253" s="19">
        <f>'D1-D5 hub Benefit Summary'!V10*1000000*$D$252</f>
        <v>866896.875</v>
      </c>
      <c r="V253" s="124">
        <f>'D1-D5 hub Benefit Summary'!W10*1000000*$D$252</f>
        <v>866896.875</v>
      </c>
      <c r="W253" s="19">
        <f>'D1-D5 hub Benefit Summary'!X10*1000000*$D$252</f>
        <v>866896.875</v>
      </c>
      <c r="X253" s="19">
        <f>'D1-D5 hub Benefit Summary'!Y10*1000000*$D$252</f>
        <v>866896.875</v>
      </c>
      <c r="Y253" s="19">
        <f>'D1-D5 hub Benefit Summary'!Z10*1000000*$D$252</f>
        <v>866896.875</v>
      </c>
      <c r="Z253" s="19">
        <f>'D1-D5 hub Benefit Summary'!AA10*1000000*$D$252</f>
        <v>866896.875</v>
      </c>
      <c r="AA253" s="19">
        <f>'D1-D5 hub Benefit Summary'!AB10*1000000*$D$252</f>
        <v>866896.875</v>
      </c>
      <c r="AB253" s="19">
        <f>'D1-D5 hub Benefit Summary'!AC10*1000000*$D$252</f>
        <v>866896.875</v>
      </c>
      <c r="AC253" s="19">
        <f>'D1-D5 hub Benefit Summary'!AD10*1000000*$D$252</f>
        <v>866896.875</v>
      </c>
      <c r="AD253" s="19">
        <f>'D1-D5 hub Benefit Summary'!AE10*1000000*$D$252</f>
        <v>866896.875</v>
      </c>
      <c r="AE253" s="19">
        <f>'D1-D5 hub Benefit Summary'!AF10*1000000*$D$252</f>
        <v>866896.875</v>
      </c>
      <c r="AF253" s="19">
        <f>'D1-D5 hub Benefit Summary'!AG10*1000000*$D$252</f>
        <v>866896.875</v>
      </c>
      <c r="AG253" s="19">
        <f>'D1-D5 hub Benefit Summary'!AH10*1000000*$D$252</f>
        <v>866896.875</v>
      </c>
      <c r="AH253" s="19">
        <f>'D1-D5 hub Benefit Summary'!AI10*1000000*$D$252</f>
        <v>840543.75000000023</v>
      </c>
      <c r="AI253" s="19">
        <f>'D1-D5 hub Benefit Summary'!AJ10*1000000*$D$252</f>
        <v>807285.9375</v>
      </c>
      <c r="AJ253" s="19">
        <f>'D1-D5 hub Benefit Summary'!AK10*1000000*$D$252</f>
        <v>753510.93750000023</v>
      </c>
      <c r="AK253" s="19">
        <f>'D1-D5 hub Benefit Summary'!AL10*1000000*$D$252</f>
        <v>679218.75000000012</v>
      </c>
      <c r="AL253" s="19">
        <f>'D1-D5 hub Benefit Summary'!AM10*1000000*$D$252</f>
        <v>584409.37500000012</v>
      </c>
      <c r="AM253" s="19">
        <f>'D1-D5 hub Benefit Summary'!AN10*1000000*$D$252</f>
        <v>469082.81250000012</v>
      </c>
      <c r="AN253" s="19">
        <f>'D1-D5 hub Benefit Summary'!AO10*1000000*$D$252</f>
        <v>333239.0625</v>
      </c>
      <c r="AO253" s="19">
        <f>'D1-D5 hub Benefit Summary'!AP10*1000000*$D$252</f>
        <v>176878.12499999997</v>
      </c>
      <c r="AP253" s="23">
        <f>'D1-D5 hub Benefit Summary'!AQ10*1000000*$D$252</f>
        <v>0</v>
      </c>
    </row>
    <row r="254" spans="1:42">
      <c r="A254" s="39"/>
      <c r="B254" s="7" t="s">
        <v>31</v>
      </c>
      <c r="C254" s="129">
        <f>NPV($C$7,F253:AOP253)+D253+E253</f>
        <v>17067244.641494997</v>
      </c>
      <c r="D254" s="7"/>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10"/>
    </row>
    <row r="255" spans="1:42">
      <c r="A255" s="39"/>
      <c r="B255" s="7" t="s">
        <v>4</v>
      </c>
      <c r="C255" s="130" t="str">
        <f>IF(SUM(D255:AN255)&gt;1,"CHECK"," ")</f>
        <v xml:space="preserve"> </v>
      </c>
      <c r="D255" s="178">
        <f>'D1-D5 hub Benefit Summary'!E22</f>
        <v>0.4</v>
      </c>
      <c r="E255" s="15">
        <f>'D1-D5 hub Benefit Summary'!F22</f>
        <v>0.3</v>
      </c>
      <c r="F255" s="15">
        <f>'D1-D5 hub Benefit Summary'!G22</f>
        <v>0.2</v>
      </c>
      <c r="G255" s="15">
        <f>'D1-D5 hub Benefit Summary'!H22</f>
        <v>0.1</v>
      </c>
      <c r="H255" s="15">
        <f>'D1-D5 hub Benefit Summary'!I22</f>
        <v>0</v>
      </c>
      <c r="I255" s="15"/>
      <c r="J255" s="15"/>
      <c r="K255" s="15"/>
      <c r="L255" s="15"/>
      <c r="M255" s="15"/>
      <c r="N255" s="15"/>
      <c r="O255" s="15"/>
      <c r="P255" s="15"/>
      <c r="Q255" s="15"/>
      <c r="R255" s="15"/>
      <c r="S255" s="15"/>
      <c r="T255" s="125"/>
      <c r="U255" s="15"/>
      <c r="V255" s="15"/>
      <c r="W255" s="15"/>
      <c r="X255" s="15"/>
      <c r="Y255" s="15"/>
      <c r="Z255" s="15"/>
      <c r="AA255" s="15"/>
      <c r="AB255" s="15"/>
      <c r="AC255" s="15"/>
      <c r="AD255" s="15"/>
      <c r="AE255" s="15"/>
      <c r="AF255" s="15"/>
      <c r="AG255" s="15"/>
      <c r="AH255" s="15"/>
      <c r="AI255" s="15"/>
      <c r="AJ255" s="15"/>
      <c r="AK255" s="15"/>
      <c r="AL255" s="15"/>
      <c r="AM255" s="15"/>
      <c r="AN255" s="146"/>
      <c r="AO255" s="146"/>
      <c r="AP255" s="16"/>
    </row>
    <row r="256" spans="1:42" ht="15.75" thickBot="1">
      <c r="A256" s="39"/>
      <c r="B256" s="11" t="s">
        <v>32</v>
      </c>
      <c r="C256" s="51"/>
      <c r="D256" s="179">
        <f t="shared" ref="D256:AN256" si="59">IF(D255&gt;0,(D255*$C254),0)</f>
        <v>6826897.8565979991</v>
      </c>
      <c r="E256" s="20">
        <f t="shared" si="59"/>
        <v>5120173.3924484989</v>
      </c>
      <c r="F256" s="20">
        <f t="shared" si="59"/>
        <v>3413448.9282989996</v>
      </c>
      <c r="G256" s="20">
        <f t="shared" si="59"/>
        <v>1706724.4641494998</v>
      </c>
      <c r="H256" s="20">
        <f t="shared" si="59"/>
        <v>0</v>
      </c>
      <c r="I256" s="20">
        <f t="shared" si="59"/>
        <v>0</v>
      </c>
      <c r="J256" s="20">
        <f t="shared" si="59"/>
        <v>0</v>
      </c>
      <c r="K256" s="20">
        <f t="shared" si="59"/>
        <v>0</v>
      </c>
      <c r="L256" s="20">
        <f t="shared" si="59"/>
        <v>0</v>
      </c>
      <c r="M256" s="20">
        <f t="shared" si="59"/>
        <v>0</v>
      </c>
      <c r="N256" s="20">
        <f t="shared" si="59"/>
        <v>0</v>
      </c>
      <c r="O256" s="20">
        <f t="shared" si="59"/>
        <v>0</v>
      </c>
      <c r="P256" s="20">
        <f t="shared" si="59"/>
        <v>0</v>
      </c>
      <c r="Q256" s="20">
        <f t="shared" si="59"/>
        <v>0</v>
      </c>
      <c r="R256" s="20">
        <f t="shared" si="59"/>
        <v>0</v>
      </c>
      <c r="S256" s="20">
        <f>IF(S255&gt;0,(S255*$C254),0)</f>
        <v>0</v>
      </c>
      <c r="T256" s="126">
        <f t="shared" si="59"/>
        <v>0</v>
      </c>
      <c r="U256" s="20">
        <f t="shared" si="59"/>
        <v>0</v>
      </c>
      <c r="V256" s="20">
        <f t="shared" si="59"/>
        <v>0</v>
      </c>
      <c r="W256" s="20">
        <f t="shared" si="59"/>
        <v>0</v>
      </c>
      <c r="X256" s="20">
        <f t="shared" si="59"/>
        <v>0</v>
      </c>
      <c r="Y256" s="20">
        <f t="shared" si="59"/>
        <v>0</v>
      </c>
      <c r="Z256" s="20">
        <f t="shared" si="59"/>
        <v>0</v>
      </c>
      <c r="AA256" s="20">
        <f t="shared" si="59"/>
        <v>0</v>
      </c>
      <c r="AB256" s="20">
        <f t="shared" si="59"/>
        <v>0</v>
      </c>
      <c r="AC256" s="20">
        <f t="shared" si="59"/>
        <v>0</v>
      </c>
      <c r="AD256" s="20">
        <f t="shared" si="59"/>
        <v>0</v>
      </c>
      <c r="AE256" s="20">
        <f t="shared" si="59"/>
        <v>0</v>
      </c>
      <c r="AF256" s="20">
        <f t="shared" si="59"/>
        <v>0</v>
      </c>
      <c r="AG256" s="20">
        <f t="shared" si="59"/>
        <v>0</v>
      </c>
      <c r="AH256" s="20">
        <f t="shared" si="59"/>
        <v>0</v>
      </c>
      <c r="AI256" s="20">
        <f t="shared" si="59"/>
        <v>0</v>
      </c>
      <c r="AJ256" s="20">
        <f t="shared" si="59"/>
        <v>0</v>
      </c>
      <c r="AK256" s="20">
        <f t="shared" si="59"/>
        <v>0</v>
      </c>
      <c r="AL256" s="20">
        <f t="shared" si="59"/>
        <v>0</v>
      </c>
      <c r="AM256" s="20">
        <f t="shared" si="59"/>
        <v>0</v>
      </c>
      <c r="AN256" s="215">
        <f t="shared" si="59"/>
        <v>0</v>
      </c>
      <c r="AO256" s="215">
        <f>IF(AO255&gt;0,(AO255*$C254),0)</f>
        <v>0</v>
      </c>
      <c r="AP256" s="22">
        <f>IF(AP255&gt;0,(AP255*$C254),0)</f>
        <v>0</v>
      </c>
    </row>
    <row r="257" spans="1:42" ht="15.75" thickBot="1">
      <c r="A257" s="39"/>
      <c r="B257" s="7"/>
      <c r="C257" s="10"/>
      <c r="D257" s="221"/>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222"/>
    </row>
    <row r="258" spans="1:42">
      <c r="A258" s="39"/>
      <c r="B258" s="4" t="s">
        <v>12</v>
      </c>
      <c r="C258" s="133" t="str">
        <f>Summary!B50</f>
        <v>D3</v>
      </c>
      <c r="D258" s="156" t="str">
        <f>Summary!C50</f>
        <v>Hub Programme - Bid Costs Savings</v>
      </c>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6"/>
    </row>
    <row r="259" spans="1:42">
      <c r="A259" s="39"/>
      <c r="B259" s="7" t="s">
        <v>189</v>
      </c>
      <c r="C259" s="134" t="str">
        <f>'D3 hub Savings in Bid Costs'!D47</f>
        <v>B - Very Good</v>
      </c>
      <c r="D259" s="176">
        <f>VLOOKUP(C259,'Confidence Factors'!$B$6:$D$9,3)</f>
        <v>0.9</v>
      </c>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10"/>
    </row>
    <row r="260" spans="1:42">
      <c r="A260" s="39"/>
      <c r="B260" s="7" t="s">
        <v>30</v>
      </c>
      <c r="C260" s="128">
        <f>SUM(D260:AN260)</f>
        <v>27316406.25</v>
      </c>
      <c r="D260" s="230">
        <f>'D1-D5 hub Benefit Summary'!E12*1000000*$D$259</f>
        <v>0</v>
      </c>
      <c r="E260" s="19">
        <f>'D1-D5 hub Benefit Summary'!F12*1000000*$D$259</f>
        <v>0</v>
      </c>
      <c r="F260" s="19">
        <f>'D1-D5 hub Benefit Summary'!G12*1000000*$D$259</f>
        <v>0</v>
      </c>
      <c r="G260" s="19">
        <f>'D1-D5 hub Benefit Summary'!H12*1000000*$D$259</f>
        <v>0</v>
      </c>
      <c r="H260" s="19">
        <f>'D1-D5 hub Benefit Summary'!I12*1000000*$D$259</f>
        <v>126562.5</v>
      </c>
      <c r="I260" s="19">
        <f>'D1-D5 hub Benefit Summary'!J12*1000000*$D$259</f>
        <v>253125</v>
      </c>
      <c r="J260" s="19">
        <f>'D1-D5 hub Benefit Summary'!K12*1000000*$D$259</f>
        <v>358593.75</v>
      </c>
      <c r="K260" s="19">
        <f>'D1-D5 hub Benefit Summary'!L12*1000000*$D$259</f>
        <v>464062.5</v>
      </c>
      <c r="L260" s="19">
        <f>'D1-D5 hub Benefit Summary'!M12*1000000*$D$259</f>
        <v>569531.25</v>
      </c>
      <c r="M260" s="19">
        <f>'D1-D5 hub Benefit Summary'!N12*1000000*$D$259</f>
        <v>675000</v>
      </c>
      <c r="N260" s="19">
        <f>'D1-D5 hub Benefit Summary'!O12*1000000*$D$259</f>
        <v>780468.75</v>
      </c>
      <c r="O260" s="19">
        <f>'D1-D5 hub Benefit Summary'!P12*1000000*$D$259</f>
        <v>885937.5</v>
      </c>
      <c r="P260" s="19">
        <f>'D1-D5 hub Benefit Summary'!Q12*1000000*$D$259</f>
        <v>991406.25</v>
      </c>
      <c r="Q260" s="19">
        <f>'D1-D5 hub Benefit Summary'!R12*1000000*$D$259</f>
        <v>1096875</v>
      </c>
      <c r="R260" s="19">
        <f>'D1-D5 hub Benefit Summary'!S12*1000000*$D$259</f>
        <v>1096875</v>
      </c>
      <c r="S260" s="19">
        <f>'D1-D5 hub Benefit Summary'!T12*1000000*$D$259</f>
        <v>1096875</v>
      </c>
      <c r="T260" s="19">
        <f>'D1-D5 hub Benefit Summary'!U12*1000000*$D$259</f>
        <v>1096875</v>
      </c>
      <c r="U260" s="19">
        <f>'D1-D5 hub Benefit Summary'!V12*1000000*$D$259</f>
        <v>1096875</v>
      </c>
      <c r="V260" s="19">
        <f>'D1-D5 hub Benefit Summary'!W12*1000000*$D$259</f>
        <v>1096875</v>
      </c>
      <c r="W260" s="19">
        <f>'D1-D5 hub Benefit Summary'!X12*1000000*$D$259</f>
        <v>1096875</v>
      </c>
      <c r="X260" s="19">
        <f>'D1-D5 hub Benefit Summary'!Y12*1000000*$D$259</f>
        <v>1096875</v>
      </c>
      <c r="Y260" s="19">
        <f>'D1-D5 hub Benefit Summary'!Z12*1000000*$D$259</f>
        <v>1096875</v>
      </c>
      <c r="Z260" s="19">
        <f>'D1-D5 hub Benefit Summary'!AA12*1000000*$D$259</f>
        <v>1096875</v>
      </c>
      <c r="AA260" s="19">
        <f>'D1-D5 hub Benefit Summary'!AB12*1000000*$D$259</f>
        <v>1096875</v>
      </c>
      <c r="AB260" s="19">
        <f>'D1-D5 hub Benefit Summary'!AC12*1000000*$D$259</f>
        <v>1096875</v>
      </c>
      <c r="AC260" s="19">
        <f>'D1-D5 hub Benefit Summary'!AD12*1000000*$D$259</f>
        <v>1096875</v>
      </c>
      <c r="AD260" s="19">
        <f>'D1-D5 hub Benefit Summary'!AE12*1000000*$D$259</f>
        <v>1096875</v>
      </c>
      <c r="AE260" s="19">
        <f>'D1-D5 hub Benefit Summary'!AF12*1000000*$D$259</f>
        <v>1096875</v>
      </c>
      <c r="AF260" s="19">
        <f>'D1-D5 hub Benefit Summary'!AG12*1000000*$D$259</f>
        <v>1096875</v>
      </c>
      <c r="AG260" s="19">
        <f>'D1-D5 hub Benefit Summary'!AH12*1000000*$D$259</f>
        <v>970312.5</v>
      </c>
      <c r="AH260" s="19">
        <f>'D1-D5 hub Benefit Summary'!AI12*1000000*$D$259</f>
        <v>843750</v>
      </c>
      <c r="AI260" s="19">
        <f>'D1-D5 hub Benefit Summary'!AJ12*1000000*$D$259</f>
        <v>738281.25</v>
      </c>
      <c r="AJ260" s="19">
        <f>'D1-D5 hub Benefit Summary'!AK12*1000000*$D$259</f>
        <v>632812.5</v>
      </c>
      <c r="AK260" s="19">
        <f>'D1-D5 hub Benefit Summary'!AL12*1000000*$D$259</f>
        <v>527343.75</v>
      </c>
      <c r="AL260" s="19">
        <f>'D1-D5 hub Benefit Summary'!AM12*1000000*$D$259</f>
        <v>421875</v>
      </c>
      <c r="AM260" s="19">
        <f>'D1-D5 hub Benefit Summary'!AN12*1000000*$D$259</f>
        <v>316406.25</v>
      </c>
      <c r="AN260" s="19">
        <f>'D1-D5 hub Benefit Summary'!AO12*1000000*$D$259</f>
        <v>210937.5</v>
      </c>
      <c r="AO260" s="19">
        <f>'D1-D5 hub Benefit Summary'!AP12*1000000*$D$259</f>
        <v>105468.75</v>
      </c>
      <c r="AP260" s="23">
        <f>'D1-D5 hub Benefit Summary'!AQ12*1000000*$D$259</f>
        <v>0</v>
      </c>
    </row>
    <row r="261" spans="1:42">
      <c r="A261" s="39"/>
      <c r="B261" s="7" t="s">
        <v>31</v>
      </c>
      <c r="C261" s="129">
        <f>NPV($C$7,F260:AO260)+D260+E260</f>
        <v>14605864.785939675</v>
      </c>
      <c r="D261" s="7"/>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10"/>
    </row>
    <row r="262" spans="1:42">
      <c r="A262" s="39"/>
      <c r="B262" s="7" t="s">
        <v>4</v>
      </c>
      <c r="C262" s="130" t="str">
        <f>IF(SUM(D262:AN262)&gt;1,"CHECK"," ")</f>
        <v xml:space="preserve"> </v>
      </c>
      <c r="D262" s="178">
        <f>'D1-D5 hub Benefit Summary'!E22</f>
        <v>0.4</v>
      </c>
      <c r="E262" s="15">
        <f>'D1-D5 hub Benefit Summary'!F22</f>
        <v>0.3</v>
      </c>
      <c r="F262" s="15">
        <f>'D1-D5 hub Benefit Summary'!G22</f>
        <v>0.2</v>
      </c>
      <c r="G262" s="15">
        <f>'D1-D5 hub Benefit Summary'!H22</f>
        <v>0.1</v>
      </c>
      <c r="H262" s="15">
        <f>'D1-D5 hub Benefit Summary'!I22</f>
        <v>0</v>
      </c>
      <c r="I262" s="15"/>
      <c r="J262" s="15"/>
      <c r="K262" s="15"/>
      <c r="L262" s="15"/>
      <c r="M262" s="15"/>
      <c r="N262" s="15"/>
      <c r="O262" s="15"/>
      <c r="P262" s="15"/>
      <c r="Q262" s="15"/>
      <c r="R262" s="15"/>
      <c r="S262" s="15"/>
      <c r="T262" s="125"/>
      <c r="U262" s="15"/>
      <c r="V262" s="15"/>
      <c r="W262" s="15"/>
      <c r="X262" s="15"/>
      <c r="Y262" s="15"/>
      <c r="Z262" s="15"/>
      <c r="AA262" s="15"/>
      <c r="AB262" s="15"/>
      <c r="AC262" s="15"/>
      <c r="AD262" s="15"/>
      <c r="AE262" s="15"/>
      <c r="AF262" s="15"/>
      <c r="AG262" s="15"/>
      <c r="AH262" s="15"/>
      <c r="AI262" s="15"/>
      <c r="AJ262" s="15"/>
      <c r="AK262" s="15"/>
      <c r="AL262" s="15"/>
      <c r="AM262" s="15"/>
      <c r="AN262" s="146"/>
      <c r="AO262" s="146"/>
      <c r="AP262" s="16"/>
    </row>
    <row r="263" spans="1:42" ht="15.75" thickBot="1">
      <c r="A263" s="39"/>
      <c r="B263" s="11" t="s">
        <v>32</v>
      </c>
      <c r="C263" s="51"/>
      <c r="D263" s="179">
        <f t="shared" ref="D263:AN263" si="60">IF(D262&gt;0,(D262*$C261),0)</f>
        <v>5842345.9143758705</v>
      </c>
      <c r="E263" s="20">
        <f t="shared" si="60"/>
        <v>4381759.4357819026</v>
      </c>
      <c r="F263" s="20">
        <f t="shared" si="60"/>
        <v>2921172.9571879352</v>
      </c>
      <c r="G263" s="20">
        <f t="shared" si="60"/>
        <v>1460586.4785939676</v>
      </c>
      <c r="H263" s="20">
        <f t="shared" si="60"/>
        <v>0</v>
      </c>
      <c r="I263" s="20">
        <f t="shared" si="60"/>
        <v>0</v>
      </c>
      <c r="J263" s="20">
        <f t="shared" si="60"/>
        <v>0</v>
      </c>
      <c r="K263" s="20">
        <f t="shared" si="60"/>
        <v>0</v>
      </c>
      <c r="L263" s="20">
        <f t="shared" si="60"/>
        <v>0</v>
      </c>
      <c r="M263" s="20">
        <f t="shared" si="60"/>
        <v>0</v>
      </c>
      <c r="N263" s="20">
        <f t="shared" si="60"/>
        <v>0</v>
      </c>
      <c r="O263" s="20">
        <f t="shared" si="60"/>
        <v>0</v>
      </c>
      <c r="P263" s="20">
        <f t="shared" si="60"/>
        <v>0</v>
      </c>
      <c r="Q263" s="20">
        <f t="shared" si="60"/>
        <v>0</v>
      </c>
      <c r="R263" s="20">
        <f t="shared" si="60"/>
        <v>0</v>
      </c>
      <c r="S263" s="20">
        <f>IF(S262&gt;0,(S262*$C261),0)</f>
        <v>0</v>
      </c>
      <c r="T263" s="126">
        <f t="shared" si="60"/>
        <v>0</v>
      </c>
      <c r="U263" s="20">
        <f t="shared" si="60"/>
        <v>0</v>
      </c>
      <c r="V263" s="20">
        <f t="shared" si="60"/>
        <v>0</v>
      </c>
      <c r="W263" s="20">
        <f t="shared" si="60"/>
        <v>0</v>
      </c>
      <c r="X263" s="20">
        <f t="shared" si="60"/>
        <v>0</v>
      </c>
      <c r="Y263" s="20">
        <f t="shared" si="60"/>
        <v>0</v>
      </c>
      <c r="Z263" s="20">
        <f t="shared" si="60"/>
        <v>0</v>
      </c>
      <c r="AA263" s="20">
        <f t="shared" si="60"/>
        <v>0</v>
      </c>
      <c r="AB263" s="20">
        <f t="shared" si="60"/>
        <v>0</v>
      </c>
      <c r="AC263" s="20">
        <f t="shared" si="60"/>
        <v>0</v>
      </c>
      <c r="AD263" s="20">
        <f t="shared" si="60"/>
        <v>0</v>
      </c>
      <c r="AE263" s="20">
        <f t="shared" si="60"/>
        <v>0</v>
      </c>
      <c r="AF263" s="20">
        <f t="shared" si="60"/>
        <v>0</v>
      </c>
      <c r="AG263" s="20">
        <f t="shared" si="60"/>
        <v>0</v>
      </c>
      <c r="AH263" s="20">
        <f t="shared" si="60"/>
        <v>0</v>
      </c>
      <c r="AI263" s="20">
        <f t="shared" si="60"/>
        <v>0</v>
      </c>
      <c r="AJ263" s="20">
        <f t="shared" si="60"/>
        <v>0</v>
      </c>
      <c r="AK263" s="20">
        <f t="shared" si="60"/>
        <v>0</v>
      </c>
      <c r="AL263" s="20">
        <f t="shared" si="60"/>
        <v>0</v>
      </c>
      <c r="AM263" s="20">
        <f t="shared" si="60"/>
        <v>0</v>
      </c>
      <c r="AN263" s="215">
        <f t="shared" si="60"/>
        <v>0</v>
      </c>
      <c r="AO263" s="215">
        <f>IF(AO262&gt;0,(AO262*$C261),0)</f>
        <v>0</v>
      </c>
      <c r="AP263" s="22">
        <f>IF(AP262&gt;0,(AP262*$C261),0)</f>
        <v>0</v>
      </c>
    </row>
    <row r="264" spans="1:42" ht="15.75" thickBot="1">
      <c r="A264" s="39"/>
      <c r="B264" s="7"/>
      <c r="C264" s="10"/>
      <c r="D264" s="221"/>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222"/>
    </row>
    <row r="265" spans="1:42">
      <c r="A265" s="39"/>
      <c r="B265" s="4" t="s">
        <v>12</v>
      </c>
      <c r="C265" s="133" t="str">
        <f>Summary!B51</f>
        <v>D4</v>
      </c>
      <c r="D265" s="156" t="str">
        <f>Summary!C51</f>
        <v>Hub Programme - Public Sector Investment Returns</v>
      </c>
      <c r="E265" s="24"/>
      <c r="F265" s="24"/>
      <c r="G265" s="24"/>
      <c r="H265" s="24"/>
      <c r="I265" s="24"/>
      <c r="J265" s="24"/>
      <c r="K265" s="24"/>
      <c r="L265" s="24"/>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6"/>
    </row>
    <row r="266" spans="1:42">
      <c r="A266" s="39"/>
      <c r="B266" s="7" t="s">
        <v>189</v>
      </c>
      <c r="C266" s="134" t="str">
        <f>'D4 hub Public Sector Inv Return'!D47</f>
        <v>C - Good</v>
      </c>
      <c r="D266" s="176">
        <f>VLOOKUP(C266,'Confidence Factors'!$B$6:$D$9,3)</f>
        <v>0.75</v>
      </c>
      <c r="E266" s="96"/>
      <c r="F266" s="96"/>
      <c r="G266" s="96"/>
      <c r="H266" s="96"/>
      <c r="I266" s="96"/>
      <c r="J266" s="96"/>
      <c r="K266" s="96"/>
      <c r="L266" s="96"/>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10"/>
    </row>
    <row r="267" spans="1:42">
      <c r="A267" s="39"/>
      <c r="B267" s="7" t="s">
        <v>30</v>
      </c>
      <c r="C267" s="128">
        <f>SUM(D267:AN267)</f>
        <v>12232659.825000001</v>
      </c>
      <c r="D267" s="230">
        <f>'D1-D5 hub Benefit Summary'!E14*1000000*$D$266</f>
        <v>0</v>
      </c>
      <c r="E267" s="19">
        <f>'D1-D5 hub Benefit Summary'!F14*1000000*$D$266</f>
        <v>0</v>
      </c>
      <c r="F267" s="19">
        <f>'D1-D5 hub Benefit Summary'!G14*1000000*$D$266</f>
        <v>0</v>
      </c>
      <c r="G267" s="19">
        <f>'D1-D5 hub Benefit Summary'!H14*1000000*$D$266</f>
        <v>0</v>
      </c>
      <c r="H267" s="19">
        <f>'D1-D5 hub Benefit Summary'!I14*1000000*$D$266</f>
        <v>48972.749999999993</v>
      </c>
      <c r="I267" s="19">
        <f>'D1-D5 hub Benefit Summary'!J14*1000000*$D$266</f>
        <v>148736.4</v>
      </c>
      <c r="J267" s="19">
        <f>'D1-D5 hub Benefit Summary'!K14*1000000*$D$266</f>
        <v>191521.57499999998</v>
      </c>
      <c r="K267" s="19">
        <f>'D1-D5 hub Benefit Summary'!L14*1000000*$D$266</f>
        <v>234306.75</v>
      </c>
      <c r="L267" s="19">
        <f>'D1-D5 hub Benefit Summary'!M14*1000000*$D$266</f>
        <v>277091.92500000005</v>
      </c>
      <c r="M267" s="19">
        <f>'D1-D5 hub Benefit Summary'!N14*1000000*$D$266</f>
        <v>319877.09999999998</v>
      </c>
      <c r="N267" s="19">
        <f>'D1-D5 hub Benefit Summary'!O14*1000000*$D$266</f>
        <v>362662.27500000002</v>
      </c>
      <c r="O267" s="19">
        <f>'D1-D5 hub Benefit Summary'!P14*1000000*$D$266</f>
        <v>405447.44999999995</v>
      </c>
      <c r="P267" s="19">
        <f>'D1-D5 hub Benefit Summary'!Q14*1000000*$D$266</f>
        <v>448232.625</v>
      </c>
      <c r="Q267" s="19">
        <f>'D1-D5 hub Benefit Summary'!R14*1000000*$D$266</f>
        <v>491017.80000000005</v>
      </c>
      <c r="R267" s="19">
        <f>'D1-D5 hub Benefit Summary'!S14*1000000*$D$266</f>
        <v>491017.80000000005</v>
      </c>
      <c r="S267" s="19">
        <f>'D1-D5 hub Benefit Summary'!T14*1000000*$D$266</f>
        <v>491017.80000000005</v>
      </c>
      <c r="T267" s="19">
        <f>'D1-D5 hub Benefit Summary'!U14*1000000*$D$266</f>
        <v>491017.80000000005</v>
      </c>
      <c r="U267" s="19">
        <f>'D1-D5 hub Benefit Summary'!V14*1000000*$D$266</f>
        <v>491017.80000000005</v>
      </c>
      <c r="V267" s="19">
        <f>'D1-D5 hub Benefit Summary'!W14*1000000*$D$266</f>
        <v>491017.80000000005</v>
      </c>
      <c r="W267" s="19">
        <f>'D1-D5 hub Benefit Summary'!X14*1000000*$D$266</f>
        <v>491017.80000000005</v>
      </c>
      <c r="X267" s="19">
        <f>'D1-D5 hub Benefit Summary'!Y14*1000000*$D$266</f>
        <v>491017.80000000005</v>
      </c>
      <c r="Y267" s="19">
        <f>'D1-D5 hub Benefit Summary'!Z14*1000000*$D$266</f>
        <v>491017.80000000005</v>
      </c>
      <c r="Z267" s="19">
        <f>'D1-D5 hub Benefit Summary'!AA14*1000000*$D$266</f>
        <v>491017.80000000005</v>
      </c>
      <c r="AA267" s="19">
        <f>'D1-D5 hub Benefit Summary'!AB14*1000000*$D$266</f>
        <v>491017.80000000005</v>
      </c>
      <c r="AB267" s="19">
        <f>'D1-D5 hub Benefit Summary'!AC14*1000000*$D$266</f>
        <v>491017.80000000005</v>
      </c>
      <c r="AC267" s="19">
        <f>'D1-D5 hub Benefit Summary'!AD14*1000000*$D$266</f>
        <v>491017.80000000005</v>
      </c>
      <c r="AD267" s="19">
        <f>'D1-D5 hub Benefit Summary'!AE14*1000000*$D$266</f>
        <v>491017.80000000005</v>
      </c>
      <c r="AE267" s="19">
        <f>'D1-D5 hub Benefit Summary'!AF14*1000000*$D$266</f>
        <v>491017.80000000005</v>
      </c>
      <c r="AF267" s="19">
        <f>'D1-D5 hub Benefit Summary'!AG14*1000000*$D$266</f>
        <v>491017.80000000005</v>
      </c>
      <c r="AG267" s="19">
        <f>'D1-D5 hub Benefit Summary'!AH14*1000000*$D$266</f>
        <v>442045.04999999993</v>
      </c>
      <c r="AH267" s="19">
        <f>'D1-D5 hub Benefit Summary'!AI14*1000000*$D$266</f>
        <v>342281.39999999997</v>
      </c>
      <c r="AI267" s="19">
        <f>'D1-D5 hub Benefit Summary'!AJ14*1000000*$D$266</f>
        <v>299496.22499999998</v>
      </c>
      <c r="AJ267" s="19">
        <f>'D1-D5 hub Benefit Summary'!AK14*1000000*$D$266</f>
        <v>256711.05</v>
      </c>
      <c r="AK267" s="19">
        <f>'D1-D5 hub Benefit Summary'!AL14*1000000*$D$266</f>
        <v>213925.87499999994</v>
      </c>
      <c r="AL267" s="19">
        <f>'D1-D5 hub Benefit Summary'!AM14*1000000*$D$266</f>
        <v>171140.69999999998</v>
      </c>
      <c r="AM267" s="19">
        <f>'D1-D5 hub Benefit Summary'!AN14*1000000*$D$266</f>
        <v>128355.52499999999</v>
      </c>
      <c r="AN267" s="19">
        <f>'D1-D5 hub Benefit Summary'!AO14*1000000*$D$266</f>
        <v>85570.349999999991</v>
      </c>
      <c r="AO267" s="19">
        <f>'D1-D5 hub Benefit Summary'!AP14*1000000*$D$266</f>
        <v>42785.174999999996</v>
      </c>
      <c r="AP267" s="23">
        <f>'D1-D5 hub Benefit Summary'!AQ14*1000000*$D$266</f>
        <v>0</v>
      </c>
    </row>
    <row r="268" spans="1:42">
      <c r="A268" s="39"/>
      <c r="B268" s="7" t="s">
        <v>31</v>
      </c>
      <c r="C268" s="129">
        <f>NPV($C$7,F267:AO267)+D267+E267</f>
        <v>6608462.5439579217</v>
      </c>
      <c r="D268" s="7"/>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10"/>
    </row>
    <row r="269" spans="1:42">
      <c r="A269" s="39"/>
      <c r="B269" s="7" t="s">
        <v>4</v>
      </c>
      <c r="C269" s="130" t="str">
        <f>IF(SUM(D269:AN269)&gt;1,"CHECK"," ")</f>
        <v xml:space="preserve"> </v>
      </c>
      <c r="D269" s="178">
        <f>'D1-D5 hub Benefit Summary'!E22</f>
        <v>0.4</v>
      </c>
      <c r="E269" s="15">
        <f>'D1-D5 hub Benefit Summary'!F22</f>
        <v>0.3</v>
      </c>
      <c r="F269" s="15">
        <f>'D1-D5 hub Benefit Summary'!G22</f>
        <v>0.2</v>
      </c>
      <c r="G269" s="15">
        <f>'D1-D5 hub Benefit Summary'!H22</f>
        <v>0.1</v>
      </c>
      <c r="H269" s="15">
        <f>'D1-D5 hub Benefit Summary'!I22</f>
        <v>0</v>
      </c>
      <c r="I269" s="15"/>
      <c r="J269" s="15"/>
      <c r="K269" s="15"/>
      <c r="L269" s="15"/>
      <c r="M269" s="15"/>
      <c r="N269" s="15"/>
      <c r="O269" s="15"/>
      <c r="P269" s="15"/>
      <c r="Q269" s="15"/>
      <c r="R269" s="15"/>
      <c r="S269" s="15"/>
      <c r="T269" s="125"/>
      <c r="U269" s="15"/>
      <c r="V269" s="15"/>
      <c r="W269" s="15"/>
      <c r="X269" s="15"/>
      <c r="Y269" s="15"/>
      <c r="Z269" s="15"/>
      <c r="AA269" s="15"/>
      <c r="AB269" s="15"/>
      <c r="AC269" s="15"/>
      <c r="AD269" s="15"/>
      <c r="AE269" s="15"/>
      <c r="AF269" s="15"/>
      <c r="AG269" s="15"/>
      <c r="AH269" s="15"/>
      <c r="AI269" s="15"/>
      <c r="AJ269" s="15"/>
      <c r="AK269" s="15"/>
      <c r="AL269" s="15"/>
      <c r="AM269" s="15"/>
      <c r="AN269" s="146"/>
      <c r="AO269" s="146"/>
      <c r="AP269" s="16"/>
    </row>
    <row r="270" spans="1:42" ht="15.75" thickBot="1">
      <c r="A270" s="39"/>
      <c r="B270" s="11" t="s">
        <v>32</v>
      </c>
      <c r="C270" s="51"/>
      <c r="D270" s="179">
        <f t="shared" ref="D270:AN270" si="61">IF(D269&gt;0,(D269*$C268),0)</f>
        <v>2643385.017583169</v>
      </c>
      <c r="E270" s="20">
        <f t="shared" si="61"/>
        <v>1982538.7631873763</v>
      </c>
      <c r="F270" s="20">
        <f t="shared" si="61"/>
        <v>1321692.5087915845</v>
      </c>
      <c r="G270" s="20">
        <f t="shared" si="61"/>
        <v>660846.25439579226</v>
      </c>
      <c r="H270" s="20">
        <f t="shared" si="61"/>
        <v>0</v>
      </c>
      <c r="I270" s="20">
        <f t="shared" si="61"/>
        <v>0</v>
      </c>
      <c r="J270" s="20">
        <f t="shared" si="61"/>
        <v>0</v>
      </c>
      <c r="K270" s="20">
        <f t="shared" si="61"/>
        <v>0</v>
      </c>
      <c r="L270" s="20">
        <f t="shared" si="61"/>
        <v>0</v>
      </c>
      <c r="M270" s="20">
        <f t="shared" si="61"/>
        <v>0</v>
      </c>
      <c r="N270" s="20">
        <f t="shared" si="61"/>
        <v>0</v>
      </c>
      <c r="O270" s="20">
        <f t="shared" si="61"/>
        <v>0</v>
      </c>
      <c r="P270" s="20">
        <f t="shared" si="61"/>
        <v>0</v>
      </c>
      <c r="Q270" s="20">
        <f t="shared" si="61"/>
        <v>0</v>
      </c>
      <c r="R270" s="20">
        <f t="shared" si="61"/>
        <v>0</v>
      </c>
      <c r="S270" s="20">
        <f>IF(S269&gt;0,(S269*$C268),0)</f>
        <v>0</v>
      </c>
      <c r="T270" s="126">
        <f t="shared" si="61"/>
        <v>0</v>
      </c>
      <c r="U270" s="20">
        <f t="shared" si="61"/>
        <v>0</v>
      </c>
      <c r="V270" s="20">
        <f t="shared" si="61"/>
        <v>0</v>
      </c>
      <c r="W270" s="20">
        <f t="shared" si="61"/>
        <v>0</v>
      </c>
      <c r="X270" s="20">
        <f t="shared" si="61"/>
        <v>0</v>
      </c>
      <c r="Y270" s="20">
        <f t="shared" si="61"/>
        <v>0</v>
      </c>
      <c r="Z270" s="20">
        <f t="shared" si="61"/>
        <v>0</v>
      </c>
      <c r="AA270" s="20">
        <f t="shared" si="61"/>
        <v>0</v>
      </c>
      <c r="AB270" s="20">
        <f t="shared" si="61"/>
        <v>0</v>
      </c>
      <c r="AC270" s="20">
        <f t="shared" si="61"/>
        <v>0</v>
      </c>
      <c r="AD270" s="20">
        <f t="shared" si="61"/>
        <v>0</v>
      </c>
      <c r="AE270" s="20">
        <f t="shared" si="61"/>
        <v>0</v>
      </c>
      <c r="AF270" s="20">
        <f t="shared" si="61"/>
        <v>0</v>
      </c>
      <c r="AG270" s="20">
        <f t="shared" si="61"/>
        <v>0</v>
      </c>
      <c r="AH270" s="20">
        <f t="shared" si="61"/>
        <v>0</v>
      </c>
      <c r="AI270" s="20">
        <f t="shared" si="61"/>
        <v>0</v>
      </c>
      <c r="AJ270" s="20">
        <f t="shared" si="61"/>
        <v>0</v>
      </c>
      <c r="AK270" s="20">
        <f t="shared" si="61"/>
        <v>0</v>
      </c>
      <c r="AL270" s="20">
        <f t="shared" si="61"/>
        <v>0</v>
      </c>
      <c r="AM270" s="20">
        <f t="shared" si="61"/>
        <v>0</v>
      </c>
      <c r="AN270" s="215">
        <f t="shared" si="61"/>
        <v>0</v>
      </c>
      <c r="AO270" s="215">
        <f>IF(AO269&gt;0,(AO269*$C268),0)</f>
        <v>0</v>
      </c>
      <c r="AP270" s="22">
        <f>IF(AP269&gt;0,(AP269*$C268),0)</f>
        <v>0</v>
      </c>
    </row>
    <row r="271" spans="1:42" ht="15.75" thickBot="1">
      <c r="A271" s="39"/>
      <c r="B271" s="7"/>
      <c r="C271" s="10"/>
      <c r="D271" s="221"/>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222"/>
    </row>
    <row r="272" spans="1:42">
      <c r="A272" s="39"/>
      <c r="B272" s="4" t="s">
        <v>12</v>
      </c>
      <c r="C272" s="133" t="str">
        <f>Summary!B52</f>
        <v>D5</v>
      </c>
      <c r="D272" s="156" t="str">
        <f>Summary!C52</f>
        <v>Hub Programme - Reduced Rates of Return</v>
      </c>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6"/>
    </row>
    <row r="273" spans="1:42">
      <c r="A273" s="39"/>
      <c r="B273" s="7" t="s">
        <v>189</v>
      </c>
      <c r="C273" s="134" t="str">
        <f>'D5 hub Reduced IRR'!D47</f>
        <v>B - Very Good</v>
      </c>
      <c r="D273" s="176">
        <f>VLOOKUP(C273,'Confidence Factors'!$B$6:$D$9,3)</f>
        <v>0.9</v>
      </c>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10"/>
    </row>
    <row r="274" spans="1:42">
      <c r="A274" s="39"/>
      <c r="B274" s="7" t="s">
        <v>30</v>
      </c>
      <c r="C274" s="128">
        <f>SUM(D274:AN274)</f>
        <v>28157017.5</v>
      </c>
      <c r="D274" s="230">
        <f>'D1-D5 hub Benefit Summary'!E16*1000000*$D$273</f>
        <v>0</v>
      </c>
      <c r="E274" s="19">
        <f>'D1-D5 hub Benefit Summary'!F16*1000000*$D$273</f>
        <v>0</v>
      </c>
      <c r="F274" s="19">
        <f>'D1-D5 hub Benefit Summary'!G16*1000000*$D$273</f>
        <v>0</v>
      </c>
      <c r="G274" s="19">
        <f>'D1-D5 hub Benefit Summary'!H16*1000000*$D$273</f>
        <v>0</v>
      </c>
      <c r="H274" s="19">
        <f>'D1-D5 hub Benefit Summary'!I16*1000000*$D$273</f>
        <v>112725</v>
      </c>
      <c r="I274" s="19">
        <f>'D1-D5 hub Benefit Summary'!J16*1000000*$D$273</f>
        <v>342360.00000000006</v>
      </c>
      <c r="J274" s="19">
        <f>'D1-D5 hub Benefit Summary'!K16*1000000*$D$273</f>
        <v>440842.50000000006</v>
      </c>
      <c r="K274" s="19">
        <f>'D1-D5 hub Benefit Summary'!L16*1000000*$D$273</f>
        <v>539325.00000000012</v>
      </c>
      <c r="L274" s="19">
        <f>'D1-D5 hub Benefit Summary'!M16*1000000*$D$273</f>
        <v>637807.5</v>
      </c>
      <c r="M274" s="19">
        <f>'D1-D5 hub Benefit Summary'!N16*1000000*$D$273</f>
        <v>736290</v>
      </c>
      <c r="N274" s="19">
        <f>'D1-D5 hub Benefit Summary'!O16*1000000*$D$273</f>
        <v>834772.5</v>
      </c>
      <c r="O274" s="19">
        <f>'D1-D5 hub Benefit Summary'!P16*1000000*$D$273</f>
        <v>933255</v>
      </c>
      <c r="P274" s="19">
        <f>'D1-D5 hub Benefit Summary'!Q16*1000000*$D$273</f>
        <v>1031737.5</v>
      </c>
      <c r="Q274" s="19">
        <f>'D1-D5 hub Benefit Summary'!R16*1000000*$D$273</f>
        <v>1130219.9999999998</v>
      </c>
      <c r="R274" s="19">
        <f>'D1-D5 hub Benefit Summary'!S16*1000000*$D$273</f>
        <v>1130219.9999999998</v>
      </c>
      <c r="S274" s="19">
        <f>'D1-D5 hub Benefit Summary'!T16*1000000*$D$273</f>
        <v>1130219.9999999998</v>
      </c>
      <c r="T274" s="19">
        <f>'D1-D5 hub Benefit Summary'!U16*1000000*$D$273</f>
        <v>1130219.9999999998</v>
      </c>
      <c r="U274" s="19">
        <f>'D1-D5 hub Benefit Summary'!V16*1000000*$D$273</f>
        <v>1130219.9999999998</v>
      </c>
      <c r="V274" s="19">
        <f>'D1-D5 hub Benefit Summary'!W16*1000000*$D$273</f>
        <v>1130219.9999999998</v>
      </c>
      <c r="W274" s="19">
        <f>'D1-D5 hub Benefit Summary'!X16*1000000*$D$273</f>
        <v>1130219.9999999998</v>
      </c>
      <c r="X274" s="19">
        <f>'D1-D5 hub Benefit Summary'!Y16*1000000*$D$273</f>
        <v>1130219.9999999998</v>
      </c>
      <c r="Y274" s="19">
        <f>'D1-D5 hub Benefit Summary'!Z16*1000000*$D$273</f>
        <v>1130219.9999999998</v>
      </c>
      <c r="Z274" s="19">
        <f>'D1-D5 hub Benefit Summary'!AA16*1000000*$D$273</f>
        <v>1130219.9999999998</v>
      </c>
      <c r="AA274" s="19">
        <f>'D1-D5 hub Benefit Summary'!AB16*1000000*$D$273</f>
        <v>1130219.9999999998</v>
      </c>
      <c r="AB274" s="19">
        <f>'D1-D5 hub Benefit Summary'!AC16*1000000*$D$273</f>
        <v>1130219.9999999998</v>
      </c>
      <c r="AC274" s="19">
        <f>'D1-D5 hub Benefit Summary'!AD16*1000000*$D$273</f>
        <v>1130219.9999999998</v>
      </c>
      <c r="AD274" s="19">
        <f>'D1-D5 hub Benefit Summary'!AE16*1000000*$D$273</f>
        <v>1130219.9999999998</v>
      </c>
      <c r="AE274" s="19">
        <f>'D1-D5 hub Benefit Summary'!AF16*1000000*$D$273</f>
        <v>1130219.9999999998</v>
      </c>
      <c r="AF274" s="19">
        <f>'D1-D5 hub Benefit Summary'!AG16*1000000*$D$273</f>
        <v>1130219.9999999998</v>
      </c>
      <c r="AG274" s="19">
        <f>'D1-D5 hub Benefit Summary'!AH16*1000000*$D$273</f>
        <v>1017495</v>
      </c>
      <c r="AH274" s="19">
        <f>'D1-D5 hub Benefit Summary'!AI16*1000000*$D$273</f>
        <v>787860</v>
      </c>
      <c r="AI274" s="19">
        <f>'D1-D5 hub Benefit Summary'!AJ16*1000000*$D$273</f>
        <v>689377.5</v>
      </c>
      <c r="AJ274" s="19">
        <f>'D1-D5 hub Benefit Summary'!AK16*1000000*$D$273</f>
        <v>590895</v>
      </c>
      <c r="AK274" s="19">
        <f>'D1-D5 hub Benefit Summary'!AL16*1000000*$D$273</f>
        <v>492412.5</v>
      </c>
      <c r="AL274" s="19">
        <f>'D1-D5 hub Benefit Summary'!AM16*1000000*$D$273</f>
        <v>393930</v>
      </c>
      <c r="AM274" s="19">
        <f>'D1-D5 hub Benefit Summary'!AN16*1000000*$D$273</f>
        <v>295447.5</v>
      </c>
      <c r="AN274" s="19">
        <f>'D1-D5 hub Benefit Summary'!AO16*1000000*$D$273</f>
        <v>196965</v>
      </c>
      <c r="AO274" s="19">
        <f>'D1-D5 hub Benefit Summary'!AP16*1000000*$D$273</f>
        <v>98482.5</v>
      </c>
      <c r="AP274" s="23">
        <f>'D1-D5 hub Benefit Summary'!AQ16*1000000*$D$273</f>
        <v>0</v>
      </c>
    </row>
    <row r="275" spans="1:42">
      <c r="A275" s="39"/>
      <c r="B275" s="7" t="s">
        <v>31</v>
      </c>
      <c r="C275" s="129">
        <f>NPV($C$7,F274:AO274)+D274+E274</f>
        <v>15211294.858215159</v>
      </c>
      <c r="D275" s="7"/>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10"/>
    </row>
    <row r="276" spans="1:42">
      <c r="A276" s="39"/>
      <c r="B276" s="7" t="s">
        <v>4</v>
      </c>
      <c r="C276" s="130" t="str">
        <f>IF(SUM(D276:AN276)&gt;1,"CHECK"," ")</f>
        <v xml:space="preserve"> </v>
      </c>
      <c r="D276" s="178">
        <v>0.4</v>
      </c>
      <c r="E276" s="15">
        <v>0.3</v>
      </c>
      <c r="F276" s="15">
        <v>0.2</v>
      </c>
      <c r="G276" s="15">
        <v>0.1</v>
      </c>
      <c r="H276" s="15"/>
      <c r="I276" s="15"/>
      <c r="J276" s="15"/>
      <c r="K276" s="15"/>
      <c r="L276" s="15"/>
      <c r="M276" s="15"/>
      <c r="N276" s="15"/>
      <c r="O276" s="15"/>
      <c r="P276" s="15"/>
      <c r="Q276" s="15"/>
      <c r="R276" s="15"/>
      <c r="S276" s="15"/>
      <c r="T276" s="125"/>
      <c r="U276" s="15"/>
      <c r="V276" s="15"/>
      <c r="W276" s="15"/>
      <c r="X276" s="15"/>
      <c r="Y276" s="15"/>
      <c r="Z276" s="15"/>
      <c r="AA276" s="15"/>
      <c r="AB276" s="15"/>
      <c r="AC276" s="15"/>
      <c r="AD276" s="15"/>
      <c r="AE276" s="15"/>
      <c r="AF276" s="15"/>
      <c r="AG276" s="15"/>
      <c r="AH276" s="15"/>
      <c r="AI276" s="15"/>
      <c r="AJ276" s="15"/>
      <c r="AK276" s="15"/>
      <c r="AL276" s="15"/>
      <c r="AM276" s="15"/>
      <c r="AN276" s="146"/>
      <c r="AO276" s="146"/>
      <c r="AP276" s="16"/>
    </row>
    <row r="277" spans="1:42" ht="15.75" thickBot="1">
      <c r="A277" s="39"/>
      <c r="B277" s="11" t="s">
        <v>32</v>
      </c>
      <c r="C277" s="51"/>
      <c r="D277" s="179">
        <f t="shared" ref="D277:AN277" si="62">IF(D276&gt;0,(D276*$C275),0)</f>
        <v>6084517.9432860641</v>
      </c>
      <c r="E277" s="20">
        <f t="shared" si="62"/>
        <v>4563388.4574645478</v>
      </c>
      <c r="F277" s="20">
        <f t="shared" si="62"/>
        <v>3042258.971643032</v>
      </c>
      <c r="G277" s="20">
        <f t="shared" si="62"/>
        <v>1521129.485821516</v>
      </c>
      <c r="H277" s="20">
        <f t="shared" si="62"/>
        <v>0</v>
      </c>
      <c r="I277" s="20">
        <f t="shared" si="62"/>
        <v>0</v>
      </c>
      <c r="J277" s="20">
        <f t="shared" si="62"/>
        <v>0</v>
      </c>
      <c r="K277" s="20">
        <f t="shared" si="62"/>
        <v>0</v>
      </c>
      <c r="L277" s="20">
        <f t="shared" si="62"/>
        <v>0</v>
      </c>
      <c r="M277" s="20">
        <f t="shared" si="62"/>
        <v>0</v>
      </c>
      <c r="N277" s="20">
        <f t="shared" si="62"/>
        <v>0</v>
      </c>
      <c r="O277" s="20">
        <f t="shared" si="62"/>
        <v>0</v>
      </c>
      <c r="P277" s="20">
        <f t="shared" si="62"/>
        <v>0</v>
      </c>
      <c r="Q277" s="20">
        <f t="shared" si="62"/>
        <v>0</v>
      </c>
      <c r="R277" s="20">
        <f t="shared" si="62"/>
        <v>0</v>
      </c>
      <c r="S277" s="20">
        <f>IF(S276&gt;0,(S276*$C275),0)</f>
        <v>0</v>
      </c>
      <c r="T277" s="126">
        <f t="shared" si="62"/>
        <v>0</v>
      </c>
      <c r="U277" s="20">
        <f t="shared" si="62"/>
        <v>0</v>
      </c>
      <c r="V277" s="20">
        <f t="shared" si="62"/>
        <v>0</v>
      </c>
      <c r="W277" s="20">
        <f t="shared" si="62"/>
        <v>0</v>
      </c>
      <c r="X277" s="20">
        <f t="shared" si="62"/>
        <v>0</v>
      </c>
      <c r="Y277" s="20">
        <f t="shared" si="62"/>
        <v>0</v>
      </c>
      <c r="Z277" s="20">
        <f t="shared" si="62"/>
        <v>0</v>
      </c>
      <c r="AA277" s="20">
        <f t="shared" si="62"/>
        <v>0</v>
      </c>
      <c r="AB277" s="20">
        <f t="shared" si="62"/>
        <v>0</v>
      </c>
      <c r="AC277" s="20">
        <f t="shared" si="62"/>
        <v>0</v>
      </c>
      <c r="AD277" s="20">
        <f t="shared" si="62"/>
        <v>0</v>
      </c>
      <c r="AE277" s="20">
        <f t="shared" si="62"/>
        <v>0</v>
      </c>
      <c r="AF277" s="20">
        <f t="shared" si="62"/>
        <v>0</v>
      </c>
      <c r="AG277" s="20">
        <f t="shared" si="62"/>
        <v>0</v>
      </c>
      <c r="AH277" s="20">
        <f t="shared" si="62"/>
        <v>0</v>
      </c>
      <c r="AI277" s="20">
        <f t="shared" si="62"/>
        <v>0</v>
      </c>
      <c r="AJ277" s="20">
        <f t="shared" si="62"/>
        <v>0</v>
      </c>
      <c r="AK277" s="20">
        <f t="shared" si="62"/>
        <v>0</v>
      </c>
      <c r="AL277" s="20">
        <f t="shared" si="62"/>
        <v>0</v>
      </c>
      <c r="AM277" s="20">
        <f t="shared" si="62"/>
        <v>0</v>
      </c>
      <c r="AN277" s="215">
        <f t="shared" si="62"/>
        <v>0</v>
      </c>
      <c r="AO277" s="215">
        <f>IF(AO276&gt;0,(AO276*$C275),0)</f>
        <v>0</v>
      </c>
      <c r="AP277" s="22">
        <f>IF(AP276&gt;0,(AP276*$C275),0)</f>
        <v>0</v>
      </c>
    </row>
    <row r="278" spans="1:42" ht="15.75" thickBot="1">
      <c r="A278" s="39"/>
      <c r="B278" s="7"/>
      <c r="C278" s="10"/>
      <c r="D278" s="221"/>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222"/>
    </row>
    <row r="279" spans="1:42">
      <c r="A279" s="39"/>
      <c r="B279" s="4" t="s">
        <v>12</v>
      </c>
      <c r="C279" s="133" t="str">
        <f>Summary!B53</f>
        <v>D6</v>
      </c>
      <c r="D279" s="156" t="str">
        <f>Summary!C53</f>
        <v xml:space="preserve">Hub Programme - Dialogue Stage Public Sector Savings </v>
      </c>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6"/>
    </row>
    <row r="280" spans="1:42">
      <c r="A280" s="39"/>
      <c r="B280" s="7" t="s">
        <v>189</v>
      </c>
      <c r="C280" s="134" t="str">
        <f>'D6 hub dialogue savings'!D47</f>
        <v>A - High</v>
      </c>
      <c r="D280" s="176">
        <f>VLOOKUP(C280,'Confidence Factors'!$B$6:$D$9,3)</f>
        <v>1</v>
      </c>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10"/>
    </row>
    <row r="281" spans="1:42">
      <c r="A281" s="39"/>
      <c r="B281" s="7" t="s">
        <v>30</v>
      </c>
      <c r="C281" s="128">
        <f>SUM(D281:AN281)</f>
        <v>849999.99999999988</v>
      </c>
      <c r="D281" s="177">
        <v>0</v>
      </c>
      <c r="E281" s="19">
        <f>(('D6 hub dialogue savings'!$D70)/6)*'D6 hub dialogue savings'!$D75*'Calcs - Scen 1'!$D280</f>
        <v>141666.66666666666</v>
      </c>
      <c r="F281" s="19">
        <f>(('D6 hub dialogue savings'!$D70)/6)*'D6 hub dialogue savings'!$D75*'Calcs - Scen 1'!$D280</f>
        <v>141666.66666666666</v>
      </c>
      <c r="G281" s="19">
        <f>(('D6 hub dialogue savings'!$D70)/6)*'D6 hub dialogue savings'!$D75*'Calcs - Scen 1'!$D280</f>
        <v>141666.66666666666</v>
      </c>
      <c r="H281" s="19">
        <f>(('D6 hub dialogue savings'!$D70)/6)*'D6 hub dialogue savings'!$D75*'Calcs - Scen 1'!$D280</f>
        <v>141666.66666666666</v>
      </c>
      <c r="I281" s="19">
        <f>(('D6 hub dialogue savings'!$D70)/6)*'D6 hub dialogue savings'!$D75*'Calcs - Scen 1'!$D280</f>
        <v>141666.66666666666</v>
      </c>
      <c r="J281" s="19">
        <f>(('D6 hub dialogue savings'!$D70)/6)*'D6 hub dialogue savings'!$D75*'Calcs - Scen 1'!$D280</f>
        <v>141666.66666666666</v>
      </c>
      <c r="K281" s="19"/>
      <c r="L281" s="19"/>
      <c r="M281" s="19"/>
      <c r="N281" s="19"/>
      <c r="O281" s="19"/>
      <c r="P281" s="19"/>
      <c r="Q281" s="19"/>
      <c r="R281" s="19"/>
      <c r="S281" s="19"/>
      <c r="T281" s="124"/>
      <c r="U281" s="19"/>
      <c r="V281" s="19"/>
      <c r="W281" s="19"/>
      <c r="X281" s="19"/>
      <c r="Y281" s="19"/>
      <c r="Z281" s="19"/>
      <c r="AA281" s="19"/>
      <c r="AB281" s="19"/>
      <c r="AC281" s="19"/>
      <c r="AD281" s="19"/>
      <c r="AE281" s="19"/>
      <c r="AF281" s="19"/>
      <c r="AG281" s="19"/>
      <c r="AH281" s="19"/>
      <c r="AI281" s="19"/>
      <c r="AJ281" s="19"/>
      <c r="AK281" s="19"/>
      <c r="AL281" s="19"/>
      <c r="AM281" s="19"/>
      <c r="AN281" s="216"/>
      <c r="AO281" s="216"/>
      <c r="AP281" s="23"/>
    </row>
    <row r="282" spans="1:42">
      <c r="A282" s="39"/>
      <c r="B282" s="7" t="s">
        <v>31</v>
      </c>
      <c r="C282" s="129">
        <f>NPV($C$7,F281:AO281)+D281+E281</f>
        <v>781299.08652502275</v>
      </c>
      <c r="D282" s="7"/>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10"/>
    </row>
    <row r="283" spans="1:42">
      <c r="A283" s="39"/>
      <c r="B283" s="7" t="s">
        <v>4</v>
      </c>
      <c r="C283" s="130" t="str">
        <f>IF(SUM(D283:AN283)&gt;1,"CHECK"," ")</f>
        <v xml:space="preserve"> </v>
      </c>
      <c r="D283" s="178">
        <v>0.59</v>
      </c>
      <c r="E283" s="15">
        <v>0.41</v>
      </c>
      <c r="F283" s="15"/>
      <c r="G283" s="15"/>
      <c r="H283" s="15"/>
      <c r="I283" s="15"/>
      <c r="J283" s="15"/>
      <c r="K283" s="15"/>
      <c r="L283" s="15"/>
      <c r="M283" s="15"/>
      <c r="N283" s="15"/>
      <c r="O283" s="15"/>
      <c r="P283" s="15"/>
      <c r="Q283" s="15"/>
      <c r="R283" s="15"/>
      <c r="S283" s="15"/>
      <c r="T283" s="125"/>
      <c r="U283" s="15"/>
      <c r="V283" s="15"/>
      <c r="W283" s="15"/>
      <c r="X283" s="15"/>
      <c r="Y283" s="15"/>
      <c r="Z283" s="15"/>
      <c r="AA283" s="15"/>
      <c r="AB283" s="15"/>
      <c r="AC283" s="15"/>
      <c r="AD283" s="15"/>
      <c r="AE283" s="15"/>
      <c r="AF283" s="15"/>
      <c r="AG283" s="15"/>
      <c r="AH283" s="15"/>
      <c r="AI283" s="15"/>
      <c r="AJ283" s="15"/>
      <c r="AK283" s="15"/>
      <c r="AL283" s="15"/>
      <c r="AM283" s="15"/>
      <c r="AN283" s="146"/>
      <c r="AO283" s="146"/>
      <c r="AP283" s="16"/>
    </row>
    <row r="284" spans="1:42" ht="15.75" thickBot="1">
      <c r="A284" s="39"/>
      <c r="B284" s="11" t="s">
        <v>32</v>
      </c>
      <c r="C284" s="51"/>
      <c r="D284" s="179">
        <f t="shared" ref="D284:AN284" si="63">IF(D283&gt;0,(D283*$C282),0)</f>
        <v>460966.46104976343</v>
      </c>
      <c r="E284" s="20">
        <f t="shared" si="63"/>
        <v>320332.62547525932</v>
      </c>
      <c r="F284" s="20">
        <f t="shared" si="63"/>
        <v>0</v>
      </c>
      <c r="G284" s="20">
        <f t="shared" si="63"/>
        <v>0</v>
      </c>
      <c r="H284" s="20">
        <f t="shared" si="63"/>
        <v>0</v>
      </c>
      <c r="I284" s="20">
        <f t="shared" si="63"/>
        <v>0</v>
      </c>
      <c r="J284" s="20">
        <f t="shared" si="63"/>
        <v>0</v>
      </c>
      <c r="K284" s="20">
        <f t="shared" si="63"/>
        <v>0</v>
      </c>
      <c r="L284" s="20">
        <f t="shared" si="63"/>
        <v>0</v>
      </c>
      <c r="M284" s="20">
        <f t="shared" si="63"/>
        <v>0</v>
      </c>
      <c r="N284" s="20">
        <f t="shared" si="63"/>
        <v>0</v>
      </c>
      <c r="O284" s="20">
        <f t="shared" si="63"/>
        <v>0</v>
      </c>
      <c r="P284" s="20">
        <f t="shared" si="63"/>
        <v>0</v>
      </c>
      <c r="Q284" s="20">
        <f t="shared" si="63"/>
        <v>0</v>
      </c>
      <c r="R284" s="20">
        <f t="shared" si="63"/>
        <v>0</v>
      </c>
      <c r="S284" s="20">
        <f>IF(S283&gt;0,(S283*$C282),0)</f>
        <v>0</v>
      </c>
      <c r="T284" s="126">
        <f t="shared" si="63"/>
        <v>0</v>
      </c>
      <c r="U284" s="20">
        <f t="shared" si="63"/>
        <v>0</v>
      </c>
      <c r="V284" s="20">
        <f t="shared" si="63"/>
        <v>0</v>
      </c>
      <c r="W284" s="20">
        <f t="shared" si="63"/>
        <v>0</v>
      </c>
      <c r="X284" s="20">
        <f t="shared" si="63"/>
        <v>0</v>
      </c>
      <c r="Y284" s="20">
        <f t="shared" si="63"/>
        <v>0</v>
      </c>
      <c r="Z284" s="20">
        <f t="shared" si="63"/>
        <v>0</v>
      </c>
      <c r="AA284" s="20">
        <f t="shared" si="63"/>
        <v>0</v>
      </c>
      <c r="AB284" s="20">
        <f t="shared" si="63"/>
        <v>0</v>
      </c>
      <c r="AC284" s="20">
        <f t="shared" si="63"/>
        <v>0</v>
      </c>
      <c r="AD284" s="20">
        <f t="shared" si="63"/>
        <v>0</v>
      </c>
      <c r="AE284" s="20">
        <f t="shared" si="63"/>
        <v>0</v>
      </c>
      <c r="AF284" s="20">
        <f t="shared" si="63"/>
        <v>0</v>
      </c>
      <c r="AG284" s="20">
        <f t="shared" si="63"/>
        <v>0</v>
      </c>
      <c r="AH284" s="20">
        <f t="shared" si="63"/>
        <v>0</v>
      </c>
      <c r="AI284" s="20">
        <f t="shared" si="63"/>
        <v>0</v>
      </c>
      <c r="AJ284" s="20">
        <f t="shared" si="63"/>
        <v>0</v>
      </c>
      <c r="AK284" s="20">
        <f t="shared" si="63"/>
        <v>0</v>
      </c>
      <c r="AL284" s="20">
        <f t="shared" si="63"/>
        <v>0</v>
      </c>
      <c r="AM284" s="20">
        <f t="shared" si="63"/>
        <v>0</v>
      </c>
      <c r="AN284" s="215">
        <f t="shared" si="63"/>
        <v>0</v>
      </c>
      <c r="AO284" s="215">
        <f>IF(AO283&gt;0,(AO283*$C282),0)</f>
        <v>0</v>
      </c>
      <c r="AP284" s="22">
        <f>IF(AP283&gt;0,(AP283*$C282),0)</f>
        <v>0</v>
      </c>
    </row>
    <row r="285" spans="1:42" ht="15.75" thickBot="1">
      <c r="A285" s="39"/>
      <c r="B285" s="7"/>
      <c r="C285" s="10"/>
      <c r="D285" s="221"/>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222"/>
    </row>
    <row r="286" spans="1:42">
      <c r="A286" s="39"/>
      <c r="B286" s="4" t="s">
        <v>12</v>
      </c>
      <c r="C286" s="133" t="str">
        <f>Summary!B54</f>
        <v>D7</v>
      </c>
      <c r="D286" s="156" t="str">
        <f>Summary!C54</f>
        <v>Schools Programme - Pilot Project Savings</v>
      </c>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6"/>
    </row>
    <row r="287" spans="1:42">
      <c r="A287" s="39"/>
      <c r="B287" s="7" t="s">
        <v>189</v>
      </c>
      <c r="C287" s="134" t="str">
        <f>'D7 Schools Pilot Project'!D47</f>
        <v>B - Very Good</v>
      </c>
      <c r="D287" s="176">
        <f>VLOOKUP(C287,'Confidence Factors'!$B$6:$D$9,3)</f>
        <v>0.9</v>
      </c>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10"/>
    </row>
    <row r="288" spans="1:42">
      <c r="A288" s="39"/>
      <c r="B288" s="7" t="s">
        <v>30</v>
      </c>
      <c r="C288" s="128">
        <f>SUM(D288:AN288)</f>
        <v>1575000</v>
      </c>
      <c r="D288" s="177">
        <v>0</v>
      </c>
      <c r="E288" s="124">
        <f>(('D7 Schools Pilot Project'!$D70)/4)*'D7 Schools Pilot Project'!$D75*'Calcs - Scen 1'!$D287</f>
        <v>393750</v>
      </c>
      <c r="F288" s="124">
        <f>(('D7 Schools Pilot Project'!$D70)/4)*'D7 Schools Pilot Project'!$D75*'Calcs - Scen 1'!$D287</f>
        <v>393750</v>
      </c>
      <c r="G288" s="124">
        <f>(('D7 Schools Pilot Project'!$D70)/4)*'D7 Schools Pilot Project'!$D75*'Calcs - Scen 1'!$D287</f>
        <v>393750</v>
      </c>
      <c r="H288" s="124">
        <f>(('D7 Schools Pilot Project'!$D70)/4)*'D7 Schools Pilot Project'!$D75*'Calcs - Scen 1'!$D287</f>
        <v>393750</v>
      </c>
      <c r="I288" s="19"/>
      <c r="J288" s="19"/>
      <c r="K288" s="19"/>
      <c r="L288" s="19"/>
      <c r="M288" s="19"/>
      <c r="N288" s="19"/>
      <c r="O288" s="19"/>
      <c r="P288" s="19"/>
      <c r="Q288" s="19"/>
      <c r="R288" s="19"/>
      <c r="S288" s="19"/>
      <c r="T288" s="124"/>
      <c r="U288" s="19"/>
      <c r="V288" s="19"/>
      <c r="W288" s="19"/>
      <c r="X288" s="19"/>
      <c r="Y288" s="19"/>
      <c r="Z288" s="19"/>
      <c r="AA288" s="19"/>
      <c r="AB288" s="19"/>
      <c r="AC288" s="19"/>
      <c r="AD288" s="19"/>
      <c r="AE288" s="19"/>
      <c r="AF288" s="19"/>
      <c r="AG288" s="19"/>
      <c r="AH288" s="19"/>
      <c r="AI288" s="19"/>
      <c r="AJ288" s="19"/>
      <c r="AK288" s="19"/>
      <c r="AL288" s="19"/>
      <c r="AM288" s="19"/>
      <c r="AN288" s="216"/>
      <c r="AO288" s="216"/>
      <c r="AP288" s="23"/>
    </row>
    <row r="289" spans="1:42">
      <c r="A289" s="39"/>
      <c r="B289" s="7" t="s">
        <v>31</v>
      </c>
      <c r="C289" s="129">
        <f>NPV($C$7,F288:AO288)+D288+E288</f>
        <v>1496894.5612347506</v>
      </c>
      <c r="D289" s="7"/>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10"/>
    </row>
    <row r="290" spans="1:42">
      <c r="A290" s="39"/>
      <c r="B290" s="7" t="s">
        <v>4</v>
      </c>
      <c r="C290" s="130" t="str">
        <f>IF(SUM(D290:AN290)&gt;1,"CHECK"," ")</f>
        <v xml:space="preserve"> </v>
      </c>
      <c r="D290" s="178">
        <v>0.5</v>
      </c>
      <c r="E290" s="15">
        <v>0.5</v>
      </c>
      <c r="F290" s="15"/>
      <c r="G290" s="15"/>
      <c r="H290" s="15"/>
      <c r="I290" s="15"/>
      <c r="J290" s="15"/>
      <c r="K290" s="15"/>
      <c r="L290" s="15"/>
      <c r="M290" s="15"/>
      <c r="N290" s="15"/>
      <c r="O290" s="15"/>
      <c r="P290" s="15"/>
      <c r="Q290" s="15"/>
      <c r="R290" s="15"/>
      <c r="S290" s="15"/>
      <c r="T290" s="125"/>
      <c r="U290" s="15"/>
      <c r="V290" s="15"/>
      <c r="W290" s="15"/>
      <c r="X290" s="15"/>
      <c r="Y290" s="15"/>
      <c r="Z290" s="15"/>
      <c r="AA290" s="15"/>
      <c r="AB290" s="15"/>
      <c r="AC290" s="15"/>
      <c r="AD290" s="15"/>
      <c r="AE290" s="15"/>
      <c r="AF290" s="15"/>
      <c r="AG290" s="15"/>
      <c r="AH290" s="15"/>
      <c r="AI290" s="15"/>
      <c r="AJ290" s="15"/>
      <c r="AK290" s="15"/>
      <c r="AL290" s="15"/>
      <c r="AM290" s="15"/>
      <c r="AN290" s="146"/>
      <c r="AO290" s="146"/>
      <c r="AP290" s="16"/>
    </row>
    <row r="291" spans="1:42" ht="15.75" thickBot="1">
      <c r="A291" s="39"/>
      <c r="B291" s="11" t="s">
        <v>32</v>
      </c>
      <c r="C291" s="51"/>
      <c r="D291" s="179">
        <f t="shared" ref="D291:AN291" si="64">IF(D290&gt;0,(D290*$C289),0)</f>
        <v>748447.28061737528</v>
      </c>
      <c r="E291" s="20">
        <f t="shared" si="64"/>
        <v>748447.28061737528</v>
      </c>
      <c r="F291" s="20">
        <f t="shared" si="64"/>
        <v>0</v>
      </c>
      <c r="G291" s="20">
        <f t="shared" si="64"/>
        <v>0</v>
      </c>
      <c r="H291" s="20">
        <f t="shared" si="64"/>
        <v>0</v>
      </c>
      <c r="I291" s="20">
        <f t="shared" si="64"/>
        <v>0</v>
      </c>
      <c r="J291" s="20">
        <f t="shared" si="64"/>
        <v>0</v>
      </c>
      <c r="K291" s="20">
        <f t="shared" si="64"/>
        <v>0</v>
      </c>
      <c r="L291" s="20">
        <f t="shared" si="64"/>
        <v>0</v>
      </c>
      <c r="M291" s="20">
        <f t="shared" si="64"/>
        <v>0</v>
      </c>
      <c r="N291" s="20">
        <f t="shared" si="64"/>
        <v>0</v>
      </c>
      <c r="O291" s="20">
        <f t="shared" si="64"/>
        <v>0</v>
      </c>
      <c r="P291" s="20">
        <f t="shared" si="64"/>
        <v>0</v>
      </c>
      <c r="Q291" s="20">
        <f t="shared" si="64"/>
        <v>0</v>
      </c>
      <c r="R291" s="20">
        <f t="shared" si="64"/>
        <v>0</v>
      </c>
      <c r="S291" s="20">
        <f>IF(S290&gt;0,(S290*$C289),0)</f>
        <v>0</v>
      </c>
      <c r="T291" s="126">
        <f t="shared" si="64"/>
        <v>0</v>
      </c>
      <c r="U291" s="20">
        <f t="shared" si="64"/>
        <v>0</v>
      </c>
      <c r="V291" s="20">
        <f t="shared" si="64"/>
        <v>0</v>
      </c>
      <c r="W291" s="20">
        <f t="shared" si="64"/>
        <v>0</v>
      </c>
      <c r="X291" s="20">
        <f t="shared" si="64"/>
        <v>0</v>
      </c>
      <c r="Y291" s="20">
        <f t="shared" si="64"/>
        <v>0</v>
      </c>
      <c r="Z291" s="20">
        <f t="shared" si="64"/>
        <v>0</v>
      </c>
      <c r="AA291" s="20">
        <f t="shared" si="64"/>
        <v>0</v>
      </c>
      <c r="AB291" s="20">
        <f t="shared" si="64"/>
        <v>0</v>
      </c>
      <c r="AC291" s="20">
        <f t="shared" si="64"/>
        <v>0</v>
      </c>
      <c r="AD291" s="20">
        <f t="shared" si="64"/>
        <v>0</v>
      </c>
      <c r="AE291" s="20">
        <f t="shared" si="64"/>
        <v>0</v>
      </c>
      <c r="AF291" s="20">
        <f t="shared" si="64"/>
        <v>0</v>
      </c>
      <c r="AG291" s="20">
        <f t="shared" si="64"/>
        <v>0</v>
      </c>
      <c r="AH291" s="20">
        <f t="shared" si="64"/>
        <v>0</v>
      </c>
      <c r="AI291" s="20">
        <f t="shared" si="64"/>
        <v>0</v>
      </c>
      <c r="AJ291" s="20">
        <f t="shared" si="64"/>
        <v>0</v>
      </c>
      <c r="AK291" s="20">
        <f t="shared" si="64"/>
        <v>0</v>
      </c>
      <c r="AL291" s="20">
        <f t="shared" si="64"/>
        <v>0</v>
      </c>
      <c r="AM291" s="20">
        <f t="shared" si="64"/>
        <v>0</v>
      </c>
      <c r="AN291" s="215">
        <f t="shared" si="64"/>
        <v>0</v>
      </c>
      <c r="AO291" s="215">
        <f>IF(AO290&gt;0,(AO290*$C289),0)</f>
        <v>0</v>
      </c>
      <c r="AP291" s="22">
        <f>IF(AP290&gt;0,(AP290*$C289),0)</f>
        <v>0</v>
      </c>
    </row>
    <row r="292" spans="1:42" ht="15.75" thickBot="1">
      <c r="A292" s="39"/>
      <c r="B292" s="7"/>
      <c r="C292" s="10"/>
      <c r="D292" s="221"/>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222"/>
    </row>
    <row r="293" spans="1:42">
      <c r="A293" s="39"/>
      <c r="B293" s="4" t="s">
        <v>12</v>
      </c>
      <c r="C293" s="133" t="str">
        <f>Summary!B55</f>
        <v>D8</v>
      </c>
      <c r="D293" s="156" t="str">
        <f>Summary!C55</f>
        <v>Schools Programme - Needs Identification</v>
      </c>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6"/>
    </row>
    <row r="294" spans="1:42">
      <c r="A294" s="39"/>
      <c r="B294" s="7" t="s">
        <v>189</v>
      </c>
      <c r="C294" s="134" t="str">
        <f>'D8 Schools Needs Ident'!D47</f>
        <v>C - Good</v>
      </c>
      <c r="D294" s="176">
        <f>VLOOKUP(C294,'Confidence Factors'!$B$6:$D$9,3)</f>
        <v>0.75</v>
      </c>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10"/>
    </row>
    <row r="295" spans="1:42">
      <c r="A295" s="39"/>
      <c r="B295" s="7" t="s">
        <v>30</v>
      </c>
      <c r="C295" s="128">
        <f>SUM(D295:AN295)</f>
        <v>82912352.62500003</v>
      </c>
      <c r="D295" s="177">
        <v>0</v>
      </c>
      <c r="E295" s="19">
        <f>'D8 cont - Needs ID'!C60*'Calcs - Scen 1'!$D$294</f>
        <v>1036404.4078125004</v>
      </c>
      <c r="F295" s="19">
        <f>'D8 cont - Needs ID'!D60*'Calcs - Scen 1'!$D$294</f>
        <v>4663819.8351562517</v>
      </c>
      <c r="G295" s="19">
        <f>'D8 cont - Needs ID'!E60*'Calcs - Scen 1'!$D$294</f>
        <v>7773033.0585937528</v>
      </c>
      <c r="H295" s="19">
        <f>'D8 cont - Needs ID'!F60*'Calcs - Scen 1'!$D$294</f>
        <v>10364044.078125004</v>
      </c>
      <c r="I295" s="19">
        <f>'D8 cont - Needs ID'!G60*'Calcs - Scen 1'!$D$294</f>
        <v>12955055.097656254</v>
      </c>
      <c r="J295" s="19">
        <f>'D8 cont - Needs ID'!H60*'Calcs - Scen 1'!$D$294</f>
        <v>16064268.321093757</v>
      </c>
      <c r="K295" s="19">
        <f>'D8 cont - Needs ID'!I60*'Calcs - Scen 1'!$D$294</f>
        <v>19691683.748437505</v>
      </c>
      <c r="L295" s="19">
        <f>'D8 cont - Needs ID'!J60*'Calcs - Scen 1'!$D$294</f>
        <v>10364044.078125004</v>
      </c>
      <c r="M295" s="19"/>
      <c r="N295" s="19"/>
      <c r="O295" s="19"/>
      <c r="P295" s="19"/>
      <c r="Q295" s="19"/>
      <c r="R295" s="19"/>
      <c r="S295" s="19"/>
      <c r="T295" s="124"/>
      <c r="U295" s="19"/>
      <c r="V295" s="19"/>
      <c r="W295" s="19"/>
      <c r="X295" s="19"/>
      <c r="Y295" s="19"/>
      <c r="Z295" s="19"/>
      <c r="AA295" s="19"/>
      <c r="AB295" s="19"/>
      <c r="AC295" s="19"/>
      <c r="AD295" s="19"/>
      <c r="AE295" s="19"/>
      <c r="AF295" s="19"/>
      <c r="AG295" s="19"/>
      <c r="AH295" s="19"/>
      <c r="AI295" s="19"/>
      <c r="AJ295" s="19"/>
      <c r="AK295" s="19"/>
      <c r="AL295" s="19"/>
      <c r="AM295" s="19"/>
      <c r="AN295" s="216"/>
      <c r="AO295" s="216"/>
      <c r="AP295" s="23"/>
    </row>
    <row r="296" spans="1:42">
      <c r="A296" s="39"/>
      <c r="B296" s="7" t="s">
        <v>31</v>
      </c>
      <c r="C296" s="129">
        <f>NPV($C$7,F295:AO295)+D295+E295</f>
        <v>71127001.344951212</v>
      </c>
      <c r="D296" s="7"/>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10"/>
    </row>
    <row r="297" spans="1:42">
      <c r="A297" s="39"/>
      <c r="B297" s="7" t="s">
        <v>4</v>
      </c>
      <c r="C297" s="130" t="str">
        <f>IF(SUM(D297:AN297)&gt;1,"CHECK"," ")</f>
        <v xml:space="preserve"> </v>
      </c>
      <c r="D297" s="178">
        <v>1</v>
      </c>
      <c r="E297" s="15"/>
      <c r="F297" s="15"/>
      <c r="G297" s="15"/>
      <c r="H297" s="15"/>
      <c r="I297" s="15"/>
      <c r="J297" s="15"/>
      <c r="K297" s="15"/>
      <c r="L297" s="15"/>
      <c r="M297" s="15"/>
      <c r="N297" s="15"/>
      <c r="O297" s="15"/>
      <c r="P297" s="15"/>
      <c r="Q297" s="15"/>
      <c r="R297" s="15"/>
      <c r="S297" s="15"/>
      <c r="T297" s="125"/>
      <c r="U297" s="15"/>
      <c r="V297" s="15"/>
      <c r="W297" s="15"/>
      <c r="X297" s="15"/>
      <c r="Y297" s="15"/>
      <c r="Z297" s="15"/>
      <c r="AA297" s="15"/>
      <c r="AB297" s="15"/>
      <c r="AC297" s="15"/>
      <c r="AD297" s="15"/>
      <c r="AE297" s="15"/>
      <c r="AF297" s="15"/>
      <c r="AG297" s="15"/>
      <c r="AH297" s="15"/>
      <c r="AI297" s="15"/>
      <c r="AJ297" s="15"/>
      <c r="AK297" s="15"/>
      <c r="AL297" s="15"/>
      <c r="AM297" s="15"/>
      <c r="AN297" s="146"/>
      <c r="AO297" s="146"/>
      <c r="AP297" s="16"/>
    </row>
    <row r="298" spans="1:42" ht="15.75" thickBot="1">
      <c r="A298" s="39"/>
      <c r="B298" s="11" t="s">
        <v>32</v>
      </c>
      <c r="C298" s="51"/>
      <c r="D298" s="179">
        <f t="shared" ref="D298:AN298" si="65">IF(D297&gt;0,(D297*$C296),0)</f>
        <v>71127001.344951212</v>
      </c>
      <c r="E298" s="20">
        <f t="shared" si="65"/>
        <v>0</v>
      </c>
      <c r="F298" s="20">
        <f t="shared" si="65"/>
        <v>0</v>
      </c>
      <c r="G298" s="20">
        <f t="shared" si="65"/>
        <v>0</v>
      </c>
      <c r="H298" s="20">
        <f t="shared" si="65"/>
        <v>0</v>
      </c>
      <c r="I298" s="20">
        <f t="shared" si="65"/>
        <v>0</v>
      </c>
      <c r="J298" s="20">
        <f t="shared" si="65"/>
        <v>0</v>
      </c>
      <c r="K298" s="20">
        <f t="shared" si="65"/>
        <v>0</v>
      </c>
      <c r="L298" s="20">
        <f t="shared" si="65"/>
        <v>0</v>
      </c>
      <c r="M298" s="20">
        <f t="shared" si="65"/>
        <v>0</v>
      </c>
      <c r="N298" s="20">
        <f t="shared" si="65"/>
        <v>0</v>
      </c>
      <c r="O298" s="20">
        <f t="shared" si="65"/>
        <v>0</v>
      </c>
      <c r="P298" s="20">
        <f t="shared" si="65"/>
        <v>0</v>
      </c>
      <c r="Q298" s="20">
        <f t="shared" si="65"/>
        <v>0</v>
      </c>
      <c r="R298" s="20">
        <f t="shared" si="65"/>
        <v>0</v>
      </c>
      <c r="S298" s="20">
        <f>IF(S297&gt;0,(S297*$C296),0)</f>
        <v>0</v>
      </c>
      <c r="T298" s="126">
        <f t="shared" si="65"/>
        <v>0</v>
      </c>
      <c r="U298" s="20">
        <f t="shared" si="65"/>
        <v>0</v>
      </c>
      <c r="V298" s="20">
        <f t="shared" si="65"/>
        <v>0</v>
      </c>
      <c r="W298" s="20">
        <f t="shared" si="65"/>
        <v>0</v>
      </c>
      <c r="X298" s="20">
        <f t="shared" si="65"/>
        <v>0</v>
      </c>
      <c r="Y298" s="20">
        <f t="shared" si="65"/>
        <v>0</v>
      </c>
      <c r="Z298" s="20">
        <f t="shared" si="65"/>
        <v>0</v>
      </c>
      <c r="AA298" s="20">
        <f t="shared" si="65"/>
        <v>0</v>
      </c>
      <c r="AB298" s="20">
        <f t="shared" si="65"/>
        <v>0</v>
      </c>
      <c r="AC298" s="20">
        <f t="shared" si="65"/>
        <v>0</v>
      </c>
      <c r="AD298" s="20">
        <f t="shared" si="65"/>
        <v>0</v>
      </c>
      <c r="AE298" s="20">
        <f t="shared" si="65"/>
        <v>0</v>
      </c>
      <c r="AF298" s="20">
        <f t="shared" si="65"/>
        <v>0</v>
      </c>
      <c r="AG298" s="20">
        <f t="shared" si="65"/>
        <v>0</v>
      </c>
      <c r="AH298" s="20">
        <f t="shared" si="65"/>
        <v>0</v>
      </c>
      <c r="AI298" s="20">
        <f t="shared" si="65"/>
        <v>0</v>
      </c>
      <c r="AJ298" s="20">
        <f t="shared" si="65"/>
        <v>0</v>
      </c>
      <c r="AK298" s="20">
        <f t="shared" si="65"/>
        <v>0</v>
      </c>
      <c r="AL298" s="20">
        <f t="shared" si="65"/>
        <v>0</v>
      </c>
      <c r="AM298" s="20">
        <f t="shared" si="65"/>
        <v>0</v>
      </c>
      <c r="AN298" s="215">
        <f t="shared" si="65"/>
        <v>0</v>
      </c>
      <c r="AO298" s="215">
        <f>IF(AO297&gt;0,(AO297*$C296),0)</f>
        <v>0</v>
      </c>
      <c r="AP298" s="22">
        <f>IF(AP297&gt;0,(AP297*$C296),0)</f>
        <v>0</v>
      </c>
    </row>
    <row r="299" spans="1:42" ht="15.75" thickBot="1">
      <c r="A299" s="39"/>
      <c r="B299" s="7"/>
      <c r="C299" s="10"/>
      <c r="D299" s="221"/>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222"/>
    </row>
    <row r="300" spans="1:42">
      <c r="A300" s="39"/>
      <c r="B300" s="4" t="s">
        <v>12</v>
      </c>
      <c r="C300" s="133" t="str">
        <f>Summary!B56</f>
        <v>D9</v>
      </c>
      <c r="D300" s="156" t="str">
        <f>Summary!C56</f>
        <v>Schools Programme - Continuous Improvement Savings</v>
      </c>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6"/>
    </row>
    <row r="301" spans="1:42">
      <c r="A301" s="39"/>
      <c r="B301" s="7" t="s">
        <v>189</v>
      </c>
      <c r="C301" s="134" t="str">
        <f>'D9 Schools Cont Improv'!D47</f>
        <v>C - Good</v>
      </c>
      <c r="D301" s="176">
        <f>VLOOKUP(C301,'Confidence Factors'!$B$6:$D$9,3)</f>
        <v>0.75</v>
      </c>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10"/>
    </row>
    <row r="302" spans="1:42">
      <c r="A302" s="39"/>
      <c r="B302" s="7" t="s">
        <v>30</v>
      </c>
      <c r="C302" s="128">
        <f>SUM(D302:AN302)</f>
        <v>21881521.875</v>
      </c>
      <c r="D302" s="177">
        <v>0</v>
      </c>
      <c r="E302" s="19">
        <f>'D9 Schools Cont Improv'!J$76*'D9 Schools Cont Improv'!$D75*'Calcs - Scen 1'!$D301</f>
        <v>1558932.6964285714</v>
      </c>
      <c r="F302" s="19">
        <f>'D9 Schools Cont Improv'!K$76*'D9 Schools Cont Improv'!$D75*'Calcs - Scen 1'!$D301</f>
        <v>1558933.0714285714</v>
      </c>
      <c r="G302" s="19">
        <f>'D9 Schools Cont Improv'!L$76*'D9 Schools Cont Improv'!$D75*'Calcs - Scen 1'!$D301</f>
        <v>1558933.4464285714</v>
      </c>
      <c r="H302" s="19">
        <f>'D9 Schools Cont Improv'!M$76*'D9 Schools Cont Improv'!$D75*'Calcs - Scen 1'!$D301</f>
        <v>1980808.8214285714</v>
      </c>
      <c r="I302" s="19">
        <f>'D9 Schools Cont Improv'!N$76*'D9 Schools Cont Improv'!$D75*'Calcs - Scen 1'!$D301</f>
        <v>1980809.1964285714</v>
      </c>
      <c r="J302" s="19">
        <f>'D9 Schools Cont Improv'!O$76*'D9 Schools Cont Improv'!$D75*'Calcs - Scen 1'!$D301</f>
        <v>1980809.5714285714</v>
      </c>
      <c r="K302" s="19">
        <f>'D9 Schools Cont Improv'!P$76*'D9 Schools Cont Improv'!$D75*'Calcs - Scen 1'!$D301</f>
        <v>1980809.9464285714</v>
      </c>
      <c r="L302" s="19">
        <f>'D9 Schools Cont Improv'!Q$76*'D9 Schools Cont Improv'!$D75*'Calcs - Scen 1'!$D301</f>
        <v>421881.75</v>
      </c>
      <c r="M302" s="19">
        <f>'D9 Schools Cont Improv'!R$76*'D9 Schools Cont Improv'!$D75*'Calcs - Scen 1'!$D301</f>
        <v>421882.125</v>
      </c>
      <c r="N302" s="19">
        <f>'D9 Schools Cont Improv'!S$76*'D9 Schools Cont Improv'!$D75*'Calcs - Scen 1'!$D301</f>
        <v>421882.5</v>
      </c>
      <c r="O302" s="19">
        <f>'D9 Schools Cont Improv'!T$76*'D9 Schools Cont Improv'!$D75*'Calcs - Scen 1'!$D301</f>
        <v>421882.875</v>
      </c>
      <c r="P302" s="19">
        <f>'D9 Schools Cont Improv'!U$76*'D9 Schools Cont Improv'!$D75*'Calcs - Scen 1'!$D301</f>
        <v>421883.25</v>
      </c>
      <c r="Q302" s="19">
        <f>'D9 Schools Cont Improv'!V$76*'D9 Schools Cont Improv'!$D75*'Calcs - Scen 1'!$D301</f>
        <v>421883.625</v>
      </c>
      <c r="R302" s="19">
        <f>'D9 Schools Cont Improv'!W$76*'D9 Schools Cont Improv'!$D75*'Calcs - Scen 1'!$D301</f>
        <v>421884</v>
      </c>
      <c r="S302" s="19">
        <f>'D9 Schools Cont Improv'!X$76*'D9 Schools Cont Improv'!$D75*'Calcs - Scen 1'!$D301</f>
        <v>421884.375</v>
      </c>
      <c r="T302" s="19">
        <f>'D9 Schools Cont Improv'!Y$76*'D9 Schools Cont Improv'!$D75*'Calcs - Scen 1'!$D301</f>
        <v>421884.75</v>
      </c>
      <c r="U302" s="19">
        <f>'D9 Schools Cont Improv'!Z$76*'D9 Schools Cont Improv'!$D75*'Calcs - Scen 1'!$D301</f>
        <v>421885.125</v>
      </c>
      <c r="V302" s="19">
        <f>'D9 Schools Cont Improv'!AA$76*'D9 Schools Cont Improv'!$D75*'Calcs - Scen 1'!$D301</f>
        <v>421885.5</v>
      </c>
      <c r="W302" s="19">
        <f>'D9 Schools Cont Improv'!AB$76*'D9 Schools Cont Improv'!$D75*'Calcs - Scen 1'!$D301</f>
        <v>421885.875</v>
      </c>
      <c r="X302" s="19">
        <f>'D9 Schools Cont Improv'!AC$76*'D9 Schools Cont Improv'!$D75*'Calcs - Scen 1'!$D301</f>
        <v>421886.25</v>
      </c>
      <c r="Y302" s="19">
        <f>'D9 Schools Cont Improv'!AD$76*'D9 Schools Cont Improv'!$D75*'Calcs - Scen 1'!$D301</f>
        <v>421886.625</v>
      </c>
      <c r="Z302" s="19">
        <f>'D9 Schools Cont Improv'!AE$76*'D9 Schools Cont Improv'!$D75*'Calcs - Scen 1'!$D301</f>
        <v>421887</v>
      </c>
      <c r="AA302" s="19">
        <f>'D9 Schools Cont Improv'!AF$76*'D9 Schools Cont Improv'!$D75*'Calcs - Scen 1'!$D301</f>
        <v>421887.375</v>
      </c>
      <c r="AB302" s="19">
        <f>'D9 Schools Cont Improv'!AG$76*'D9 Schools Cont Improv'!$D75*'Calcs - Scen 1'!$D301</f>
        <v>421887.75</v>
      </c>
      <c r="AC302" s="19">
        <f>'D9 Schools Cont Improv'!AH$76*'D9 Schools Cont Improv'!$D75*'Calcs - Scen 1'!$D301</f>
        <v>421888.125</v>
      </c>
      <c r="AD302" s="19">
        <f>'D9 Schools Cont Improv'!AI$76*'D9 Schools Cont Improv'!$D75*'Calcs - Scen 1'!$D301</f>
        <v>421888.5</v>
      </c>
      <c r="AE302" s="19">
        <f>'D9 Schools Cont Improv'!AJ$76*'D9 Schools Cont Improv'!$D75*'Calcs - Scen 1'!$D301</f>
        <v>421888.875</v>
      </c>
      <c r="AF302" s="19">
        <f>'D9 Schools Cont Improv'!AK$76*'D9 Schools Cont Improv'!$D75*'Calcs - Scen 1'!$D301</f>
        <v>421889.25</v>
      </c>
      <c r="AG302" s="19">
        <f>'D9 Schools Cont Improv'!AL$76*'D9 Schools Cont Improv'!$D75*'Calcs - Scen 1'!$D301</f>
        <v>421889.625</v>
      </c>
      <c r="AH302" s="19">
        <f>'D9 Schools Cont Improv'!AM$76*'D9 Schools Cont Improv'!$D75*'Calcs - Scen 1'!$D301</f>
        <v>0</v>
      </c>
      <c r="AI302" s="19">
        <f>'D9 Schools Cont Improv'!AN$76*'D9 Schools Cont Improv'!$D75*'Calcs - Scen 1'!$D301</f>
        <v>0</v>
      </c>
      <c r="AJ302" s="19">
        <f>'D9 Schools Cont Improv'!AO$76*'D9 Schools Cont Improv'!$D75*'Calcs - Scen 1'!$D301</f>
        <v>0</v>
      </c>
      <c r="AK302" s="19"/>
      <c r="AL302" s="19"/>
      <c r="AM302" s="19"/>
      <c r="AN302" s="216"/>
      <c r="AO302" s="216"/>
      <c r="AP302" s="23"/>
    </row>
    <row r="303" spans="1:42">
      <c r="A303" s="39"/>
      <c r="B303" s="7" t="s">
        <v>31</v>
      </c>
      <c r="C303" s="129">
        <f>NPV($C$7,F302:AO302)+D302+E302</f>
        <v>16517760.591300791</v>
      </c>
      <c r="D303" s="7"/>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10"/>
    </row>
    <row r="304" spans="1:42">
      <c r="A304" s="39"/>
      <c r="B304" s="7" t="s">
        <v>4</v>
      </c>
      <c r="C304" s="130" t="str">
        <f>IF(SUM(D304:AN304)&gt;1,"CHECK"," ")</f>
        <v xml:space="preserve"> </v>
      </c>
      <c r="D304" s="178">
        <v>0.2</v>
      </c>
      <c r="E304" s="15">
        <v>0.2</v>
      </c>
      <c r="F304" s="15">
        <v>0.2</v>
      </c>
      <c r="G304" s="15">
        <v>0.2</v>
      </c>
      <c r="H304" s="15">
        <v>0.2</v>
      </c>
      <c r="I304" s="15"/>
      <c r="J304" s="15"/>
      <c r="K304" s="15"/>
      <c r="L304" s="15"/>
      <c r="M304" s="15"/>
      <c r="N304" s="15"/>
      <c r="O304" s="15"/>
      <c r="P304" s="15"/>
      <c r="Q304" s="15"/>
      <c r="R304" s="15"/>
      <c r="S304" s="15"/>
      <c r="T304" s="125"/>
      <c r="U304" s="15"/>
      <c r="V304" s="15"/>
      <c r="W304" s="15"/>
      <c r="X304" s="15"/>
      <c r="Y304" s="15"/>
      <c r="Z304" s="15"/>
      <c r="AA304" s="15"/>
      <c r="AB304" s="15"/>
      <c r="AC304" s="15"/>
      <c r="AD304" s="15"/>
      <c r="AE304" s="15"/>
      <c r="AF304" s="15"/>
      <c r="AG304" s="15"/>
      <c r="AH304" s="15"/>
      <c r="AI304" s="15"/>
      <c r="AJ304" s="15"/>
      <c r="AK304" s="15"/>
      <c r="AL304" s="15"/>
      <c r="AM304" s="15"/>
      <c r="AN304" s="146"/>
      <c r="AO304" s="146"/>
      <c r="AP304" s="16"/>
    </row>
    <row r="305" spans="1:42" ht="15.75" thickBot="1">
      <c r="A305" s="39"/>
      <c r="B305" s="11" t="s">
        <v>32</v>
      </c>
      <c r="C305" s="51"/>
      <c r="D305" s="179">
        <f t="shared" ref="D305:AN305" si="66">IF(D304&gt;0,(D304*$C303),0)</f>
        <v>3303552.1182601582</v>
      </c>
      <c r="E305" s="20">
        <f t="shared" si="66"/>
        <v>3303552.1182601582</v>
      </c>
      <c r="F305" s="20">
        <f t="shared" si="66"/>
        <v>3303552.1182601582</v>
      </c>
      <c r="G305" s="20">
        <f t="shared" si="66"/>
        <v>3303552.1182601582</v>
      </c>
      <c r="H305" s="20">
        <f t="shared" si="66"/>
        <v>3303552.1182601582</v>
      </c>
      <c r="I305" s="20">
        <f t="shared" si="66"/>
        <v>0</v>
      </c>
      <c r="J305" s="20">
        <f t="shared" si="66"/>
        <v>0</v>
      </c>
      <c r="K305" s="20">
        <f t="shared" si="66"/>
        <v>0</v>
      </c>
      <c r="L305" s="20">
        <f t="shared" si="66"/>
        <v>0</v>
      </c>
      <c r="M305" s="20">
        <f t="shared" si="66"/>
        <v>0</v>
      </c>
      <c r="N305" s="20">
        <f t="shared" si="66"/>
        <v>0</v>
      </c>
      <c r="O305" s="20">
        <f t="shared" si="66"/>
        <v>0</v>
      </c>
      <c r="P305" s="20">
        <f t="shared" si="66"/>
        <v>0</v>
      </c>
      <c r="Q305" s="20">
        <f t="shared" si="66"/>
        <v>0</v>
      </c>
      <c r="R305" s="20">
        <f t="shared" si="66"/>
        <v>0</v>
      </c>
      <c r="S305" s="20">
        <f>IF(S304&gt;0,(S304*$C303),0)</f>
        <v>0</v>
      </c>
      <c r="T305" s="126">
        <f t="shared" si="66"/>
        <v>0</v>
      </c>
      <c r="U305" s="20">
        <f t="shared" si="66"/>
        <v>0</v>
      </c>
      <c r="V305" s="20">
        <f t="shared" si="66"/>
        <v>0</v>
      </c>
      <c r="W305" s="20">
        <f t="shared" si="66"/>
        <v>0</v>
      </c>
      <c r="X305" s="20">
        <f t="shared" si="66"/>
        <v>0</v>
      </c>
      <c r="Y305" s="20">
        <f t="shared" si="66"/>
        <v>0</v>
      </c>
      <c r="Z305" s="20">
        <f t="shared" si="66"/>
        <v>0</v>
      </c>
      <c r="AA305" s="20">
        <f t="shared" si="66"/>
        <v>0</v>
      </c>
      <c r="AB305" s="20">
        <f t="shared" si="66"/>
        <v>0</v>
      </c>
      <c r="AC305" s="20">
        <f t="shared" si="66"/>
        <v>0</v>
      </c>
      <c r="AD305" s="20">
        <f t="shared" si="66"/>
        <v>0</v>
      </c>
      <c r="AE305" s="20">
        <f t="shared" si="66"/>
        <v>0</v>
      </c>
      <c r="AF305" s="20">
        <f t="shared" si="66"/>
        <v>0</v>
      </c>
      <c r="AG305" s="20">
        <f t="shared" si="66"/>
        <v>0</v>
      </c>
      <c r="AH305" s="20">
        <f t="shared" si="66"/>
        <v>0</v>
      </c>
      <c r="AI305" s="20">
        <f t="shared" si="66"/>
        <v>0</v>
      </c>
      <c r="AJ305" s="20">
        <f t="shared" si="66"/>
        <v>0</v>
      </c>
      <c r="AK305" s="20">
        <f t="shared" si="66"/>
        <v>0</v>
      </c>
      <c r="AL305" s="20">
        <f t="shared" si="66"/>
        <v>0</v>
      </c>
      <c r="AM305" s="20">
        <f t="shared" si="66"/>
        <v>0</v>
      </c>
      <c r="AN305" s="215">
        <f t="shared" si="66"/>
        <v>0</v>
      </c>
      <c r="AO305" s="215">
        <f>IF(AO304&gt;0,(AO304*$C303),0)</f>
        <v>0</v>
      </c>
      <c r="AP305" s="22">
        <f>IF(AP304&gt;0,(AP304*$C303),0)</f>
        <v>0</v>
      </c>
    </row>
    <row r="306" spans="1:42" ht="15.75" thickBot="1">
      <c r="A306" s="39"/>
      <c r="B306" s="7"/>
      <c r="C306" s="10"/>
      <c r="D306" s="221"/>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222"/>
    </row>
    <row r="307" spans="1:42">
      <c r="A307" s="39"/>
      <c r="B307" s="4" t="s">
        <v>12</v>
      </c>
      <c r="C307" s="133" t="str">
        <f>Summary!B57</f>
        <v>D10</v>
      </c>
      <c r="D307" s="156" t="str">
        <f>Summary!C57</f>
        <v>Blank - Nil Benefit</v>
      </c>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6"/>
    </row>
    <row r="308" spans="1:42">
      <c r="A308" s="39"/>
      <c r="B308" s="7" t="s">
        <v>189</v>
      </c>
      <c r="C308" s="134">
        <f>'D10 Blank - Nil Benefit'!D47</f>
        <v>0</v>
      </c>
      <c r="D308" s="176" t="e">
        <f>VLOOKUP(C308,'Confidence Factors'!$B$6:$D$9,3)</f>
        <v>#N/A</v>
      </c>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10"/>
    </row>
    <row r="309" spans="1:42">
      <c r="A309" s="39"/>
      <c r="B309" s="7" t="s">
        <v>30</v>
      </c>
      <c r="C309" s="128">
        <f>SUM(D309:AN309)</f>
        <v>0</v>
      </c>
      <c r="D309" s="177">
        <v>0</v>
      </c>
      <c r="E309" s="19">
        <v>0</v>
      </c>
      <c r="F309" s="19">
        <v>0</v>
      </c>
      <c r="G309" s="19">
        <v>0</v>
      </c>
      <c r="H309" s="19"/>
      <c r="I309" s="19"/>
      <c r="J309" s="19"/>
      <c r="K309" s="19"/>
      <c r="L309" s="19"/>
      <c r="M309" s="19"/>
      <c r="N309" s="19"/>
      <c r="O309" s="19"/>
      <c r="P309" s="19"/>
      <c r="Q309" s="19"/>
      <c r="R309" s="19"/>
      <c r="S309" s="19"/>
      <c r="T309" s="124"/>
      <c r="U309" s="19"/>
      <c r="V309" s="19"/>
      <c r="W309" s="19"/>
      <c r="X309" s="19"/>
      <c r="Y309" s="19"/>
      <c r="Z309" s="19"/>
      <c r="AA309" s="19"/>
      <c r="AB309" s="19"/>
      <c r="AC309" s="19"/>
      <c r="AD309" s="19"/>
      <c r="AE309" s="19"/>
      <c r="AF309" s="19"/>
      <c r="AG309" s="19"/>
      <c r="AH309" s="19"/>
      <c r="AI309" s="19"/>
      <c r="AJ309" s="19"/>
      <c r="AK309" s="19"/>
      <c r="AL309" s="19"/>
      <c r="AM309" s="19"/>
      <c r="AN309" s="216"/>
      <c r="AO309" s="216"/>
      <c r="AP309" s="23"/>
    </row>
    <row r="310" spans="1:42">
      <c r="A310" s="39"/>
      <c r="B310" s="7" t="s">
        <v>31</v>
      </c>
      <c r="C310" s="129">
        <f>NPV($C$7,F309:AO309)+D309+E309</f>
        <v>0</v>
      </c>
      <c r="D310" s="7"/>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10"/>
    </row>
    <row r="311" spans="1:42">
      <c r="A311" s="39"/>
      <c r="B311" s="7" t="s">
        <v>4</v>
      </c>
      <c r="C311" s="130" t="str">
        <f>IF(SUM(D311:AN311)&gt;1,"CHECK"," ")</f>
        <v xml:space="preserve"> </v>
      </c>
      <c r="D311" s="178">
        <v>0</v>
      </c>
      <c r="E311" s="15">
        <v>1</v>
      </c>
      <c r="F311" s="15">
        <v>0</v>
      </c>
      <c r="G311" s="15">
        <v>0</v>
      </c>
      <c r="H311" s="15">
        <v>0</v>
      </c>
      <c r="I311" s="15"/>
      <c r="J311" s="15"/>
      <c r="K311" s="15"/>
      <c r="L311" s="15"/>
      <c r="M311" s="15"/>
      <c r="N311" s="15"/>
      <c r="O311" s="15"/>
      <c r="P311" s="15"/>
      <c r="Q311" s="15"/>
      <c r="R311" s="15"/>
      <c r="S311" s="15"/>
      <c r="T311" s="125"/>
      <c r="U311" s="15"/>
      <c r="V311" s="15"/>
      <c r="W311" s="15"/>
      <c r="X311" s="15"/>
      <c r="Y311" s="15"/>
      <c r="Z311" s="15"/>
      <c r="AA311" s="15"/>
      <c r="AB311" s="15"/>
      <c r="AC311" s="15"/>
      <c r="AD311" s="15"/>
      <c r="AE311" s="15"/>
      <c r="AF311" s="15"/>
      <c r="AG311" s="15"/>
      <c r="AH311" s="15"/>
      <c r="AI311" s="15"/>
      <c r="AJ311" s="15"/>
      <c r="AK311" s="15"/>
      <c r="AL311" s="15"/>
      <c r="AM311" s="15"/>
      <c r="AN311" s="146"/>
      <c r="AO311" s="146"/>
      <c r="AP311" s="16"/>
    </row>
    <row r="312" spans="1:42" ht="15.75" thickBot="1">
      <c r="A312" s="39"/>
      <c r="B312" s="11" t="s">
        <v>32</v>
      </c>
      <c r="C312" s="51"/>
      <c r="D312" s="179">
        <f t="shared" ref="D312:R312" si="67">IF(D311&gt;0,(D311*$C310),0)</f>
        <v>0</v>
      </c>
      <c r="E312" s="20">
        <f t="shared" si="67"/>
        <v>0</v>
      </c>
      <c r="F312" s="20">
        <f t="shared" si="67"/>
        <v>0</v>
      </c>
      <c r="G312" s="20">
        <f t="shared" si="67"/>
        <v>0</v>
      </c>
      <c r="H312" s="20">
        <f t="shared" si="67"/>
        <v>0</v>
      </c>
      <c r="I312" s="20">
        <f t="shared" si="67"/>
        <v>0</v>
      </c>
      <c r="J312" s="20">
        <f t="shared" si="67"/>
        <v>0</v>
      </c>
      <c r="K312" s="20">
        <f t="shared" si="67"/>
        <v>0</v>
      </c>
      <c r="L312" s="20">
        <f t="shared" si="67"/>
        <v>0</v>
      </c>
      <c r="M312" s="20">
        <f t="shared" si="67"/>
        <v>0</v>
      </c>
      <c r="N312" s="20">
        <f t="shared" si="67"/>
        <v>0</v>
      </c>
      <c r="O312" s="20">
        <f t="shared" si="67"/>
        <v>0</v>
      </c>
      <c r="P312" s="20">
        <f t="shared" si="67"/>
        <v>0</v>
      </c>
      <c r="Q312" s="20">
        <f t="shared" si="67"/>
        <v>0</v>
      </c>
      <c r="R312" s="20">
        <f t="shared" si="67"/>
        <v>0</v>
      </c>
      <c r="S312" s="20">
        <f>IF(S311&gt;0,(S311*$C310),0)</f>
        <v>0</v>
      </c>
      <c r="T312" s="126">
        <f t="shared" ref="T312:AN312" si="68">IF(T311&gt;0,(T311*$C310),0)</f>
        <v>0</v>
      </c>
      <c r="U312" s="20">
        <f t="shared" si="68"/>
        <v>0</v>
      </c>
      <c r="V312" s="20">
        <f t="shared" si="68"/>
        <v>0</v>
      </c>
      <c r="W312" s="20">
        <f t="shared" si="68"/>
        <v>0</v>
      </c>
      <c r="X312" s="20">
        <f t="shared" si="68"/>
        <v>0</v>
      </c>
      <c r="Y312" s="20">
        <f t="shared" si="68"/>
        <v>0</v>
      </c>
      <c r="Z312" s="20">
        <f t="shared" si="68"/>
        <v>0</v>
      </c>
      <c r="AA312" s="20">
        <f t="shared" si="68"/>
        <v>0</v>
      </c>
      <c r="AB312" s="20">
        <f t="shared" si="68"/>
        <v>0</v>
      </c>
      <c r="AC312" s="20">
        <f t="shared" si="68"/>
        <v>0</v>
      </c>
      <c r="AD312" s="20">
        <f t="shared" si="68"/>
        <v>0</v>
      </c>
      <c r="AE312" s="20">
        <f t="shared" si="68"/>
        <v>0</v>
      </c>
      <c r="AF312" s="20">
        <f t="shared" si="68"/>
        <v>0</v>
      </c>
      <c r="AG312" s="20">
        <f t="shared" si="68"/>
        <v>0</v>
      </c>
      <c r="AH312" s="20">
        <f t="shared" si="68"/>
        <v>0</v>
      </c>
      <c r="AI312" s="20">
        <f t="shared" si="68"/>
        <v>0</v>
      </c>
      <c r="AJ312" s="20">
        <f t="shared" si="68"/>
        <v>0</v>
      </c>
      <c r="AK312" s="20">
        <f t="shared" si="68"/>
        <v>0</v>
      </c>
      <c r="AL312" s="20">
        <f t="shared" si="68"/>
        <v>0</v>
      </c>
      <c r="AM312" s="20">
        <f t="shared" si="68"/>
        <v>0</v>
      </c>
      <c r="AN312" s="215">
        <f t="shared" si="68"/>
        <v>0</v>
      </c>
      <c r="AO312" s="215">
        <f>IF(AO311&gt;0,(AO311*$C310),0)</f>
        <v>0</v>
      </c>
      <c r="AP312" s="22">
        <f>IF(AP311&gt;0,(AP311*$C310),0)</f>
        <v>0</v>
      </c>
    </row>
    <row r="313" spans="1:42" ht="15.75" thickBot="1">
      <c r="A313" s="39"/>
      <c r="B313" s="7"/>
      <c r="C313" s="10"/>
      <c r="D313" s="221"/>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222"/>
    </row>
    <row r="314" spans="1:42">
      <c r="A314" s="39"/>
      <c r="B314" s="4" t="s">
        <v>12</v>
      </c>
      <c r="C314" s="133" t="str">
        <f>Summary!B58</f>
        <v>E1</v>
      </c>
      <c r="D314" s="156" t="str">
        <f>Summary!C58</f>
        <v>Validation - Non-Standard Civils Projects (FRC)</v>
      </c>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6"/>
    </row>
    <row r="315" spans="1:42">
      <c r="A315" s="39"/>
      <c r="B315" s="7" t="s">
        <v>189</v>
      </c>
      <c r="C315" s="134" t="str">
        <f>'E1 Valdn Non-Std Civils FRC'!D47</f>
        <v>B - Very Good</v>
      </c>
      <c r="D315" s="176">
        <f>VLOOKUP(C315,'Confidence Factors'!$B$6:$D$9,3)</f>
        <v>0.9</v>
      </c>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10"/>
    </row>
    <row r="316" spans="1:42">
      <c r="A316" s="39"/>
      <c r="B316" s="7" t="s">
        <v>30</v>
      </c>
      <c r="C316" s="128">
        <f>SUM(D316:AN316)</f>
        <v>13500000</v>
      </c>
      <c r="D316" s="177">
        <v>0</v>
      </c>
      <c r="E316" s="19">
        <v>0</v>
      </c>
      <c r="F316" s="19">
        <v>0</v>
      </c>
      <c r="G316" s="19">
        <f>'E1 Valdn Non-Std Civils FRC'!L75*'E1 Valdn Non-Std Civils FRC'!D75*'Calcs - Scen 1'!D315</f>
        <v>2700000</v>
      </c>
      <c r="H316" s="19">
        <f>'E1 Valdn Non-Std Civils FRC'!M75*'E1 Valdn Non-Std Civils FRC'!D75*'Calcs - Scen 1'!D315</f>
        <v>2700000</v>
      </c>
      <c r="I316" s="19">
        <f>'E1 Valdn Non-Std Civils FRC'!N75*'E1 Valdn Non-Std Civils FRC'!D75*'Calcs - Scen 1'!D315</f>
        <v>2700000</v>
      </c>
      <c r="J316" s="19">
        <f>'E1 Valdn Non-Std Civils FRC'!O75*'E1 Valdn Non-Std Civils FRC'!D75*'Calcs - Scen 1'!D315</f>
        <v>2700000</v>
      </c>
      <c r="K316" s="19">
        <f>'E1 Valdn Non-Std Civils FRC'!P75*'E1 Valdn Non-Std Civils FRC'!D75*'Calcs - Scen 1'!D315</f>
        <v>2700000</v>
      </c>
      <c r="L316" s="19">
        <v>0</v>
      </c>
      <c r="M316" s="19">
        <v>0</v>
      </c>
      <c r="N316" s="19">
        <v>0</v>
      </c>
      <c r="O316" s="19">
        <v>0</v>
      </c>
      <c r="P316" s="19">
        <v>0</v>
      </c>
      <c r="Q316" s="19">
        <v>0</v>
      </c>
      <c r="R316" s="19">
        <v>0</v>
      </c>
      <c r="S316" s="19">
        <v>0</v>
      </c>
      <c r="T316" s="124">
        <v>0</v>
      </c>
      <c r="U316" s="19">
        <v>0</v>
      </c>
      <c r="V316" s="19">
        <v>0</v>
      </c>
      <c r="W316" s="19">
        <v>0</v>
      </c>
      <c r="X316" s="19">
        <v>0</v>
      </c>
      <c r="Y316" s="19">
        <v>0</v>
      </c>
      <c r="Z316" s="19">
        <v>0</v>
      </c>
      <c r="AA316" s="19">
        <v>0</v>
      </c>
      <c r="AB316" s="19">
        <v>0</v>
      </c>
      <c r="AC316" s="19">
        <v>0</v>
      </c>
      <c r="AD316" s="19">
        <v>0</v>
      </c>
      <c r="AE316" s="19">
        <v>0</v>
      </c>
      <c r="AF316" s="19">
        <v>0</v>
      </c>
      <c r="AG316" s="19">
        <v>0</v>
      </c>
      <c r="AH316" s="19">
        <v>0</v>
      </c>
      <c r="AI316" s="19">
        <v>0</v>
      </c>
      <c r="AJ316" s="19">
        <v>0</v>
      </c>
      <c r="AK316" s="19">
        <v>0</v>
      </c>
      <c r="AL316" s="19">
        <v>0</v>
      </c>
      <c r="AM316" s="19">
        <v>0</v>
      </c>
      <c r="AN316" s="216">
        <v>0</v>
      </c>
      <c r="AO316" s="216">
        <v>0</v>
      </c>
      <c r="AP316" s="23">
        <v>0</v>
      </c>
    </row>
    <row r="317" spans="1:42">
      <c r="A317" s="39"/>
      <c r="B317" s="7" t="s">
        <v>31</v>
      </c>
      <c r="C317" s="129">
        <f>NPV($C$7,F316:AO316)+D316+E316</f>
        <v>11778397.501228042</v>
      </c>
      <c r="D317" s="7"/>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10"/>
    </row>
    <row r="318" spans="1:42">
      <c r="A318" s="39"/>
      <c r="B318" s="7" t="s">
        <v>4</v>
      </c>
      <c r="C318" s="130" t="str">
        <f>IF(SUM(D318:AN318)&gt;1,"CHECK"," ")</f>
        <v xml:space="preserve"> </v>
      </c>
      <c r="D318" s="178">
        <v>0.5</v>
      </c>
      <c r="E318" s="15">
        <v>0.5</v>
      </c>
      <c r="F318" s="15"/>
      <c r="G318" s="15"/>
      <c r="H318" s="15"/>
      <c r="I318" s="15"/>
      <c r="J318" s="15"/>
      <c r="K318" s="15"/>
      <c r="L318" s="15"/>
      <c r="M318" s="15"/>
      <c r="N318" s="15"/>
      <c r="O318" s="15"/>
      <c r="P318" s="15"/>
      <c r="Q318" s="15"/>
      <c r="R318" s="15"/>
      <c r="S318" s="15"/>
      <c r="T318" s="125"/>
      <c r="U318" s="15"/>
      <c r="V318" s="15"/>
      <c r="W318" s="15"/>
      <c r="X318" s="15"/>
      <c r="Y318" s="15"/>
      <c r="Z318" s="15"/>
      <c r="AA318" s="15"/>
      <c r="AB318" s="15"/>
      <c r="AC318" s="15"/>
      <c r="AD318" s="15"/>
      <c r="AE318" s="15"/>
      <c r="AF318" s="15"/>
      <c r="AG318" s="15"/>
      <c r="AH318" s="15"/>
      <c r="AI318" s="15"/>
      <c r="AJ318" s="15"/>
      <c r="AK318" s="15"/>
      <c r="AL318" s="15"/>
      <c r="AM318" s="15"/>
      <c r="AN318" s="146"/>
      <c r="AO318" s="146"/>
      <c r="AP318" s="16"/>
    </row>
    <row r="319" spans="1:42" ht="15.75" thickBot="1">
      <c r="A319" s="39"/>
      <c r="B319" s="11" t="s">
        <v>32</v>
      </c>
      <c r="C319" s="51"/>
      <c r="D319" s="179">
        <f t="shared" ref="D319:AN319" si="69">IF(D318&gt;0,(D318*$C317),0)</f>
        <v>5889198.750614021</v>
      </c>
      <c r="E319" s="20">
        <f t="shared" si="69"/>
        <v>5889198.750614021</v>
      </c>
      <c r="F319" s="20">
        <f t="shared" si="69"/>
        <v>0</v>
      </c>
      <c r="G319" s="20">
        <f t="shared" si="69"/>
        <v>0</v>
      </c>
      <c r="H319" s="20">
        <f t="shared" si="69"/>
        <v>0</v>
      </c>
      <c r="I319" s="20">
        <f t="shared" si="69"/>
        <v>0</v>
      </c>
      <c r="J319" s="20">
        <f t="shared" si="69"/>
        <v>0</v>
      </c>
      <c r="K319" s="20">
        <f t="shared" si="69"/>
        <v>0</v>
      </c>
      <c r="L319" s="20">
        <f t="shared" si="69"/>
        <v>0</v>
      </c>
      <c r="M319" s="20">
        <f t="shared" si="69"/>
        <v>0</v>
      </c>
      <c r="N319" s="20">
        <f t="shared" si="69"/>
        <v>0</v>
      </c>
      <c r="O319" s="20">
        <f t="shared" si="69"/>
        <v>0</v>
      </c>
      <c r="P319" s="20">
        <f t="shared" si="69"/>
        <v>0</v>
      </c>
      <c r="Q319" s="20">
        <f t="shared" si="69"/>
        <v>0</v>
      </c>
      <c r="R319" s="20">
        <f t="shared" si="69"/>
        <v>0</v>
      </c>
      <c r="S319" s="20">
        <f>IF(S318&gt;0,(S318*$C317),0)</f>
        <v>0</v>
      </c>
      <c r="T319" s="126">
        <f t="shared" si="69"/>
        <v>0</v>
      </c>
      <c r="U319" s="20">
        <f t="shared" si="69"/>
        <v>0</v>
      </c>
      <c r="V319" s="20">
        <f t="shared" si="69"/>
        <v>0</v>
      </c>
      <c r="W319" s="20">
        <f t="shared" si="69"/>
        <v>0</v>
      </c>
      <c r="X319" s="20">
        <f t="shared" si="69"/>
        <v>0</v>
      </c>
      <c r="Y319" s="20">
        <f t="shared" si="69"/>
        <v>0</v>
      </c>
      <c r="Z319" s="20">
        <f t="shared" si="69"/>
        <v>0</v>
      </c>
      <c r="AA319" s="20">
        <f t="shared" si="69"/>
        <v>0</v>
      </c>
      <c r="AB319" s="20">
        <f t="shared" si="69"/>
        <v>0</v>
      </c>
      <c r="AC319" s="20">
        <f t="shared" si="69"/>
        <v>0</v>
      </c>
      <c r="AD319" s="20">
        <f t="shared" si="69"/>
        <v>0</v>
      </c>
      <c r="AE319" s="20">
        <f t="shared" si="69"/>
        <v>0</v>
      </c>
      <c r="AF319" s="20">
        <f t="shared" si="69"/>
        <v>0</v>
      </c>
      <c r="AG319" s="20">
        <f t="shared" si="69"/>
        <v>0</v>
      </c>
      <c r="AH319" s="20">
        <f t="shared" si="69"/>
        <v>0</v>
      </c>
      <c r="AI319" s="20">
        <f t="shared" si="69"/>
        <v>0</v>
      </c>
      <c r="AJ319" s="20">
        <f t="shared" si="69"/>
        <v>0</v>
      </c>
      <c r="AK319" s="20">
        <f t="shared" si="69"/>
        <v>0</v>
      </c>
      <c r="AL319" s="20">
        <f t="shared" si="69"/>
        <v>0</v>
      </c>
      <c r="AM319" s="20">
        <f t="shared" si="69"/>
        <v>0</v>
      </c>
      <c r="AN319" s="215">
        <f t="shared" si="69"/>
        <v>0</v>
      </c>
      <c r="AO319" s="215">
        <f>IF(AO318&gt;0,(AO318*$C317),0)</f>
        <v>0</v>
      </c>
      <c r="AP319" s="22">
        <f>IF(AP318&gt;0,(AP318*$C317),0)</f>
        <v>0</v>
      </c>
    </row>
    <row r="320" spans="1:42" ht="15.75" thickBot="1">
      <c r="A320" s="39"/>
      <c r="B320" s="7"/>
      <c r="C320" s="10"/>
      <c r="D320" s="221"/>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222"/>
    </row>
    <row r="321" spans="1:42">
      <c r="A321" s="39"/>
      <c r="B321" s="4" t="s">
        <v>12</v>
      </c>
      <c r="C321" s="473" t="str">
        <f>Summary!B59</f>
        <v>E2</v>
      </c>
      <c r="D321" s="156" t="str">
        <f>Summary!C59</f>
        <v>Validation - Standard Accommodation Projects</v>
      </c>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6"/>
    </row>
    <row r="322" spans="1:42">
      <c r="A322" s="39"/>
      <c r="B322" s="7" t="s">
        <v>189</v>
      </c>
      <c r="C322" s="134" t="str">
        <f>'E2 Validation Std Accom'!D45</f>
        <v>C - Good</v>
      </c>
      <c r="D322" s="176">
        <f>VLOOKUP(C322,'Confidence Factors'!$B$6:$D$9,3)</f>
        <v>0.75</v>
      </c>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10"/>
    </row>
    <row r="323" spans="1:42">
      <c r="A323" s="39"/>
      <c r="B323" s="7" t="s">
        <v>30</v>
      </c>
      <c r="C323" s="128">
        <f>SUM(D323:AN323)</f>
        <v>2603250</v>
      </c>
      <c r="D323" s="177">
        <f>'E2 Validation Std Accom'!I$74*'E2 Validation Std Accom'!$D73*'Calcs - Scen 1'!$D322</f>
        <v>80250</v>
      </c>
      <c r="E323" s="19">
        <f>'E2 Validation Std Accom'!J74*'E2 Validation Std Accom'!D73*'Calcs - Scen 1'!D322</f>
        <v>395250</v>
      </c>
      <c r="F323" s="19">
        <f>'E2 Validation Std Accom'!K74*'E2 Validation Std Accom'!D73*'Calcs - Scen 1'!D322</f>
        <v>395250</v>
      </c>
      <c r="G323" s="19">
        <f>'E2 Validation Std Accom'!L74*'E2 Validation Std Accom'!D73*'Calcs - Scen 1'!D322</f>
        <v>341250</v>
      </c>
      <c r="H323" s="19">
        <f>'E2 Validation Std Accom'!M74*'E2 Validation Std Accom'!D73*'Calcs - Scen 1'!D322</f>
        <v>341250</v>
      </c>
      <c r="I323" s="19">
        <f>'E2 Validation Std Accom'!N74*'E2 Validation Std Accom'!D73*'Calcs - Scen 1'!D322</f>
        <v>341250</v>
      </c>
      <c r="J323" s="19">
        <f>'E2 Validation Std Accom'!O74*'E2 Validation Std Accom'!D73*'Calcs - Scen 1'!D322</f>
        <v>26250</v>
      </c>
      <c r="K323" s="19">
        <f>'E2 Validation Std Accom'!P74*'E2 Validation Std Accom'!$D73*'Calcs - Scen 1'!$D322</f>
        <v>26250</v>
      </c>
      <c r="L323" s="19">
        <f>'E2 Validation Std Accom'!Q74*'E2 Validation Std Accom'!$D73*'Calcs - Scen 1'!$D322</f>
        <v>26250</v>
      </c>
      <c r="M323" s="19">
        <f>'E2 Validation Std Accom'!R74*'E2 Validation Std Accom'!$D73*'Calcs - Scen 1'!$D322</f>
        <v>26250</v>
      </c>
      <c r="N323" s="19">
        <f>'E2 Validation Std Accom'!S74*'E2 Validation Std Accom'!$D73*'Calcs - Scen 1'!$D322</f>
        <v>26250</v>
      </c>
      <c r="O323" s="19">
        <f>'E2 Validation Std Accom'!T74*'E2 Validation Std Accom'!$D73*'Calcs - Scen 1'!$D322</f>
        <v>26250</v>
      </c>
      <c r="P323" s="19">
        <f>'E2 Validation Std Accom'!U74*'E2 Validation Std Accom'!$D73*'Calcs - Scen 1'!$D322</f>
        <v>26250</v>
      </c>
      <c r="Q323" s="19">
        <f>'E2 Validation Std Accom'!V74*'E2 Validation Std Accom'!$D73*'Calcs - Scen 1'!$D322</f>
        <v>26250</v>
      </c>
      <c r="R323" s="19">
        <f>'E2 Validation Std Accom'!W74*'E2 Validation Std Accom'!$D73*'Calcs - Scen 1'!$D322</f>
        <v>26250</v>
      </c>
      <c r="S323" s="19">
        <f>'E2 Validation Std Accom'!X74*'E2 Validation Std Accom'!$D73*'Calcs - Scen 1'!$D322</f>
        <v>26250</v>
      </c>
      <c r="T323" s="19">
        <f>'E2 Validation Std Accom'!Y74*'E2 Validation Std Accom'!$D73*'Calcs - Scen 1'!$D322</f>
        <v>26250</v>
      </c>
      <c r="U323" s="19">
        <f>'E2 Validation Std Accom'!Z74*'E2 Validation Std Accom'!$D73*'Calcs - Scen 1'!$D322</f>
        <v>26250</v>
      </c>
      <c r="V323" s="19">
        <f>'E2 Validation Std Accom'!AA74*'E2 Validation Std Accom'!$D73*'Calcs - Scen 1'!$D322</f>
        <v>26250</v>
      </c>
      <c r="W323" s="19">
        <f>'E2 Validation Std Accom'!AB74*'E2 Validation Std Accom'!$D73*'Calcs - Scen 1'!$D322</f>
        <v>26250</v>
      </c>
      <c r="X323" s="19">
        <f>'E2 Validation Std Accom'!AC74*'E2 Validation Std Accom'!$D73*'Calcs - Scen 1'!$D322</f>
        <v>26250</v>
      </c>
      <c r="Y323" s="19">
        <f>'E2 Validation Std Accom'!AD74*'E2 Validation Std Accom'!$D73*'Calcs - Scen 1'!$D322</f>
        <v>26250</v>
      </c>
      <c r="Z323" s="19">
        <f>'E2 Validation Std Accom'!AE74*'E2 Validation Std Accom'!$D73*'Calcs - Scen 1'!$D322</f>
        <v>26250</v>
      </c>
      <c r="AA323" s="19">
        <f>'E2 Validation Std Accom'!AF74*'E2 Validation Std Accom'!$D73*'Calcs - Scen 1'!$D322</f>
        <v>26250</v>
      </c>
      <c r="AB323" s="19">
        <f>'E2 Validation Std Accom'!AG74*'E2 Validation Std Accom'!$D73*'Calcs - Scen 1'!$D322</f>
        <v>26250</v>
      </c>
      <c r="AC323" s="19">
        <f>'E2 Validation Std Accom'!AH74*'E2 Validation Std Accom'!$D73*'Calcs - Scen 1'!$D322</f>
        <v>26250</v>
      </c>
      <c r="AD323" s="19">
        <f>'E2 Validation Std Accom'!AI74*'E2 Validation Std Accom'!$D73*'Calcs - Scen 1'!$D322</f>
        <v>26250</v>
      </c>
      <c r="AE323" s="19">
        <f>'E2 Validation Std Accom'!AJ74*'E2 Validation Std Accom'!$D73*'Calcs - Scen 1'!$D322</f>
        <v>26250</v>
      </c>
      <c r="AF323" s="19">
        <f>'E2 Validation Std Accom'!AK74*'E2 Validation Std Accom'!$D73*'Calcs - Scen 1'!$D322</f>
        <v>26250</v>
      </c>
      <c r="AG323" s="19">
        <f>'E2 Validation Std Accom'!AL74*'E2 Validation Std Accom'!$D73*'Calcs - Scen 1'!$D322</f>
        <v>26250</v>
      </c>
      <c r="AH323" s="19">
        <f>'E2 Validation Std Accom'!AM74*'E2 Validation Std Accom'!$D73*'Calcs - Scen 1'!$D322</f>
        <v>26250</v>
      </c>
      <c r="AI323" s="19">
        <f>'E2 Validation Std Accom'!AN74*'E2 Validation Std Accom'!$D73*'Calcs - Scen 1'!$D322</f>
        <v>26250</v>
      </c>
      <c r="AJ323" s="19">
        <f>'E2 Validation Std Accom'!AO74*'E2 Validation Std Accom'!$D73*'Calcs - Scen 1'!$D322</f>
        <v>26250</v>
      </c>
      <c r="AK323" s="19"/>
      <c r="AL323" s="19"/>
      <c r="AM323" s="19"/>
      <c r="AN323" s="216"/>
      <c r="AO323" s="216"/>
      <c r="AP323" s="23"/>
    </row>
    <row r="324" spans="1:42">
      <c r="B324" s="7" t="s">
        <v>31</v>
      </c>
      <c r="C324" s="129">
        <f>NPV($C$7,F323:AO323)+D323+E323</f>
        <v>2176521.102450314</v>
      </c>
      <c r="D324" s="7"/>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10"/>
    </row>
    <row r="325" spans="1:42">
      <c r="B325" s="7" t="s">
        <v>4</v>
      </c>
      <c r="C325" s="130" t="str">
        <f>IF(SUM(D325:AN325)&gt;1,"CHECK"," ")</f>
        <v xml:space="preserve"> </v>
      </c>
      <c r="D325" s="178">
        <f>1/3</f>
        <v>0.33333333333333331</v>
      </c>
      <c r="E325" s="178">
        <f t="shared" ref="E325:F325" si="70">1/3</f>
        <v>0.33333333333333331</v>
      </c>
      <c r="F325" s="178">
        <f t="shared" si="70"/>
        <v>0.33333333333333331</v>
      </c>
      <c r="G325" s="15"/>
      <c r="H325" s="15"/>
      <c r="I325" s="15"/>
      <c r="J325" s="15"/>
      <c r="K325" s="15"/>
      <c r="L325" s="15"/>
      <c r="M325" s="15"/>
      <c r="N325" s="15"/>
      <c r="O325" s="15"/>
      <c r="P325" s="15"/>
      <c r="Q325" s="15"/>
      <c r="R325" s="15"/>
      <c r="S325" s="15"/>
      <c r="T325" s="125"/>
      <c r="U325" s="15"/>
      <c r="V325" s="15"/>
      <c r="W325" s="15"/>
      <c r="X325" s="15"/>
      <c r="Y325" s="15"/>
      <c r="Z325" s="15"/>
      <c r="AA325" s="15"/>
      <c r="AB325" s="15"/>
      <c r="AC325" s="15"/>
      <c r="AD325" s="15"/>
      <c r="AE325" s="15"/>
      <c r="AF325" s="15"/>
      <c r="AG325" s="15"/>
      <c r="AH325" s="15"/>
      <c r="AI325" s="15"/>
      <c r="AJ325" s="15"/>
      <c r="AK325" s="15"/>
      <c r="AL325" s="15"/>
      <c r="AM325" s="15"/>
      <c r="AN325" s="146"/>
      <c r="AO325" s="146"/>
      <c r="AP325" s="16"/>
    </row>
    <row r="326" spans="1:42" ht="15.75" thickBot="1">
      <c r="B326" s="11" t="s">
        <v>32</v>
      </c>
      <c r="C326" s="51"/>
      <c r="D326" s="220">
        <f t="shared" ref="D326:AN326" si="71">IF(D325&gt;0,(D325*$C324),0)</f>
        <v>725507.03415010462</v>
      </c>
      <c r="E326" s="218">
        <f t="shared" si="71"/>
        <v>725507.03415010462</v>
      </c>
      <c r="F326" s="218">
        <f t="shared" si="71"/>
        <v>725507.03415010462</v>
      </c>
      <c r="G326" s="218">
        <f t="shared" si="71"/>
        <v>0</v>
      </c>
      <c r="H326" s="218">
        <f t="shared" si="71"/>
        <v>0</v>
      </c>
      <c r="I326" s="218">
        <f t="shared" si="71"/>
        <v>0</v>
      </c>
      <c r="J326" s="218">
        <f t="shared" si="71"/>
        <v>0</v>
      </c>
      <c r="K326" s="218">
        <f t="shared" si="71"/>
        <v>0</v>
      </c>
      <c r="L326" s="218">
        <f t="shared" si="71"/>
        <v>0</v>
      </c>
      <c r="M326" s="218">
        <f t="shared" si="71"/>
        <v>0</v>
      </c>
      <c r="N326" s="218">
        <f t="shared" si="71"/>
        <v>0</v>
      </c>
      <c r="O326" s="218">
        <f t="shared" si="71"/>
        <v>0</v>
      </c>
      <c r="P326" s="218">
        <f t="shared" si="71"/>
        <v>0</v>
      </c>
      <c r="Q326" s="218">
        <f t="shared" si="71"/>
        <v>0</v>
      </c>
      <c r="R326" s="218">
        <f t="shared" si="71"/>
        <v>0</v>
      </c>
      <c r="S326" s="218">
        <f>IF(S325&gt;0,(S325*$C324),0)</f>
        <v>0</v>
      </c>
      <c r="T326" s="217">
        <f t="shared" si="71"/>
        <v>0</v>
      </c>
      <c r="U326" s="218">
        <f t="shared" si="71"/>
        <v>0</v>
      </c>
      <c r="V326" s="218">
        <f t="shared" si="71"/>
        <v>0</v>
      </c>
      <c r="W326" s="218">
        <f t="shared" si="71"/>
        <v>0</v>
      </c>
      <c r="X326" s="218">
        <f t="shared" si="71"/>
        <v>0</v>
      </c>
      <c r="Y326" s="218">
        <f t="shared" si="71"/>
        <v>0</v>
      </c>
      <c r="Z326" s="218">
        <f t="shared" si="71"/>
        <v>0</v>
      </c>
      <c r="AA326" s="218">
        <f t="shared" si="71"/>
        <v>0</v>
      </c>
      <c r="AB326" s="218">
        <f t="shared" si="71"/>
        <v>0</v>
      </c>
      <c r="AC326" s="218">
        <f t="shared" si="71"/>
        <v>0</v>
      </c>
      <c r="AD326" s="218">
        <f t="shared" si="71"/>
        <v>0</v>
      </c>
      <c r="AE326" s="218">
        <f t="shared" si="71"/>
        <v>0</v>
      </c>
      <c r="AF326" s="218">
        <f t="shared" si="71"/>
        <v>0</v>
      </c>
      <c r="AG326" s="218">
        <f t="shared" si="71"/>
        <v>0</v>
      </c>
      <c r="AH326" s="218">
        <f t="shared" si="71"/>
        <v>0</v>
      </c>
      <c r="AI326" s="218">
        <f t="shared" si="71"/>
        <v>0</v>
      </c>
      <c r="AJ326" s="218">
        <f t="shared" si="71"/>
        <v>0</v>
      </c>
      <c r="AK326" s="218">
        <f t="shared" si="71"/>
        <v>0</v>
      </c>
      <c r="AL326" s="218">
        <f t="shared" si="71"/>
        <v>0</v>
      </c>
      <c r="AM326" s="218">
        <f t="shared" si="71"/>
        <v>0</v>
      </c>
      <c r="AN326" s="219">
        <f t="shared" si="71"/>
        <v>0</v>
      </c>
      <c r="AO326" s="219">
        <f>IF(AO325&gt;0,(AO325*$C324),0)</f>
        <v>0</v>
      </c>
      <c r="AP326" s="223">
        <f>IF(AP325&gt;0,(AP325*$C324),0)</f>
        <v>0</v>
      </c>
    </row>
    <row r="327" spans="1:42" ht="15.75" thickBot="1">
      <c r="B327" s="7"/>
      <c r="C327" s="10"/>
      <c r="D327" s="221"/>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222"/>
    </row>
    <row r="328" spans="1:42">
      <c r="B328" s="4" t="s">
        <v>12</v>
      </c>
      <c r="C328" s="473" t="str">
        <f>Summary!B60</f>
        <v>E3</v>
      </c>
      <c r="D328" s="474" t="str">
        <f>Summary!C60</f>
        <v>Validation - CMAL</v>
      </c>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6"/>
    </row>
    <row r="329" spans="1:42">
      <c r="B329" s="7" t="s">
        <v>189</v>
      </c>
      <c r="C329" s="134" t="str">
        <f>'E3 Validation CMAL'!D45</f>
        <v>D - Moderate</v>
      </c>
      <c r="D329" s="176">
        <f>VLOOKUP(C329,'Confidence Factors'!$B$6:$D$9,3)</f>
        <v>0.55000000000000004</v>
      </c>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10"/>
    </row>
    <row r="330" spans="1:42">
      <c r="B330" s="7" t="s">
        <v>30</v>
      </c>
      <c r="C330" s="128">
        <f>SUM(D330:AN330)</f>
        <v>36844500.000000007</v>
      </c>
      <c r="D330" s="177">
        <v>0</v>
      </c>
      <c r="E330" s="19">
        <v>0</v>
      </c>
      <c r="F330" s="19">
        <f>(('E3 Validation CMAL'!$D68)/25)*'E3 Validation CMAL'!$D73*'Calcs - Scen 1'!$D329</f>
        <v>1473780.0000000002</v>
      </c>
      <c r="G330" s="19">
        <f>(('E3 Validation CMAL'!$D68)/25)*'E3 Validation CMAL'!$D73*'Calcs - Scen 1'!$D329</f>
        <v>1473780.0000000002</v>
      </c>
      <c r="H330" s="19">
        <f>(('E3 Validation CMAL'!$D68)/25)*'E3 Validation CMAL'!$D73*'Calcs - Scen 1'!$D329</f>
        <v>1473780.0000000002</v>
      </c>
      <c r="I330" s="19">
        <f>(('E3 Validation CMAL'!$D68)/25)*'E3 Validation CMAL'!$D73*'Calcs - Scen 1'!$D329</f>
        <v>1473780.0000000002</v>
      </c>
      <c r="J330" s="19">
        <f>(('E3 Validation CMAL'!$D68)/25)*'E3 Validation CMAL'!$D73*'Calcs - Scen 1'!$D329</f>
        <v>1473780.0000000002</v>
      </c>
      <c r="K330" s="19">
        <f>(('E3 Validation CMAL'!$D68)/25)*'E3 Validation CMAL'!$D73*'Calcs - Scen 1'!$D329</f>
        <v>1473780.0000000002</v>
      </c>
      <c r="L330" s="19">
        <f>(('E3 Validation CMAL'!$D68)/25)*'E3 Validation CMAL'!$D73*'Calcs - Scen 1'!$D329</f>
        <v>1473780.0000000002</v>
      </c>
      <c r="M330" s="19">
        <f>(('E3 Validation CMAL'!$D68)/25)*'E3 Validation CMAL'!$D73*'Calcs - Scen 1'!$D329</f>
        <v>1473780.0000000002</v>
      </c>
      <c r="N330" s="19">
        <f>(('E3 Validation CMAL'!$D68)/25)*'E3 Validation CMAL'!$D73*'Calcs - Scen 1'!$D329</f>
        <v>1473780.0000000002</v>
      </c>
      <c r="O330" s="19">
        <f>(('E3 Validation CMAL'!$D68)/25)*'E3 Validation CMAL'!$D73*'Calcs - Scen 1'!$D329</f>
        <v>1473780.0000000002</v>
      </c>
      <c r="P330" s="19">
        <f>(('E3 Validation CMAL'!$D68)/25)*'E3 Validation CMAL'!$D73*'Calcs - Scen 1'!$D329</f>
        <v>1473780.0000000002</v>
      </c>
      <c r="Q330" s="19">
        <f>(('E3 Validation CMAL'!$D68)/25)*'E3 Validation CMAL'!$D73*'Calcs - Scen 1'!$D329</f>
        <v>1473780.0000000002</v>
      </c>
      <c r="R330" s="19">
        <f>(('E3 Validation CMAL'!$D68)/25)*'E3 Validation CMAL'!$D73*'Calcs - Scen 1'!$D329</f>
        <v>1473780.0000000002</v>
      </c>
      <c r="S330" s="19">
        <f>(('E3 Validation CMAL'!$D68)/25)*'E3 Validation CMAL'!$D73*'Calcs - Scen 1'!$D329</f>
        <v>1473780.0000000002</v>
      </c>
      <c r="T330" s="19">
        <f>(('E3 Validation CMAL'!$D68)/25)*'E3 Validation CMAL'!$D73*'Calcs - Scen 1'!$D329</f>
        <v>1473780.0000000002</v>
      </c>
      <c r="U330" s="19">
        <f>(('E3 Validation CMAL'!$D68)/25)*'E3 Validation CMAL'!$D73*'Calcs - Scen 1'!$D329</f>
        <v>1473780.0000000002</v>
      </c>
      <c r="V330" s="19">
        <f>(('E3 Validation CMAL'!$D68)/25)*'E3 Validation CMAL'!$D73*'Calcs - Scen 1'!$D329</f>
        <v>1473780.0000000002</v>
      </c>
      <c r="W330" s="19">
        <f>(('E3 Validation CMAL'!$D68)/25)*'E3 Validation CMAL'!$D73*'Calcs - Scen 1'!$D329</f>
        <v>1473780.0000000002</v>
      </c>
      <c r="X330" s="19">
        <f>(('E3 Validation CMAL'!$D68)/25)*'E3 Validation CMAL'!$D73*'Calcs - Scen 1'!$D329</f>
        <v>1473780.0000000002</v>
      </c>
      <c r="Y330" s="19">
        <f>(('E3 Validation CMAL'!$D68)/25)*'E3 Validation CMAL'!$D73*'Calcs - Scen 1'!$D329</f>
        <v>1473780.0000000002</v>
      </c>
      <c r="Z330" s="19">
        <f>(('E3 Validation CMAL'!$D68)/25)*'E3 Validation CMAL'!$D73*'Calcs - Scen 1'!$D329</f>
        <v>1473780.0000000002</v>
      </c>
      <c r="AA330" s="19">
        <f>(('E3 Validation CMAL'!$D68)/25)*'E3 Validation CMAL'!$D73*'Calcs - Scen 1'!$D329</f>
        <v>1473780.0000000002</v>
      </c>
      <c r="AB330" s="19">
        <f>(('E3 Validation CMAL'!$D68)/25)*'E3 Validation CMAL'!$D73*'Calcs - Scen 1'!$D329</f>
        <v>1473780.0000000002</v>
      </c>
      <c r="AC330" s="19">
        <f>(('E3 Validation CMAL'!$D68)/25)*'E3 Validation CMAL'!$D73*'Calcs - Scen 1'!$D329</f>
        <v>1473780.0000000002</v>
      </c>
      <c r="AD330" s="19">
        <f>(('E3 Validation CMAL'!$D68)/25)*'E3 Validation CMAL'!$D73*'Calcs - Scen 1'!$D329</f>
        <v>1473780.0000000002</v>
      </c>
      <c r="AE330" s="19"/>
      <c r="AF330" s="19"/>
      <c r="AG330" s="19"/>
      <c r="AH330" s="19"/>
      <c r="AI330" s="19"/>
      <c r="AJ330" s="19"/>
      <c r="AK330" s="19"/>
      <c r="AL330" s="19"/>
      <c r="AM330" s="19"/>
      <c r="AN330" s="216"/>
      <c r="AO330" s="216"/>
      <c r="AP330" s="23"/>
    </row>
    <row r="331" spans="1:42">
      <c r="B331" s="7" t="s">
        <v>31</v>
      </c>
      <c r="C331" s="129">
        <f>NPV($C$7,F330:AO330)+D330+E330</f>
        <v>24290126.575819377</v>
      </c>
      <c r="D331" s="7"/>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10"/>
    </row>
    <row r="332" spans="1:42">
      <c r="B332" s="7" t="s">
        <v>4</v>
      </c>
      <c r="C332" s="130" t="str">
        <f>IF(SUM(D332:AN332)&gt;1,"CHECK"," ")</f>
        <v xml:space="preserve"> </v>
      </c>
      <c r="D332" s="178">
        <v>0.5</v>
      </c>
      <c r="E332" s="15">
        <v>0.5</v>
      </c>
      <c r="F332" s="15"/>
      <c r="G332" s="15"/>
      <c r="H332" s="15"/>
      <c r="I332" s="15"/>
      <c r="J332" s="15"/>
      <c r="K332" s="15"/>
      <c r="L332" s="15"/>
      <c r="M332" s="15"/>
      <c r="N332" s="15"/>
      <c r="O332" s="15"/>
      <c r="P332" s="15"/>
      <c r="Q332" s="15"/>
      <c r="R332" s="15"/>
      <c r="S332" s="15"/>
      <c r="T332" s="125"/>
      <c r="U332" s="15"/>
      <c r="V332" s="15"/>
      <c r="W332" s="15"/>
      <c r="X332" s="15"/>
      <c r="Y332" s="15"/>
      <c r="Z332" s="15"/>
      <c r="AA332" s="15"/>
      <c r="AB332" s="15"/>
      <c r="AC332" s="15"/>
      <c r="AD332" s="15"/>
      <c r="AE332" s="15"/>
      <c r="AF332" s="15"/>
      <c r="AG332" s="15"/>
      <c r="AH332" s="15"/>
      <c r="AI332" s="15"/>
      <c r="AJ332" s="15"/>
      <c r="AK332" s="15"/>
      <c r="AL332" s="15"/>
      <c r="AM332" s="15"/>
      <c r="AN332" s="146"/>
      <c r="AO332" s="146"/>
      <c r="AP332" s="16"/>
    </row>
    <row r="333" spans="1:42" ht="15.75" thickBot="1">
      <c r="B333" s="11" t="s">
        <v>32</v>
      </c>
      <c r="C333" s="51"/>
      <c r="D333" s="220">
        <f t="shared" ref="D333" si="72">IF(D332&gt;0,(D332*$C331),0)</f>
        <v>12145063.287909688</v>
      </c>
      <c r="E333" s="218">
        <f t="shared" ref="E333" si="73">IF(E332&gt;0,(E332*$C331),0)</f>
        <v>12145063.287909688</v>
      </c>
      <c r="F333" s="218">
        <f t="shared" ref="F333:R333" si="74">IF(F332&gt;0,(F332*$C331),0)</f>
        <v>0</v>
      </c>
      <c r="G333" s="218">
        <f t="shared" si="74"/>
        <v>0</v>
      </c>
      <c r="H333" s="218">
        <f t="shared" si="74"/>
        <v>0</v>
      </c>
      <c r="I333" s="218">
        <f t="shared" si="74"/>
        <v>0</v>
      </c>
      <c r="J333" s="218">
        <f t="shared" si="74"/>
        <v>0</v>
      </c>
      <c r="K333" s="218">
        <f t="shared" si="74"/>
        <v>0</v>
      </c>
      <c r="L333" s="218">
        <f t="shared" si="74"/>
        <v>0</v>
      </c>
      <c r="M333" s="218">
        <f t="shared" si="74"/>
        <v>0</v>
      </c>
      <c r="N333" s="218">
        <f t="shared" si="74"/>
        <v>0</v>
      </c>
      <c r="O333" s="218">
        <f t="shared" si="74"/>
        <v>0</v>
      </c>
      <c r="P333" s="218">
        <f t="shared" si="74"/>
        <v>0</v>
      </c>
      <c r="Q333" s="218">
        <f t="shared" si="74"/>
        <v>0</v>
      </c>
      <c r="R333" s="218">
        <f t="shared" si="74"/>
        <v>0</v>
      </c>
      <c r="S333" s="218">
        <f>IF(S332&gt;0,(S332*$C331),0)</f>
        <v>0</v>
      </c>
      <c r="T333" s="217">
        <f t="shared" ref="T333:AN333" si="75">IF(T332&gt;0,(T332*$C331),0)</f>
        <v>0</v>
      </c>
      <c r="U333" s="218">
        <f t="shared" si="75"/>
        <v>0</v>
      </c>
      <c r="V333" s="218">
        <f t="shared" si="75"/>
        <v>0</v>
      </c>
      <c r="W333" s="218">
        <f t="shared" si="75"/>
        <v>0</v>
      </c>
      <c r="X333" s="218">
        <f t="shared" si="75"/>
        <v>0</v>
      </c>
      <c r="Y333" s="218">
        <f t="shared" si="75"/>
        <v>0</v>
      </c>
      <c r="Z333" s="218">
        <f t="shared" si="75"/>
        <v>0</v>
      </c>
      <c r="AA333" s="218">
        <f t="shared" si="75"/>
        <v>0</v>
      </c>
      <c r="AB333" s="218">
        <f t="shared" si="75"/>
        <v>0</v>
      </c>
      <c r="AC333" s="218">
        <f t="shared" si="75"/>
        <v>0</v>
      </c>
      <c r="AD333" s="218">
        <f t="shared" si="75"/>
        <v>0</v>
      </c>
      <c r="AE333" s="218">
        <f t="shared" si="75"/>
        <v>0</v>
      </c>
      <c r="AF333" s="218">
        <f t="shared" si="75"/>
        <v>0</v>
      </c>
      <c r="AG333" s="218">
        <f t="shared" si="75"/>
        <v>0</v>
      </c>
      <c r="AH333" s="218">
        <f t="shared" si="75"/>
        <v>0</v>
      </c>
      <c r="AI333" s="218">
        <f t="shared" si="75"/>
        <v>0</v>
      </c>
      <c r="AJ333" s="218">
        <f t="shared" si="75"/>
        <v>0</v>
      </c>
      <c r="AK333" s="218">
        <f t="shared" si="75"/>
        <v>0</v>
      </c>
      <c r="AL333" s="218">
        <f t="shared" si="75"/>
        <v>0</v>
      </c>
      <c r="AM333" s="218">
        <f t="shared" si="75"/>
        <v>0</v>
      </c>
      <c r="AN333" s="219">
        <f t="shared" si="75"/>
        <v>0</v>
      </c>
      <c r="AO333" s="219">
        <f>IF(AO332&gt;0,(AO332*$C331),0)</f>
        <v>0</v>
      </c>
      <c r="AP333" s="223">
        <f>IF(AP332&gt;0,(AP332*$C331),0)</f>
        <v>0</v>
      </c>
    </row>
    <row r="334" spans="1:42" ht="15.75" thickBot="1">
      <c r="B334" s="7"/>
      <c r="C334" s="10"/>
      <c r="D334" s="221"/>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222"/>
    </row>
    <row r="335" spans="1:42">
      <c r="B335" s="4" t="s">
        <v>12</v>
      </c>
      <c r="C335" s="473" t="str">
        <f>Summary!B61</f>
        <v>E4</v>
      </c>
      <c r="D335" s="474" t="str">
        <f>Summary!C61</f>
        <v>Validation - Non-Standard Civils Projects (Borders Railway)</v>
      </c>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6"/>
    </row>
    <row r="336" spans="1:42">
      <c r="B336" s="7" t="s">
        <v>189</v>
      </c>
      <c r="C336" s="553" t="str">
        <f>'E4 Valdn Non-Std Civils (BOR)'!D47</f>
        <v>C - Good</v>
      </c>
      <c r="D336" s="176">
        <f>VLOOKUP(C336,'Confidence Factors'!$B$6:$D$9,3)</f>
        <v>0.75</v>
      </c>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10"/>
    </row>
    <row r="337" spans="1:42">
      <c r="B337" s="7" t="s">
        <v>30</v>
      </c>
      <c r="C337" s="128">
        <f>SUM(D337:AN337)</f>
        <v>3632816.25</v>
      </c>
      <c r="D337" s="177">
        <v>0</v>
      </c>
      <c r="E337" s="19">
        <f>(('E3 Validation CMAL'!$D75)/25)*'E3 Validation CMAL'!$D80*'Calcs - Scen 1'!$D336</f>
        <v>0</v>
      </c>
      <c r="F337" s="19">
        <f>(('E3 Validation CMAL'!$D75)/25)*'E3 Validation CMAL'!$D80*'Calcs - Scen 1'!$D336</f>
        <v>0</v>
      </c>
      <c r="G337" s="19">
        <f>(('E3 Validation CMAL'!$D75)/25)*'E3 Validation CMAL'!$D80*'Calcs - Scen 1'!$D336</f>
        <v>0</v>
      </c>
      <c r="H337" s="19">
        <f>(('E3 Validation CMAL'!$D75)/25)*'E3 Validation CMAL'!$D80*'Calcs - Scen 1'!$D336</f>
        <v>0</v>
      </c>
      <c r="I337" s="19">
        <f>(('E3 Validation CMAL'!$D75)/25)*'E3 Validation CMAL'!$D80*'Calcs - Scen 1'!$D336</f>
        <v>0</v>
      </c>
      <c r="J337" s="19">
        <f>'E4 Valdn Non-Std Civils (BOR)'!O$76*'E4 Valdn Non-Std Civils (BOR)'!$D75*'Calcs - Scen 1'!$D336</f>
        <v>121093.875</v>
      </c>
      <c r="K337" s="19">
        <f>'E4 Valdn Non-Std Civils (BOR)'!P$76*'E4 Valdn Non-Std Civils (BOR)'!$D75*'Calcs - Scen 1'!$D336</f>
        <v>121093.875</v>
      </c>
      <c r="L337" s="19">
        <f>'E4 Valdn Non-Std Civils (BOR)'!Q$76*'E4 Valdn Non-Std Civils (BOR)'!$D75*'Calcs - Scen 1'!$D336</f>
        <v>121093.875</v>
      </c>
      <c r="M337" s="19">
        <f>'E4 Valdn Non-Std Civils (BOR)'!R$76*'E4 Valdn Non-Std Civils (BOR)'!$D75*'Calcs - Scen 1'!$D336</f>
        <v>121093.875</v>
      </c>
      <c r="N337" s="19">
        <f>'E4 Valdn Non-Std Civils (BOR)'!S$76*'E4 Valdn Non-Std Civils (BOR)'!$D75*'Calcs - Scen 1'!$D336</f>
        <v>121093.875</v>
      </c>
      <c r="O337" s="19">
        <f>'E4 Valdn Non-Std Civils (BOR)'!T$76*'E4 Valdn Non-Std Civils (BOR)'!$D75*'Calcs - Scen 1'!$D336</f>
        <v>121093.875</v>
      </c>
      <c r="P337" s="19">
        <f>'E4 Valdn Non-Std Civils (BOR)'!U$76*'E4 Valdn Non-Std Civils (BOR)'!$D75*'Calcs - Scen 1'!$D336</f>
        <v>121093.875</v>
      </c>
      <c r="Q337" s="19">
        <f>'E4 Valdn Non-Std Civils (BOR)'!V$76*'E4 Valdn Non-Std Civils (BOR)'!$D75*'Calcs - Scen 1'!$D336</f>
        <v>121093.875</v>
      </c>
      <c r="R337" s="19">
        <f>'E4 Valdn Non-Std Civils (BOR)'!W$76*'E4 Valdn Non-Std Civils (BOR)'!$D75*'Calcs - Scen 1'!$D336</f>
        <v>121093.875</v>
      </c>
      <c r="S337" s="19">
        <f>'E4 Valdn Non-Std Civils (BOR)'!X$76*'E4 Valdn Non-Std Civils (BOR)'!$D75*'Calcs - Scen 1'!$D336</f>
        <v>121093.875</v>
      </c>
      <c r="T337" s="19">
        <f>'E4 Valdn Non-Std Civils (BOR)'!Y$76*'E4 Valdn Non-Std Civils (BOR)'!$D75*'Calcs - Scen 1'!$D336</f>
        <v>121093.875</v>
      </c>
      <c r="U337" s="19">
        <f>'E4 Valdn Non-Std Civils (BOR)'!Z$76*'E4 Valdn Non-Std Civils (BOR)'!$D75*'Calcs - Scen 1'!$D336</f>
        <v>121093.875</v>
      </c>
      <c r="V337" s="19">
        <f>'E4 Valdn Non-Std Civils (BOR)'!AA$76*'E4 Valdn Non-Std Civils (BOR)'!$D75*'Calcs - Scen 1'!$D336</f>
        <v>121093.875</v>
      </c>
      <c r="W337" s="19">
        <f>'E4 Valdn Non-Std Civils (BOR)'!AB$76*'E4 Valdn Non-Std Civils (BOR)'!$D75*'Calcs - Scen 1'!$D336</f>
        <v>121093.875</v>
      </c>
      <c r="X337" s="19">
        <f>'E4 Valdn Non-Std Civils (BOR)'!AC$76*'E4 Valdn Non-Std Civils (BOR)'!$D75*'Calcs - Scen 1'!$D336</f>
        <v>121093.875</v>
      </c>
      <c r="Y337" s="19">
        <f>'E4 Valdn Non-Std Civils (BOR)'!AD$76*'E4 Valdn Non-Std Civils (BOR)'!$D75*'Calcs - Scen 1'!$D336</f>
        <v>121093.875</v>
      </c>
      <c r="Z337" s="19">
        <f>'E4 Valdn Non-Std Civils (BOR)'!AE$76*'E4 Valdn Non-Std Civils (BOR)'!$D75*'Calcs - Scen 1'!$D336</f>
        <v>121093.875</v>
      </c>
      <c r="AA337" s="19">
        <f>'E4 Valdn Non-Std Civils (BOR)'!AF$76*'E4 Valdn Non-Std Civils (BOR)'!$D75*'Calcs - Scen 1'!$D336</f>
        <v>121093.875</v>
      </c>
      <c r="AB337" s="19">
        <f>'E4 Valdn Non-Std Civils (BOR)'!AG$76*'E4 Valdn Non-Std Civils (BOR)'!$D75*'Calcs - Scen 1'!$D336</f>
        <v>121093.875</v>
      </c>
      <c r="AC337" s="19">
        <f>'E4 Valdn Non-Std Civils (BOR)'!AH$76*'E4 Valdn Non-Std Civils (BOR)'!$D75*'Calcs - Scen 1'!$D336</f>
        <v>121093.875</v>
      </c>
      <c r="AD337" s="19">
        <f>'E4 Valdn Non-Std Civils (BOR)'!AI$76*'E4 Valdn Non-Std Civils (BOR)'!$D75*'Calcs - Scen 1'!$D336</f>
        <v>121093.875</v>
      </c>
      <c r="AE337" s="19">
        <f>'E4 Valdn Non-Std Civils (BOR)'!AJ$76*'E4 Valdn Non-Std Civils (BOR)'!$D75*'Calcs - Scen 1'!$D336</f>
        <v>121093.875</v>
      </c>
      <c r="AF337" s="19">
        <f>'E4 Valdn Non-Std Civils (BOR)'!AK$76*'E4 Valdn Non-Std Civils (BOR)'!$D75*'Calcs - Scen 1'!$D336</f>
        <v>121093.875</v>
      </c>
      <c r="AG337" s="19">
        <f>'E4 Valdn Non-Std Civils (BOR)'!AL$76*'E4 Valdn Non-Std Civils (BOR)'!$D75*'Calcs - Scen 1'!$D336</f>
        <v>121093.875</v>
      </c>
      <c r="AH337" s="19">
        <f>'E4 Valdn Non-Std Civils (BOR)'!AM$76*'E4 Valdn Non-Std Civils (BOR)'!$D75*'Calcs - Scen 1'!$D336</f>
        <v>121093.875</v>
      </c>
      <c r="AI337" s="19">
        <f>'E4 Valdn Non-Std Civils (BOR)'!AN$76*'E4 Valdn Non-Std Civils (BOR)'!$D75*'Calcs - Scen 1'!$D336</f>
        <v>121093.875</v>
      </c>
      <c r="AJ337" s="19">
        <f>'E4 Valdn Non-Std Civils (BOR)'!AO$76*'E4 Valdn Non-Std Civils (BOR)'!$D75*'Calcs - Scen 1'!$D336</f>
        <v>121093.875</v>
      </c>
      <c r="AK337" s="19">
        <f>'E4 Valdn Non-Std Civils (BOR)'!AP$76*'E4 Valdn Non-Std Civils (BOR)'!$D75*'Calcs - Scen 1'!$D336</f>
        <v>121093.875</v>
      </c>
      <c r="AL337" s="19">
        <f>'E4 Valdn Non-Std Civils (BOR)'!AQ$76*'E4 Valdn Non-Std Civils (BOR)'!$D75*'Calcs - Scen 1'!$D336</f>
        <v>121093.875</v>
      </c>
      <c r="AM337" s="19">
        <f>'E4 Valdn Non-Std Civils (BOR)'!AR$76*'E4 Valdn Non-Std Civils (BOR)'!$D75*'Calcs - Scen 1'!$D336</f>
        <v>121093.875</v>
      </c>
      <c r="AN337" s="19">
        <f>'E4 Valdn Non-Std Civils (BOR)'!AS$76*'E4 Valdn Non-Std Civils (BOR)'!$D75*'Calcs - Scen 1'!$D336</f>
        <v>0</v>
      </c>
      <c r="AO337" s="216"/>
      <c r="AP337" s="23"/>
    </row>
    <row r="338" spans="1:42">
      <c r="B338" s="7" t="s">
        <v>31</v>
      </c>
      <c r="C338" s="129">
        <f>NPV($C$7,F337:AO337)+D337+E337</f>
        <v>1940844.7994723134</v>
      </c>
      <c r="D338" s="7"/>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10"/>
    </row>
    <row r="339" spans="1:42">
      <c r="B339" s="7" t="s">
        <v>4</v>
      </c>
      <c r="C339" s="130" t="str">
        <f>IF(SUM(D339:AN339)&gt;1,"CHECK"," ")</f>
        <v xml:space="preserve"> </v>
      </c>
      <c r="D339" s="178">
        <f>1/3</f>
        <v>0.33333333333333331</v>
      </c>
      <c r="E339" s="178">
        <f t="shared" ref="E339:F339" si="76">1/3</f>
        <v>0.33333333333333331</v>
      </c>
      <c r="F339" s="178">
        <f t="shared" si="76"/>
        <v>0.33333333333333331</v>
      </c>
      <c r="G339" s="15"/>
      <c r="H339" s="15"/>
      <c r="I339" s="15"/>
      <c r="J339" s="15"/>
      <c r="K339" s="15"/>
      <c r="L339" s="15"/>
      <c r="M339" s="15"/>
      <c r="N339" s="15"/>
      <c r="O339" s="15"/>
      <c r="P339" s="15"/>
      <c r="Q339" s="15"/>
      <c r="R339" s="15"/>
      <c r="S339" s="15"/>
      <c r="T339" s="125"/>
      <c r="U339" s="15"/>
      <c r="V339" s="15"/>
      <c r="W339" s="15"/>
      <c r="X339" s="15"/>
      <c r="Y339" s="15"/>
      <c r="Z339" s="15"/>
      <c r="AA339" s="15"/>
      <c r="AB339" s="15"/>
      <c r="AC339" s="15"/>
      <c r="AD339" s="15"/>
      <c r="AE339" s="15"/>
      <c r="AF339" s="15"/>
      <c r="AG339" s="15"/>
      <c r="AH339" s="15"/>
      <c r="AI339" s="15"/>
      <c r="AJ339" s="15"/>
      <c r="AK339" s="15"/>
      <c r="AL339" s="15"/>
      <c r="AM339" s="15"/>
      <c r="AN339" s="146"/>
      <c r="AO339" s="146"/>
      <c r="AP339" s="16"/>
    </row>
    <row r="340" spans="1:42" ht="15.75" thickBot="1">
      <c r="B340" s="11" t="s">
        <v>32</v>
      </c>
      <c r="C340" s="51"/>
      <c r="D340" s="220">
        <f t="shared" ref="D340:R340" si="77">IF(D339&gt;0,(D339*$C338),0)</f>
        <v>646948.26649077109</v>
      </c>
      <c r="E340" s="220">
        <f t="shared" si="77"/>
        <v>646948.26649077109</v>
      </c>
      <c r="F340" s="220">
        <f t="shared" si="77"/>
        <v>646948.26649077109</v>
      </c>
      <c r="G340" s="218">
        <f t="shared" si="77"/>
        <v>0</v>
      </c>
      <c r="H340" s="218">
        <f t="shared" si="77"/>
        <v>0</v>
      </c>
      <c r="I340" s="218">
        <f t="shared" si="77"/>
        <v>0</v>
      </c>
      <c r="J340" s="218">
        <f t="shared" si="77"/>
        <v>0</v>
      </c>
      <c r="K340" s="218">
        <f t="shared" si="77"/>
        <v>0</v>
      </c>
      <c r="L340" s="218">
        <f t="shared" si="77"/>
        <v>0</v>
      </c>
      <c r="M340" s="218">
        <f t="shared" si="77"/>
        <v>0</v>
      </c>
      <c r="N340" s="218">
        <f t="shared" si="77"/>
        <v>0</v>
      </c>
      <c r="O340" s="218">
        <f t="shared" si="77"/>
        <v>0</v>
      </c>
      <c r="P340" s="218">
        <f t="shared" si="77"/>
        <v>0</v>
      </c>
      <c r="Q340" s="218">
        <f t="shared" si="77"/>
        <v>0</v>
      </c>
      <c r="R340" s="218">
        <f t="shared" si="77"/>
        <v>0</v>
      </c>
      <c r="S340" s="218">
        <f>IF(S339&gt;0,(S339*$C338),0)</f>
        <v>0</v>
      </c>
      <c r="T340" s="217">
        <f t="shared" ref="T340:AN340" si="78">IF(T339&gt;0,(T339*$C338),0)</f>
        <v>0</v>
      </c>
      <c r="U340" s="218">
        <f t="shared" si="78"/>
        <v>0</v>
      </c>
      <c r="V340" s="218">
        <f t="shared" si="78"/>
        <v>0</v>
      </c>
      <c r="W340" s="218">
        <f t="shared" si="78"/>
        <v>0</v>
      </c>
      <c r="X340" s="218">
        <f t="shared" si="78"/>
        <v>0</v>
      </c>
      <c r="Y340" s="218">
        <f t="shared" si="78"/>
        <v>0</v>
      </c>
      <c r="Z340" s="218">
        <f t="shared" si="78"/>
        <v>0</v>
      </c>
      <c r="AA340" s="218">
        <f t="shared" si="78"/>
        <v>0</v>
      </c>
      <c r="AB340" s="218">
        <f t="shared" si="78"/>
        <v>0</v>
      </c>
      <c r="AC340" s="218">
        <f t="shared" si="78"/>
        <v>0</v>
      </c>
      <c r="AD340" s="218">
        <f t="shared" si="78"/>
        <v>0</v>
      </c>
      <c r="AE340" s="218">
        <f t="shared" si="78"/>
        <v>0</v>
      </c>
      <c r="AF340" s="218">
        <f t="shared" si="78"/>
        <v>0</v>
      </c>
      <c r="AG340" s="218">
        <f t="shared" si="78"/>
        <v>0</v>
      </c>
      <c r="AH340" s="218">
        <f t="shared" si="78"/>
        <v>0</v>
      </c>
      <c r="AI340" s="218">
        <f t="shared" si="78"/>
        <v>0</v>
      </c>
      <c r="AJ340" s="218">
        <f t="shared" si="78"/>
        <v>0</v>
      </c>
      <c r="AK340" s="218">
        <f t="shared" si="78"/>
        <v>0</v>
      </c>
      <c r="AL340" s="218">
        <f t="shared" si="78"/>
        <v>0</v>
      </c>
      <c r="AM340" s="218">
        <f t="shared" si="78"/>
        <v>0</v>
      </c>
      <c r="AN340" s="219">
        <f t="shared" si="78"/>
        <v>0</v>
      </c>
      <c r="AO340" s="219">
        <f>IF(AO339&gt;0,(AO339*$C338),0)</f>
        <v>0</v>
      </c>
      <c r="AP340" s="223">
        <f>IF(AP339&gt;0,(AP339*$C338),0)</f>
        <v>0</v>
      </c>
    </row>
    <row r="341" spans="1:42" ht="15.75" thickBot="1">
      <c r="B341" s="7"/>
      <c r="C341" s="10"/>
      <c r="D341" s="221"/>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222"/>
    </row>
    <row r="342" spans="1:42">
      <c r="A342" s="39"/>
      <c r="B342" s="4" t="s">
        <v>12</v>
      </c>
      <c r="C342" s="133" t="str">
        <f>Summary!B62</f>
        <v>F1</v>
      </c>
      <c r="D342" s="175" t="str">
        <f>Summary!C62</f>
        <v xml:space="preserve">Operational Projects Support </v>
      </c>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10"/>
    </row>
    <row r="343" spans="1:42">
      <c r="A343" s="39"/>
      <c r="B343" s="7" t="s">
        <v>189</v>
      </c>
      <c r="C343" s="134" t="str">
        <f>'F1 Ops project support'!D47</f>
        <v>D - Moderate</v>
      </c>
      <c r="D343" s="176">
        <f>VLOOKUP(C343,'Confidence Factors'!$B$6:$D$9,3)</f>
        <v>0.55000000000000004</v>
      </c>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10"/>
    </row>
    <row r="344" spans="1:42">
      <c r="A344" s="39"/>
      <c r="B344" s="7" t="s">
        <v>30</v>
      </c>
      <c r="C344" s="128">
        <f>SUM(D344:AN344)</f>
        <v>36300000</v>
      </c>
      <c r="D344" s="177">
        <v>0</v>
      </c>
      <c r="E344" s="124">
        <v>0</v>
      </c>
      <c r="F344" s="124">
        <f>'F1 Ops project support'!N$59*'F1 Ops project support'!$D75*'Calcs - Scen 1'!$D343</f>
        <v>302500</v>
      </c>
      <c r="G344" s="124">
        <f>'F1 Ops project support'!O$59*'F1 Ops project support'!$D75*'Calcs - Scen 1'!$D343</f>
        <v>1210000</v>
      </c>
      <c r="H344" s="124">
        <f>'F1 Ops project support'!P$59*'F1 Ops project support'!$D75*'Calcs - Scen 1'!$D343</f>
        <v>1512500.0000000002</v>
      </c>
      <c r="I344" s="124">
        <f>'F1 Ops project support'!Q$59*'F1 Ops project support'!$D75*'Calcs - Scen 1'!$D343</f>
        <v>1512500.0000000002</v>
      </c>
      <c r="J344" s="124">
        <f>'F1 Ops project support'!R$59*'F1 Ops project support'!$D75*'Calcs - Scen 1'!$D343</f>
        <v>1512500.0000000002</v>
      </c>
      <c r="K344" s="124">
        <f>'F1 Ops project support'!S$59*'F1 Ops project support'!$D75*'Calcs - Scen 1'!$D343</f>
        <v>1512500.0000000002</v>
      </c>
      <c r="L344" s="124">
        <f>'F1 Ops project support'!T$59*'F1 Ops project support'!$D75*'Calcs - Scen 1'!$D343</f>
        <v>1512500.0000000002</v>
      </c>
      <c r="M344" s="124">
        <f>'F1 Ops project support'!U$59*'F1 Ops project support'!$D75*'Calcs - Scen 1'!$D343</f>
        <v>1512500.0000000002</v>
      </c>
      <c r="N344" s="124">
        <f>'F1 Ops project support'!V$59*'F1 Ops project support'!$D75*'Calcs - Scen 1'!$D343</f>
        <v>1512500.0000000002</v>
      </c>
      <c r="O344" s="124">
        <f>'F1 Ops project support'!W$59*'F1 Ops project support'!$D75*'Calcs - Scen 1'!$D343</f>
        <v>1512500.0000000002</v>
      </c>
      <c r="P344" s="124">
        <f>'F1 Ops project support'!X$59*'F1 Ops project support'!$D75*'Calcs - Scen 1'!$D343</f>
        <v>1512500.0000000002</v>
      </c>
      <c r="Q344" s="124">
        <f>'F1 Ops project support'!Y$59*'F1 Ops project support'!$D75*'Calcs - Scen 1'!$D343</f>
        <v>1512500.0000000002</v>
      </c>
      <c r="R344" s="124">
        <f>'F1 Ops project support'!Z$59*'F1 Ops project support'!$D75*'Calcs - Scen 1'!$D343</f>
        <v>1512500.0000000002</v>
      </c>
      <c r="S344" s="124">
        <f>'F1 Ops project support'!AA$59*'F1 Ops project support'!$D75*'Calcs - Scen 1'!$D343</f>
        <v>1512500.0000000002</v>
      </c>
      <c r="T344" s="124">
        <f>'F1 Ops project support'!AB$59*'F1 Ops project support'!$D75*'Calcs - Scen 1'!$D343</f>
        <v>1512500.0000000002</v>
      </c>
      <c r="U344" s="124">
        <f>'F1 Ops project support'!AC$59*'F1 Ops project support'!$D75*'Calcs - Scen 1'!$D343</f>
        <v>1512500.0000000002</v>
      </c>
      <c r="V344" s="124">
        <f>'F1 Ops project support'!AD$59*'F1 Ops project support'!$D75*'Calcs - Scen 1'!$D343</f>
        <v>1512500.0000000002</v>
      </c>
      <c r="W344" s="124">
        <f>'F1 Ops project support'!AE$59*'F1 Ops project support'!$D75*'Calcs - Scen 1'!$D343</f>
        <v>1512500.0000000002</v>
      </c>
      <c r="X344" s="124">
        <f>'F1 Ops project support'!AF$59*'F1 Ops project support'!$D75*'Calcs - Scen 1'!$D343</f>
        <v>1512500.0000000002</v>
      </c>
      <c r="Y344" s="124">
        <f>'F1 Ops project support'!AG$59*'F1 Ops project support'!$D75*'Calcs - Scen 1'!$D343</f>
        <v>1512500.0000000002</v>
      </c>
      <c r="Z344" s="124">
        <f>'F1 Ops project support'!AH$59*'F1 Ops project support'!$D75*'Calcs - Scen 1'!$D343</f>
        <v>1512500.0000000002</v>
      </c>
      <c r="AA344" s="124">
        <f>'F1 Ops project support'!AI$59*'F1 Ops project support'!$D75*'Calcs - Scen 1'!$D343</f>
        <v>1512500.0000000002</v>
      </c>
      <c r="AB344" s="124">
        <f>'F1 Ops project support'!AJ$59*'F1 Ops project support'!$D75*'Calcs - Scen 1'!$D343</f>
        <v>1512500.0000000002</v>
      </c>
      <c r="AC344" s="124">
        <f>'F1 Ops project support'!AK$59*'F1 Ops project support'!$D75*'Calcs - Scen 1'!$D343</f>
        <v>1512500.0000000002</v>
      </c>
      <c r="AD344" s="124">
        <f>'F1 Ops project support'!AL$59*'F1 Ops project support'!$D75*'Calcs - Scen 1'!$D343</f>
        <v>1512500.0000000002</v>
      </c>
      <c r="AE344" s="124">
        <f>'F1 Ops project support'!AM$59*'F1 Ops project support'!$D75*'Calcs - Scen 1'!$D343</f>
        <v>0</v>
      </c>
      <c r="AF344" s="124">
        <f>'F1 Ops project support'!AN$59*'F1 Ops project support'!$D75*'Calcs - Scen 1'!$D343</f>
        <v>0</v>
      </c>
      <c r="AG344" s="124">
        <f>'F1 Ops project support'!AO$59*'F1 Ops project support'!$D75*'Calcs - Scen 1'!$D343</f>
        <v>0</v>
      </c>
      <c r="AH344" s="124">
        <f>'F1 Ops project support'!AP$59*'F1 Ops project support'!$D75*'Calcs - Scen 1'!$D343</f>
        <v>0</v>
      </c>
      <c r="AI344" s="19"/>
      <c r="AJ344" s="19"/>
      <c r="AK344" s="19"/>
      <c r="AL344" s="19"/>
      <c r="AM344" s="19"/>
      <c r="AN344" s="216"/>
      <c r="AO344" s="216"/>
      <c r="AP344" s="23"/>
    </row>
    <row r="345" spans="1:42">
      <c r="A345" s="39"/>
      <c r="B345" s="7" t="s">
        <v>31</v>
      </c>
      <c r="C345" s="129">
        <f>NPV($C$7,F344:AO344)+D344+E344</f>
        <v>23476821.708367985</v>
      </c>
      <c r="D345" s="7"/>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10"/>
    </row>
    <row r="346" spans="1:42">
      <c r="A346" s="39"/>
      <c r="B346" s="7" t="s">
        <v>4</v>
      </c>
      <c r="C346" s="130" t="str">
        <f>IF(SUM(D346:AN346)&gt;1,"CHECK"," ")</f>
        <v xml:space="preserve"> </v>
      </c>
      <c r="D346" s="178">
        <v>0.1</v>
      </c>
      <c r="E346" s="15">
        <v>0.15</v>
      </c>
      <c r="F346" s="15">
        <v>0.6</v>
      </c>
      <c r="G346" s="15">
        <v>0.15</v>
      </c>
      <c r="H346" s="15"/>
      <c r="I346" s="15"/>
      <c r="J346" s="15"/>
      <c r="K346" s="15"/>
      <c r="L346" s="15"/>
      <c r="M346" s="15"/>
      <c r="N346" s="15"/>
      <c r="O346" s="15"/>
      <c r="P346" s="15"/>
      <c r="Q346" s="15"/>
      <c r="R346" s="15"/>
      <c r="S346" s="15"/>
      <c r="T346" s="125"/>
      <c r="U346" s="15"/>
      <c r="V346" s="15"/>
      <c r="W346" s="15"/>
      <c r="X346" s="15"/>
      <c r="Y346" s="15"/>
      <c r="Z346" s="15"/>
      <c r="AA346" s="15"/>
      <c r="AB346" s="15"/>
      <c r="AC346" s="15"/>
      <c r="AD346" s="15"/>
      <c r="AE346" s="15"/>
      <c r="AF346" s="15"/>
      <c r="AG346" s="15"/>
      <c r="AH346" s="15"/>
      <c r="AI346" s="15"/>
      <c r="AJ346" s="15"/>
      <c r="AK346" s="15"/>
      <c r="AL346" s="15"/>
      <c r="AM346" s="15"/>
      <c r="AN346" s="146"/>
      <c r="AO346" s="146"/>
      <c r="AP346" s="16"/>
    </row>
    <row r="347" spans="1:42" ht="15.75" thickBot="1">
      <c r="A347" s="39"/>
      <c r="B347" s="11" t="s">
        <v>32</v>
      </c>
      <c r="C347" s="51"/>
      <c r="D347" s="179">
        <f>IF(D346&gt;0,(D346*$C345),0)</f>
        <v>2347682.1708367984</v>
      </c>
      <c r="E347" s="20">
        <f t="shared" ref="E347:AN347" si="79">IF(E346&gt;0,(E346*$C345),0)</f>
        <v>3521523.2562551978</v>
      </c>
      <c r="F347" s="20">
        <f t="shared" si="79"/>
        <v>14086093.025020791</v>
      </c>
      <c r="G347" s="20">
        <f t="shared" si="79"/>
        <v>3521523.2562551978</v>
      </c>
      <c r="H347" s="20">
        <f t="shared" si="79"/>
        <v>0</v>
      </c>
      <c r="I347" s="20">
        <f t="shared" si="79"/>
        <v>0</v>
      </c>
      <c r="J347" s="20">
        <f t="shared" si="79"/>
        <v>0</v>
      </c>
      <c r="K347" s="20">
        <f t="shared" si="79"/>
        <v>0</v>
      </c>
      <c r="L347" s="20">
        <f t="shared" si="79"/>
        <v>0</v>
      </c>
      <c r="M347" s="20">
        <f t="shared" si="79"/>
        <v>0</v>
      </c>
      <c r="N347" s="20">
        <f t="shared" si="79"/>
        <v>0</v>
      </c>
      <c r="O347" s="20">
        <f t="shared" si="79"/>
        <v>0</v>
      </c>
      <c r="P347" s="20">
        <f t="shared" si="79"/>
        <v>0</v>
      </c>
      <c r="Q347" s="20">
        <f t="shared" si="79"/>
        <v>0</v>
      </c>
      <c r="R347" s="20">
        <f t="shared" si="79"/>
        <v>0</v>
      </c>
      <c r="S347" s="20">
        <f>IF(S346&gt;0,(S346*$C345),0)</f>
        <v>0</v>
      </c>
      <c r="T347" s="126">
        <f t="shared" si="79"/>
        <v>0</v>
      </c>
      <c r="U347" s="20">
        <f t="shared" si="79"/>
        <v>0</v>
      </c>
      <c r="V347" s="20">
        <f t="shared" si="79"/>
        <v>0</v>
      </c>
      <c r="W347" s="20">
        <f t="shared" si="79"/>
        <v>0</v>
      </c>
      <c r="X347" s="20">
        <f t="shared" si="79"/>
        <v>0</v>
      </c>
      <c r="Y347" s="20">
        <f t="shared" si="79"/>
        <v>0</v>
      </c>
      <c r="Z347" s="20">
        <f t="shared" si="79"/>
        <v>0</v>
      </c>
      <c r="AA347" s="20">
        <f t="shared" si="79"/>
        <v>0</v>
      </c>
      <c r="AB347" s="20">
        <f t="shared" si="79"/>
        <v>0</v>
      </c>
      <c r="AC347" s="20">
        <f t="shared" si="79"/>
        <v>0</v>
      </c>
      <c r="AD347" s="20">
        <f t="shared" si="79"/>
        <v>0</v>
      </c>
      <c r="AE347" s="20">
        <f t="shared" si="79"/>
        <v>0</v>
      </c>
      <c r="AF347" s="20">
        <f t="shared" si="79"/>
        <v>0</v>
      </c>
      <c r="AG347" s="20">
        <f t="shared" si="79"/>
        <v>0</v>
      </c>
      <c r="AH347" s="20">
        <f t="shared" si="79"/>
        <v>0</v>
      </c>
      <c r="AI347" s="20">
        <f t="shared" si="79"/>
        <v>0</v>
      </c>
      <c r="AJ347" s="20">
        <f t="shared" si="79"/>
        <v>0</v>
      </c>
      <c r="AK347" s="20">
        <f t="shared" si="79"/>
        <v>0</v>
      </c>
      <c r="AL347" s="20">
        <f t="shared" si="79"/>
        <v>0</v>
      </c>
      <c r="AM347" s="20">
        <f t="shared" si="79"/>
        <v>0</v>
      </c>
      <c r="AN347" s="215">
        <f t="shared" si="79"/>
        <v>0</v>
      </c>
      <c r="AO347" s="215">
        <f>IF(AO346&gt;0,(AO346*$C345),0)</f>
        <v>0</v>
      </c>
      <c r="AP347" s="22">
        <f>IF(AP346&gt;0,(AP346*$C345),0)</f>
        <v>0</v>
      </c>
    </row>
    <row r="348" spans="1:42" ht="15.75" thickBot="1">
      <c r="A348" s="39"/>
      <c r="B348" s="7"/>
      <c r="C348" s="10"/>
      <c r="D348" s="7"/>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10"/>
    </row>
    <row r="349" spans="1:42">
      <c r="A349" s="39"/>
      <c r="B349" s="4" t="s">
        <v>12</v>
      </c>
      <c r="C349" s="133" t="str">
        <f>Summary!B63</f>
        <v>G1</v>
      </c>
      <c r="D349" s="156" t="str">
        <f>Summary!C63</f>
        <v>Waste - Procurement Timetable Benefits - Avoided Disposal Costs - Projects other than Clyde Valley</v>
      </c>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6"/>
    </row>
    <row r="350" spans="1:42">
      <c r="A350" s="39"/>
      <c r="B350" s="7" t="s">
        <v>189</v>
      </c>
      <c r="C350" s="134" t="str">
        <f>'G1 Wst Proc Time Benefits'!D47</f>
        <v>C - Good</v>
      </c>
      <c r="D350" s="176">
        <f>VLOOKUP(C350,'Confidence Factors'!$B$6:$D$9,3)</f>
        <v>0.75</v>
      </c>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10"/>
    </row>
    <row r="351" spans="1:42">
      <c r="A351" s="39"/>
      <c r="B351" s="7" t="s">
        <v>30</v>
      </c>
      <c r="C351" s="128">
        <f>SUM(D351:AN351)</f>
        <v>439687.5</v>
      </c>
      <c r="D351" s="177">
        <v>0</v>
      </c>
      <c r="E351" s="19">
        <v>0</v>
      </c>
      <c r="F351" s="19">
        <v>0</v>
      </c>
      <c r="G351" s="19">
        <v>0</v>
      </c>
      <c r="H351" s="19">
        <v>0</v>
      </c>
      <c r="I351" s="19">
        <f>752500*'G1 Wst Proc Time Benefits'!D75*'Calcs - Scen 1'!D350</f>
        <v>282187.5</v>
      </c>
      <c r="J351" s="19">
        <v>0</v>
      </c>
      <c r="K351" s="19"/>
      <c r="L351" s="19">
        <f>420000*'G1 Wst Proc Time Benefits'!D75*'Calcs - Scen 1'!D350</f>
        <v>157500</v>
      </c>
      <c r="M351" s="19"/>
      <c r="N351" s="19"/>
      <c r="O351" s="19"/>
      <c r="P351" s="19"/>
      <c r="Q351" s="19"/>
      <c r="R351" s="19"/>
      <c r="S351" s="19"/>
      <c r="T351" s="124"/>
      <c r="U351" s="19"/>
      <c r="V351" s="19"/>
      <c r="W351" s="19"/>
      <c r="X351" s="19"/>
      <c r="Y351" s="19"/>
      <c r="Z351" s="19"/>
      <c r="AA351" s="19"/>
      <c r="AB351" s="19"/>
      <c r="AC351" s="19"/>
      <c r="AD351" s="19"/>
      <c r="AE351" s="19"/>
      <c r="AF351" s="19"/>
      <c r="AG351" s="19"/>
      <c r="AH351" s="19"/>
      <c r="AI351" s="19"/>
      <c r="AJ351" s="19"/>
      <c r="AK351" s="19"/>
      <c r="AL351" s="19"/>
      <c r="AM351" s="19"/>
      <c r="AN351" s="216"/>
      <c r="AO351" s="216"/>
      <c r="AP351" s="23"/>
    </row>
    <row r="352" spans="1:42">
      <c r="A352" s="39"/>
      <c r="B352" s="7" t="s">
        <v>31</v>
      </c>
      <c r="C352" s="129">
        <f>NPV($C$7,F351:AO351)+D351+E351</f>
        <v>374036.45510716201</v>
      </c>
      <c r="D352" s="7"/>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10"/>
    </row>
    <row r="353" spans="1:42">
      <c r="A353" s="39"/>
      <c r="B353" s="7" t="s">
        <v>4</v>
      </c>
      <c r="C353" s="130" t="str">
        <f>IF(SUM(D353:AN353)&gt;1,"CHECK"," ")</f>
        <v xml:space="preserve"> </v>
      </c>
      <c r="D353" s="178">
        <v>0.2</v>
      </c>
      <c r="E353" s="15">
        <v>0.3</v>
      </c>
      <c r="F353" s="15">
        <v>0.3</v>
      </c>
      <c r="G353" s="15">
        <v>0.2</v>
      </c>
      <c r="H353" s="15"/>
      <c r="I353" s="15"/>
      <c r="J353" s="15"/>
      <c r="K353" s="15"/>
      <c r="L353" s="15"/>
      <c r="M353" s="15"/>
      <c r="N353" s="15"/>
      <c r="O353" s="15"/>
      <c r="P353" s="15"/>
      <c r="Q353" s="15"/>
      <c r="R353" s="15"/>
      <c r="S353" s="15"/>
      <c r="T353" s="125"/>
      <c r="U353" s="15"/>
      <c r="V353" s="15"/>
      <c r="W353" s="15"/>
      <c r="X353" s="15"/>
      <c r="Y353" s="15"/>
      <c r="Z353" s="15"/>
      <c r="AA353" s="15"/>
      <c r="AB353" s="15"/>
      <c r="AC353" s="15"/>
      <c r="AD353" s="15"/>
      <c r="AE353" s="15"/>
      <c r="AF353" s="15"/>
      <c r="AG353" s="15"/>
      <c r="AH353" s="15"/>
      <c r="AI353" s="15"/>
      <c r="AJ353" s="15"/>
      <c r="AK353" s="15"/>
      <c r="AL353" s="15"/>
      <c r="AM353" s="15"/>
      <c r="AN353" s="146"/>
      <c r="AO353" s="146"/>
      <c r="AP353" s="16"/>
    </row>
    <row r="354" spans="1:42" ht="15.75" thickBot="1">
      <c r="A354" s="39"/>
      <c r="B354" s="11" t="s">
        <v>32</v>
      </c>
      <c r="C354" s="51"/>
      <c r="D354" s="179">
        <f>IF(D353&gt;0,(D353*$C352),0)</f>
        <v>74807.291021432407</v>
      </c>
      <c r="E354" s="20">
        <f t="shared" ref="E354:AN354" si="80">IF(E353&gt;0,(E353*$C352),0)</f>
        <v>112210.9365321486</v>
      </c>
      <c r="F354" s="20">
        <f t="shared" si="80"/>
        <v>112210.9365321486</v>
      </c>
      <c r="G354" s="20">
        <f t="shared" si="80"/>
        <v>74807.291021432407</v>
      </c>
      <c r="H354" s="20">
        <f t="shared" si="80"/>
        <v>0</v>
      </c>
      <c r="I354" s="20">
        <f t="shared" si="80"/>
        <v>0</v>
      </c>
      <c r="J354" s="20">
        <f t="shared" si="80"/>
        <v>0</v>
      </c>
      <c r="K354" s="20">
        <f t="shared" si="80"/>
        <v>0</v>
      </c>
      <c r="L354" s="20">
        <f t="shared" si="80"/>
        <v>0</v>
      </c>
      <c r="M354" s="20">
        <f t="shared" si="80"/>
        <v>0</v>
      </c>
      <c r="N354" s="20">
        <f t="shared" si="80"/>
        <v>0</v>
      </c>
      <c r="O354" s="20">
        <f t="shared" si="80"/>
        <v>0</v>
      </c>
      <c r="P354" s="20">
        <f t="shared" si="80"/>
        <v>0</v>
      </c>
      <c r="Q354" s="20">
        <f t="shared" si="80"/>
        <v>0</v>
      </c>
      <c r="R354" s="20">
        <f t="shared" si="80"/>
        <v>0</v>
      </c>
      <c r="S354" s="20">
        <f>IF(S353&gt;0,(S353*$C352),0)</f>
        <v>0</v>
      </c>
      <c r="T354" s="126">
        <f t="shared" si="80"/>
        <v>0</v>
      </c>
      <c r="U354" s="20">
        <f t="shared" si="80"/>
        <v>0</v>
      </c>
      <c r="V354" s="20">
        <f t="shared" si="80"/>
        <v>0</v>
      </c>
      <c r="W354" s="20">
        <f t="shared" si="80"/>
        <v>0</v>
      </c>
      <c r="X354" s="20">
        <f t="shared" si="80"/>
        <v>0</v>
      </c>
      <c r="Y354" s="20">
        <f t="shared" si="80"/>
        <v>0</v>
      </c>
      <c r="Z354" s="20">
        <f t="shared" si="80"/>
        <v>0</v>
      </c>
      <c r="AA354" s="20">
        <f t="shared" si="80"/>
        <v>0</v>
      </c>
      <c r="AB354" s="20">
        <f t="shared" si="80"/>
        <v>0</v>
      </c>
      <c r="AC354" s="20">
        <f t="shared" si="80"/>
        <v>0</v>
      </c>
      <c r="AD354" s="20">
        <f t="shared" si="80"/>
        <v>0</v>
      </c>
      <c r="AE354" s="20">
        <f t="shared" si="80"/>
        <v>0</v>
      </c>
      <c r="AF354" s="20">
        <f t="shared" si="80"/>
        <v>0</v>
      </c>
      <c r="AG354" s="20">
        <f t="shared" si="80"/>
        <v>0</v>
      </c>
      <c r="AH354" s="20">
        <f t="shared" si="80"/>
        <v>0</v>
      </c>
      <c r="AI354" s="20">
        <f t="shared" si="80"/>
        <v>0</v>
      </c>
      <c r="AJ354" s="20">
        <f t="shared" si="80"/>
        <v>0</v>
      </c>
      <c r="AK354" s="20">
        <f t="shared" si="80"/>
        <v>0</v>
      </c>
      <c r="AL354" s="20">
        <f t="shared" si="80"/>
        <v>0</v>
      </c>
      <c r="AM354" s="20">
        <f t="shared" si="80"/>
        <v>0</v>
      </c>
      <c r="AN354" s="215">
        <f t="shared" si="80"/>
        <v>0</v>
      </c>
      <c r="AO354" s="215">
        <f>IF(AO353&gt;0,(AO353*$C352),0)</f>
        <v>0</v>
      </c>
      <c r="AP354" s="22">
        <f>IF(AP353&gt;0,(AP353*$C352),0)</f>
        <v>0</v>
      </c>
    </row>
    <row r="355" spans="1:42" ht="15.75" thickBot="1">
      <c r="B355" s="7"/>
      <c r="C355" s="10"/>
      <c r="D355" s="7"/>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10"/>
    </row>
    <row r="356" spans="1:42">
      <c r="B356" s="4" t="s">
        <v>12</v>
      </c>
      <c r="C356" s="133" t="str">
        <f>Summary!B64</f>
        <v>G2</v>
      </c>
      <c r="D356" s="156" t="str">
        <f>Summary!C64</f>
        <v>Waste - Service Cost Benefits (Reduced Gate Fees) - Projects other than Clyde Valley</v>
      </c>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6"/>
    </row>
    <row r="357" spans="1:42">
      <c r="B357" s="7" t="s">
        <v>189</v>
      </c>
      <c r="C357" s="134" t="str">
        <f>'G2 Wst Serv Cost Benefits'!D47</f>
        <v>C - Good</v>
      </c>
      <c r="D357" s="176">
        <f>VLOOKUP(C357,'Confidence Factors'!$B$6:$D$9,3)</f>
        <v>0.75</v>
      </c>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10"/>
    </row>
    <row r="358" spans="1:42">
      <c r="B358" s="7" t="s">
        <v>30</v>
      </c>
      <c r="C358" s="128">
        <f>SUM(D358:AN358)</f>
        <v>15247125</v>
      </c>
      <c r="D358" s="177">
        <v>0</v>
      </c>
      <c r="E358" s="19">
        <v>0</v>
      </c>
      <c r="F358" s="19">
        <v>0</v>
      </c>
      <c r="G358" s="19">
        <v>0</v>
      </c>
      <c r="H358" s="19">
        <v>0</v>
      </c>
      <c r="I358" s="19">
        <f>'G2 Wst Serv Cost Benefits'!I$84*'G2 Wst Serv Cost Benefits'!$D75*'Calcs - Scen 1'!$D357</f>
        <v>247725</v>
      </c>
      <c r="J358" s="19">
        <f>'G2 Wst Serv Cost Benefits'!J$84*'G2 Wst Serv Cost Benefits'!$D75*'Calcs - Scen 1'!$D357</f>
        <v>247725</v>
      </c>
      <c r="K358" s="19">
        <f>'G2 Wst Serv Cost Benefits'!K$84*'G2 Wst Serv Cost Benefits'!$D75*'Calcs - Scen 1'!$D357</f>
        <v>247725</v>
      </c>
      <c r="L358" s="19">
        <f>'G2 Wst Serv Cost Benefits'!L$84*'G2 Wst Serv Cost Benefits'!$D75*'Calcs - Scen 1'!$D357</f>
        <v>616725</v>
      </c>
      <c r="M358" s="19">
        <f>'G2 Wst Serv Cost Benefits'!M$84*'G2 Wst Serv Cost Benefits'!$D75*'Calcs - Scen 1'!$D357</f>
        <v>616725</v>
      </c>
      <c r="N358" s="19">
        <f>'G2 Wst Serv Cost Benefits'!N$84*'G2 Wst Serv Cost Benefits'!$D75*'Calcs - Scen 1'!$D357</f>
        <v>616725</v>
      </c>
      <c r="O358" s="19">
        <f>'G2 Wst Serv Cost Benefits'!O$84*'G2 Wst Serv Cost Benefits'!$D75*'Calcs - Scen 1'!$D357</f>
        <v>616725</v>
      </c>
      <c r="P358" s="19">
        <f>'G2 Wst Serv Cost Benefits'!P$84*'G2 Wst Serv Cost Benefits'!$D75*'Calcs - Scen 1'!$D357</f>
        <v>616725</v>
      </c>
      <c r="Q358" s="19">
        <f>'G2 Wst Serv Cost Benefits'!Q$84*'G2 Wst Serv Cost Benefits'!$D75*'Calcs - Scen 1'!$D357</f>
        <v>616725</v>
      </c>
      <c r="R358" s="19">
        <f>'G2 Wst Serv Cost Benefits'!R$84*'G2 Wst Serv Cost Benefits'!$D75*'Calcs - Scen 1'!$D357</f>
        <v>616725</v>
      </c>
      <c r="S358" s="19">
        <f>'G2 Wst Serv Cost Benefits'!S$84*'G2 Wst Serv Cost Benefits'!$D75*'Calcs - Scen 1'!$D357</f>
        <v>616725</v>
      </c>
      <c r="T358" s="19">
        <f>'G2 Wst Serv Cost Benefits'!T$84*'G2 Wst Serv Cost Benefits'!$D75*'Calcs - Scen 1'!$D357</f>
        <v>616725</v>
      </c>
      <c r="U358" s="19">
        <f>'G2 Wst Serv Cost Benefits'!U$84*'G2 Wst Serv Cost Benefits'!$D75*'Calcs - Scen 1'!$D357</f>
        <v>616725</v>
      </c>
      <c r="V358" s="19">
        <f>'G2 Wst Serv Cost Benefits'!V$84*'G2 Wst Serv Cost Benefits'!$D75*'Calcs - Scen 1'!$D357</f>
        <v>616725</v>
      </c>
      <c r="W358" s="19">
        <f>'G2 Wst Serv Cost Benefits'!W$84*'G2 Wst Serv Cost Benefits'!$D75*'Calcs - Scen 1'!$D357</f>
        <v>616725</v>
      </c>
      <c r="X358" s="19">
        <f>'G2 Wst Serv Cost Benefits'!X$84*'G2 Wst Serv Cost Benefits'!$D75*'Calcs - Scen 1'!$D357</f>
        <v>599625</v>
      </c>
      <c r="Y358" s="19">
        <f>'G2 Wst Serv Cost Benefits'!Y$84*'G2 Wst Serv Cost Benefits'!$D75*'Calcs - Scen 1'!$D357</f>
        <v>599625</v>
      </c>
      <c r="Z358" s="19">
        <f>'G2 Wst Serv Cost Benefits'!Z$84*'G2 Wst Serv Cost Benefits'!$D75*'Calcs - Scen 1'!$D357</f>
        <v>599625</v>
      </c>
      <c r="AA358" s="19">
        <f>'G2 Wst Serv Cost Benefits'!AA$84*'G2 Wst Serv Cost Benefits'!$D75*'Calcs - Scen 1'!$D357</f>
        <v>599625</v>
      </c>
      <c r="AB358" s="19">
        <f>'G2 Wst Serv Cost Benefits'!AB$84*'G2 Wst Serv Cost Benefits'!$D75*'Calcs - Scen 1'!$D357</f>
        <v>599625</v>
      </c>
      <c r="AC358" s="19">
        <f>'G2 Wst Serv Cost Benefits'!AC$84*'G2 Wst Serv Cost Benefits'!$D75*'Calcs - Scen 1'!$D357</f>
        <v>599625</v>
      </c>
      <c r="AD358" s="19">
        <f>'G2 Wst Serv Cost Benefits'!AD$84*'G2 Wst Serv Cost Benefits'!$D75*'Calcs - Scen 1'!$D357</f>
        <v>599625</v>
      </c>
      <c r="AE358" s="19">
        <f>'G2 Wst Serv Cost Benefits'!AE$84*'G2 Wst Serv Cost Benefits'!$D75*'Calcs - Scen 1'!$D357</f>
        <v>599625</v>
      </c>
      <c r="AF358" s="19">
        <f>'G2 Wst Serv Cost Benefits'!AF$84*'G2 Wst Serv Cost Benefits'!$D75*'Calcs - Scen 1'!$D357</f>
        <v>599625</v>
      </c>
      <c r="AG358" s="19">
        <f>'G2 Wst Serv Cost Benefits'!AG$84*'G2 Wst Serv Cost Benefits'!$D75*'Calcs - Scen 1'!$D357</f>
        <v>599625</v>
      </c>
      <c r="AH358" s="19">
        <f>'G2 Wst Serv Cost Benefits'!AH$84*'G2 Wst Serv Cost Benefits'!$D75*'Calcs - Scen 1'!$D357</f>
        <v>369000</v>
      </c>
      <c r="AI358" s="19">
        <f>'G2 Wst Serv Cost Benefits'!AI$84*'G2 Wst Serv Cost Benefits'!$D75*'Calcs - Scen 1'!$D357</f>
        <v>369000</v>
      </c>
      <c r="AJ358" s="19">
        <f>'G2 Wst Serv Cost Benefits'!AJ$84*'G2 Wst Serv Cost Benefits'!$D75*'Calcs - Scen 1'!$D357</f>
        <v>369000</v>
      </c>
      <c r="AK358" s="19">
        <f>'G2 Wst Serv Cost Benefits'!AK$84*'G2 Wst Serv Cost Benefits'!$D75*'Calcs - Scen 1'!$D357</f>
        <v>0</v>
      </c>
      <c r="AL358" s="19">
        <f>'G2 Wst Serv Cost Benefits'!AL$84*'G2 Wst Serv Cost Benefits'!$D75*'Calcs - Scen 1'!$D357</f>
        <v>0</v>
      </c>
      <c r="AM358" s="19">
        <f>'G2 Wst Serv Cost Benefits'!AM$84*'G2 Wst Serv Cost Benefits'!$D75*'Calcs - Scen 1'!$D357</f>
        <v>0</v>
      </c>
      <c r="AN358" s="19">
        <f>'G2 Wst Serv Cost Benefits'!AN$84*'G2 Wst Serv Cost Benefits'!$D75*'Calcs - Scen 1'!$D357</f>
        <v>0</v>
      </c>
      <c r="AO358" s="19">
        <f>'G2 Wst Serv Cost Benefits'!AO$84*'G2 Wst Serv Cost Benefits'!$D75*'Calcs - Scen 1'!$D357</f>
        <v>0</v>
      </c>
      <c r="AP358" s="19">
        <f>'G2 Wst Serv Cost Benefits'!AP$84*'G2 Wst Serv Cost Benefits'!$D75*'Calcs - Scen 1'!$D357</f>
        <v>0</v>
      </c>
    </row>
    <row r="359" spans="1:42">
      <c r="B359" s="7" t="s">
        <v>31</v>
      </c>
      <c r="C359" s="129">
        <f>NPV($C$7,F358:AO358)+D358+E358</f>
        <v>8553413.9488039929</v>
      </c>
      <c r="D359" s="7"/>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10"/>
    </row>
    <row r="360" spans="1:42">
      <c r="B360" s="7" t="s">
        <v>4</v>
      </c>
      <c r="C360" s="130" t="str">
        <f>IF(SUM(D360:AN360)&gt;1,"CHECK"," ")</f>
        <v xml:space="preserve"> </v>
      </c>
      <c r="D360" s="178">
        <v>0.2</v>
      </c>
      <c r="E360" s="15">
        <v>0.3</v>
      </c>
      <c r="F360" s="15">
        <v>0.3</v>
      </c>
      <c r="G360" s="15">
        <v>0.2</v>
      </c>
      <c r="H360" s="15"/>
      <c r="I360" s="15"/>
      <c r="J360" s="15"/>
      <c r="K360" s="15"/>
      <c r="L360" s="15"/>
      <c r="M360" s="15"/>
      <c r="N360" s="15"/>
      <c r="O360" s="15"/>
      <c r="P360" s="15"/>
      <c r="Q360" s="15"/>
      <c r="R360" s="15"/>
      <c r="S360" s="15"/>
      <c r="T360" s="125"/>
      <c r="U360" s="15"/>
      <c r="V360" s="15"/>
      <c r="W360" s="15"/>
      <c r="X360" s="15"/>
      <c r="Y360" s="15"/>
      <c r="Z360" s="15"/>
      <c r="AA360" s="15"/>
      <c r="AB360" s="15"/>
      <c r="AC360" s="15"/>
      <c r="AD360" s="15"/>
      <c r="AE360" s="15"/>
      <c r="AF360" s="15"/>
      <c r="AG360" s="15"/>
      <c r="AH360" s="15"/>
      <c r="AI360" s="15"/>
      <c r="AJ360" s="15"/>
      <c r="AK360" s="15"/>
      <c r="AL360" s="15"/>
      <c r="AM360" s="15"/>
      <c r="AN360" s="146"/>
      <c r="AO360" s="146"/>
      <c r="AP360" s="16"/>
    </row>
    <row r="361" spans="1:42" ht="15.75" thickBot="1">
      <c r="B361" s="11" t="s">
        <v>32</v>
      </c>
      <c r="C361" s="51"/>
      <c r="D361" s="179">
        <f>IF(D360&gt;0,(D360*$C359),0)</f>
        <v>1710682.7897607987</v>
      </c>
      <c r="E361" s="20">
        <f t="shared" ref="E361:AN361" si="81">IF(E360&gt;0,(E360*$C359),0)</f>
        <v>2566024.1846411978</v>
      </c>
      <c r="F361" s="20">
        <f t="shared" si="81"/>
        <v>2566024.1846411978</v>
      </c>
      <c r="G361" s="20">
        <f t="shared" si="81"/>
        <v>1710682.7897607987</v>
      </c>
      <c r="H361" s="20">
        <f t="shared" si="81"/>
        <v>0</v>
      </c>
      <c r="I361" s="20">
        <f t="shared" si="81"/>
        <v>0</v>
      </c>
      <c r="J361" s="20">
        <f t="shared" si="81"/>
        <v>0</v>
      </c>
      <c r="K361" s="20">
        <f t="shared" si="81"/>
        <v>0</v>
      </c>
      <c r="L361" s="20">
        <f t="shared" si="81"/>
        <v>0</v>
      </c>
      <c r="M361" s="20">
        <f t="shared" si="81"/>
        <v>0</v>
      </c>
      <c r="N361" s="20">
        <f t="shared" si="81"/>
        <v>0</v>
      </c>
      <c r="O361" s="20">
        <f t="shared" si="81"/>
        <v>0</v>
      </c>
      <c r="P361" s="20">
        <f t="shared" si="81"/>
        <v>0</v>
      </c>
      <c r="Q361" s="20">
        <f t="shared" si="81"/>
        <v>0</v>
      </c>
      <c r="R361" s="20">
        <f t="shared" si="81"/>
        <v>0</v>
      </c>
      <c r="S361" s="20">
        <f>IF(S360&gt;0,(S360*$C359),0)</f>
        <v>0</v>
      </c>
      <c r="T361" s="126">
        <f t="shared" si="81"/>
        <v>0</v>
      </c>
      <c r="U361" s="20">
        <f t="shared" si="81"/>
        <v>0</v>
      </c>
      <c r="V361" s="20">
        <f t="shared" si="81"/>
        <v>0</v>
      </c>
      <c r="W361" s="20">
        <f t="shared" si="81"/>
        <v>0</v>
      </c>
      <c r="X361" s="20">
        <f t="shared" si="81"/>
        <v>0</v>
      </c>
      <c r="Y361" s="20">
        <f t="shared" si="81"/>
        <v>0</v>
      </c>
      <c r="Z361" s="20">
        <f t="shared" si="81"/>
        <v>0</v>
      </c>
      <c r="AA361" s="20">
        <f t="shared" si="81"/>
        <v>0</v>
      </c>
      <c r="AB361" s="20">
        <f t="shared" si="81"/>
        <v>0</v>
      </c>
      <c r="AC361" s="20">
        <f t="shared" si="81"/>
        <v>0</v>
      </c>
      <c r="AD361" s="20">
        <f t="shared" si="81"/>
        <v>0</v>
      </c>
      <c r="AE361" s="20">
        <f t="shared" si="81"/>
        <v>0</v>
      </c>
      <c r="AF361" s="20">
        <f t="shared" si="81"/>
        <v>0</v>
      </c>
      <c r="AG361" s="20">
        <f t="shared" si="81"/>
        <v>0</v>
      </c>
      <c r="AH361" s="20">
        <f t="shared" si="81"/>
        <v>0</v>
      </c>
      <c r="AI361" s="20">
        <f t="shared" si="81"/>
        <v>0</v>
      </c>
      <c r="AJ361" s="20">
        <f t="shared" si="81"/>
        <v>0</v>
      </c>
      <c r="AK361" s="20">
        <f t="shared" si="81"/>
        <v>0</v>
      </c>
      <c r="AL361" s="20">
        <f t="shared" si="81"/>
        <v>0</v>
      </c>
      <c r="AM361" s="20">
        <f t="shared" si="81"/>
        <v>0</v>
      </c>
      <c r="AN361" s="215">
        <f t="shared" si="81"/>
        <v>0</v>
      </c>
      <c r="AO361" s="215">
        <f>IF(AO360&gt;0,(AO360*$C359),0)</f>
        <v>0</v>
      </c>
      <c r="AP361" s="22">
        <f>IF(AP360&gt;0,(AP360*$C359),0)</f>
        <v>0</v>
      </c>
    </row>
    <row r="362" spans="1:42" ht="15.75" thickBot="1">
      <c r="B362" s="7"/>
      <c r="C362" s="10"/>
      <c r="D362" s="7"/>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10"/>
    </row>
    <row r="363" spans="1:42">
      <c r="B363" s="4" t="s">
        <v>12</v>
      </c>
      <c r="C363" s="133" t="str">
        <f>Summary!B65</f>
        <v>G3</v>
      </c>
      <c r="D363" s="156" t="str">
        <f>Summary!C65</f>
        <v>Waste - Reduced Gate Fees - Clyde Valley</v>
      </c>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6"/>
    </row>
    <row r="364" spans="1:42">
      <c r="B364" s="7" t="s">
        <v>189</v>
      </c>
      <c r="C364" s="134" t="str">
        <f>'G3 Waste Reduced Gate Fees CV'!D47</f>
        <v>D - Moderate</v>
      </c>
      <c r="D364" s="176">
        <f>VLOOKUP(C364,'Confidence Factors'!$B$6:$D$9,3)</f>
        <v>0.55000000000000004</v>
      </c>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10"/>
    </row>
    <row r="365" spans="1:42">
      <c r="B365" s="7" t="s">
        <v>30</v>
      </c>
      <c r="C365" s="128">
        <f>SUM(D365:AN365)</f>
        <v>17857125</v>
      </c>
      <c r="D365" s="177">
        <v>0</v>
      </c>
      <c r="E365" s="19">
        <v>0</v>
      </c>
      <c r="F365" s="19">
        <v>0</v>
      </c>
      <c r="G365" s="19">
        <v>0</v>
      </c>
      <c r="H365" s="19">
        <v>0</v>
      </c>
      <c r="I365" s="19">
        <f>'G3 Waste Reduced Gate Fees CV'!H$75*'G3 Waste Reduced Gate Fees CV'!$D75*'Calcs - Scen 1'!$D364</f>
        <v>824175.00000000012</v>
      </c>
      <c r="J365" s="19">
        <f>'G3 Waste Reduced Gate Fees CV'!I$75*'G3 Waste Reduced Gate Fees CV'!$D75*'Calcs - Scen 1'!$D364</f>
        <v>1098900</v>
      </c>
      <c r="K365" s="19">
        <f>'G3 Waste Reduced Gate Fees CV'!J$75*'G3 Waste Reduced Gate Fees CV'!$D75*'Calcs - Scen 1'!$D364</f>
        <v>2051280.0000000002</v>
      </c>
      <c r="L365" s="19">
        <f>'G3 Waste Reduced Gate Fees CV'!K$75*'G3 Waste Reduced Gate Fees CV'!$D75*'Calcs - Scen 1'!$D364</f>
        <v>1996335.0000000002</v>
      </c>
      <c r="M365" s="19">
        <f>'G3 Waste Reduced Gate Fees CV'!L$75*'G3 Waste Reduced Gate Fees CV'!$D75*'Calcs - Scen 1'!$D364</f>
        <v>1941390.0000000002</v>
      </c>
      <c r="N365" s="19">
        <f>'G3 Waste Reduced Gate Fees CV'!M$75*'G3 Waste Reduced Gate Fees CV'!$D75*'Calcs - Scen 1'!$D364</f>
        <v>1886445.0000000002</v>
      </c>
      <c r="O365" s="19">
        <f>'G3 Waste Reduced Gate Fees CV'!N$75*'G3 Waste Reduced Gate Fees CV'!$D75*'Calcs - Scen 1'!$D364</f>
        <v>1794870.0000000002</v>
      </c>
      <c r="P365" s="19">
        <f>'G3 Waste Reduced Gate Fees CV'!O$75*'G3 Waste Reduced Gate Fees CV'!$D75*'Calcs - Scen 1'!$D364</f>
        <v>1703295.0000000002</v>
      </c>
      <c r="Q365" s="19">
        <f>'G3 Waste Reduced Gate Fees CV'!P$75*'G3 Waste Reduced Gate Fees CV'!$D75*'Calcs - Scen 1'!$D364</f>
        <v>1611720.0000000002</v>
      </c>
      <c r="R365" s="19">
        <f>'G3 Waste Reduced Gate Fees CV'!Q$75*'G3 Waste Reduced Gate Fees CV'!$D75*'Calcs - Scen 1'!$D364</f>
        <v>1520145.0000000002</v>
      </c>
      <c r="S365" s="19">
        <f>'G3 Waste Reduced Gate Fees CV'!R$75*'G3 Waste Reduced Gate Fees CV'!$D75*'Calcs - Scen 1'!$D364</f>
        <v>1428570</v>
      </c>
      <c r="T365" s="19">
        <f>'G3 Waste Reduced Gate Fees CV'!S$75*'G3 Waste Reduced Gate Fees CV'!$D75*'Calcs - Scen 1'!$D364</f>
        <v>0</v>
      </c>
      <c r="U365" s="19">
        <v>0</v>
      </c>
      <c r="V365" s="19">
        <f>'G3 Waste Reduced Gate Fees CV'!U$75*'G3 Waste Reduced Gate Fees CV'!$D75*'Calcs - Scen 1'!$D364</f>
        <v>0</v>
      </c>
      <c r="W365" s="19">
        <f>'G3 Waste Reduced Gate Fees CV'!V$75*'G3 Waste Reduced Gate Fees CV'!$D75*'Calcs - Scen 1'!$D364</f>
        <v>0</v>
      </c>
      <c r="X365" s="19">
        <f>'G3 Waste Reduced Gate Fees CV'!W$75*'G3 Waste Reduced Gate Fees CV'!$D75*'Calcs - Scen 1'!$D364</f>
        <v>0</v>
      </c>
      <c r="Y365" s="19">
        <f>'G3 Waste Reduced Gate Fees CV'!X$75*'G3 Waste Reduced Gate Fees CV'!$D75*'Calcs - Scen 1'!$D364</f>
        <v>0</v>
      </c>
      <c r="Z365" s="19">
        <f>'G3 Waste Reduced Gate Fees CV'!Y$75*'G3 Waste Reduced Gate Fees CV'!$D75*'Calcs - Scen 1'!$D364</f>
        <v>0</v>
      </c>
      <c r="AA365" s="19">
        <f>'G3 Waste Reduced Gate Fees CV'!Z$75*'G3 Waste Reduced Gate Fees CV'!$D75*'Calcs - Scen 1'!$D364</f>
        <v>0</v>
      </c>
      <c r="AB365" s="19">
        <f>'G3 Waste Reduced Gate Fees CV'!AA$75*'G3 Waste Reduced Gate Fees CV'!$D75*'Calcs - Scen 1'!$D364</f>
        <v>0</v>
      </c>
      <c r="AC365" s="19">
        <f>'G3 Waste Reduced Gate Fees CV'!AB$75*'G3 Waste Reduced Gate Fees CV'!$D75*'Calcs - Scen 1'!$D364</f>
        <v>0</v>
      </c>
      <c r="AD365" s="19">
        <f>'G3 Waste Reduced Gate Fees CV'!AC$75*'G3 Waste Reduced Gate Fees CV'!$D75*'Calcs - Scen 1'!$D364</f>
        <v>0</v>
      </c>
      <c r="AE365" s="19">
        <f>'G3 Waste Reduced Gate Fees CV'!AD$75*'G3 Waste Reduced Gate Fees CV'!$D75*'Calcs - Scen 1'!$D364</f>
        <v>0</v>
      </c>
      <c r="AF365" s="19">
        <f>'G3 Waste Reduced Gate Fees CV'!AE$75*'G3 Waste Reduced Gate Fees CV'!$D75*'Calcs - Scen 1'!$D364</f>
        <v>0</v>
      </c>
      <c r="AG365" s="19">
        <f>'G3 Waste Reduced Gate Fees CV'!AF$75*'G3 Waste Reduced Gate Fees CV'!$D75*'Calcs - Scen 1'!$D364</f>
        <v>0</v>
      </c>
      <c r="AH365" s="19">
        <f>'G3 Waste Reduced Gate Fees CV'!AG$75*'G3 Waste Reduced Gate Fees CV'!$D75*'Calcs - Scen 1'!$D364</f>
        <v>0</v>
      </c>
      <c r="AI365" s="19">
        <f>'G3 Waste Reduced Gate Fees CV'!AH$75*'G3 Waste Reduced Gate Fees CV'!$D75*'Calcs - Scen 1'!$D364</f>
        <v>0</v>
      </c>
      <c r="AJ365" s="19">
        <f>'G3 Waste Reduced Gate Fees CV'!AI$75*'G3 Waste Reduced Gate Fees CV'!$D75*'Calcs - Scen 1'!$D364</f>
        <v>0</v>
      </c>
      <c r="AK365" s="19">
        <f>'G3 Waste Reduced Gate Fees CV'!AJ$75*'G3 Waste Reduced Gate Fees CV'!$D75*'Calcs - Scen 1'!$D364</f>
        <v>0</v>
      </c>
      <c r="AL365" s="19">
        <f>'G3 Waste Reduced Gate Fees CV'!AK$75*'G3 Waste Reduced Gate Fees CV'!$D75*'Calcs - Scen 1'!$D364</f>
        <v>0</v>
      </c>
      <c r="AM365" s="19">
        <f>'G3 Waste Reduced Gate Fees CV'!AL$75*'G3 Waste Reduced Gate Fees CV'!$D75*'Calcs - Scen 1'!$D364</f>
        <v>0</v>
      </c>
      <c r="AN365" s="19">
        <f>'G3 Waste Reduced Gate Fees CV'!AM$75*'G3 Waste Reduced Gate Fees CV'!$D75*'Calcs - Scen 1'!$D364</f>
        <v>0</v>
      </c>
      <c r="AO365" s="19">
        <f>'G3 Waste Reduced Gate Fees CV'!AN$75*'G3 Waste Reduced Gate Fees CV'!$D75*'Calcs - Scen 1'!$D364</f>
        <v>0</v>
      </c>
      <c r="AP365" s="19">
        <f>'G3 Waste Reduced Gate Fees CV'!AO$75*'G3 Waste Reduced Gate Fees CV'!$D75*'Calcs - Scen 1'!$D364</f>
        <v>0</v>
      </c>
    </row>
    <row r="366" spans="1:42">
      <c r="B366" s="7" t="s">
        <v>31</v>
      </c>
      <c r="C366" s="129">
        <f>NPV($C$7,F365:AO365)+D365+E365</f>
        <v>13099963.858530808</v>
      </c>
      <c r="D366" s="7"/>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10"/>
    </row>
    <row r="367" spans="1:42">
      <c r="B367" s="7" t="s">
        <v>4</v>
      </c>
      <c r="C367" s="130" t="str">
        <f>IF(SUM(D367:AN367)&gt;1,"CHECK"," ")</f>
        <v xml:space="preserve"> </v>
      </c>
      <c r="D367" s="178">
        <v>0</v>
      </c>
      <c r="E367" s="15">
        <f>1/3</f>
        <v>0.33333333333333331</v>
      </c>
      <c r="F367" s="15">
        <f t="shared" ref="F367:G367" si="82">1/3</f>
        <v>0.33333333333333331</v>
      </c>
      <c r="G367" s="15">
        <f t="shared" si="82"/>
        <v>0.33333333333333331</v>
      </c>
      <c r="H367" s="15"/>
      <c r="I367" s="15"/>
      <c r="J367" s="15"/>
      <c r="K367" s="15"/>
      <c r="L367" s="15"/>
      <c r="M367" s="15"/>
      <c r="N367" s="15"/>
      <c r="O367" s="15"/>
      <c r="P367" s="15"/>
      <c r="Q367" s="15"/>
      <c r="R367" s="15"/>
      <c r="S367" s="15"/>
      <c r="T367" s="125"/>
      <c r="U367" s="15"/>
      <c r="V367" s="15"/>
      <c r="W367" s="15"/>
      <c r="X367" s="15"/>
      <c r="Y367" s="15"/>
      <c r="Z367" s="15"/>
      <c r="AA367" s="15"/>
      <c r="AB367" s="15"/>
      <c r="AC367" s="15"/>
      <c r="AD367" s="15"/>
      <c r="AE367" s="15"/>
      <c r="AF367" s="15"/>
      <c r="AG367" s="15"/>
      <c r="AH367" s="15"/>
      <c r="AI367" s="15"/>
      <c r="AJ367" s="15"/>
      <c r="AK367" s="15"/>
      <c r="AL367" s="15"/>
      <c r="AM367" s="15"/>
      <c r="AN367" s="146"/>
      <c r="AO367" s="146"/>
      <c r="AP367" s="16"/>
    </row>
    <row r="368" spans="1:42" ht="15.75" thickBot="1">
      <c r="B368" s="11" t="s">
        <v>32</v>
      </c>
      <c r="C368" s="51"/>
      <c r="D368" s="179">
        <f>IF(D367&gt;0,(D367*$C366),0)</f>
        <v>0</v>
      </c>
      <c r="E368" s="20">
        <f t="shared" ref="E368:R368" si="83">IF(E367&gt;0,(E367*$C366),0)</f>
        <v>4366654.6195102688</v>
      </c>
      <c r="F368" s="20">
        <f t="shared" si="83"/>
        <v>4366654.6195102688</v>
      </c>
      <c r="G368" s="20">
        <f t="shared" si="83"/>
        <v>4366654.6195102688</v>
      </c>
      <c r="H368" s="20">
        <f t="shared" si="83"/>
        <v>0</v>
      </c>
      <c r="I368" s="20">
        <f t="shared" si="83"/>
        <v>0</v>
      </c>
      <c r="J368" s="20">
        <f t="shared" si="83"/>
        <v>0</v>
      </c>
      <c r="K368" s="20">
        <f t="shared" si="83"/>
        <v>0</v>
      </c>
      <c r="L368" s="20">
        <f t="shared" si="83"/>
        <v>0</v>
      </c>
      <c r="M368" s="20">
        <f t="shared" si="83"/>
        <v>0</v>
      </c>
      <c r="N368" s="20">
        <f t="shared" si="83"/>
        <v>0</v>
      </c>
      <c r="O368" s="20">
        <f t="shared" si="83"/>
        <v>0</v>
      </c>
      <c r="P368" s="20">
        <f t="shared" si="83"/>
        <v>0</v>
      </c>
      <c r="Q368" s="20">
        <f t="shared" si="83"/>
        <v>0</v>
      </c>
      <c r="R368" s="20">
        <f t="shared" si="83"/>
        <v>0</v>
      </c>
      <c r="S368" s="20">
        <f>IF(S367&gt;0,(S367*$C366),0)</f>
        <v>0</v>
      </c>
      <c r="T368" s="126">
        <f t="shared" ref="T368:AN368" si="84">IF(T367&gt;0,(T367*$C366),0)</f>
        <v>0</v>
      </c>
      <c r="U368" s="20">
        <f t="shared" si="84"/>
        <v>0</v>
      </c>
      <c r="V368" s="20">
        <f t="shared" si="84"/>
        <v>0</v>
      </c>
      <c r="W368" s="20">
        <f t="shared" si="84"/>
        <v>0</v>
      </c>
      <c r="X368" s="20">
        <f t="shared" si="84"/>
        <v>0</v>
      </c>
      <c r="Y368" s="20">
        <f t="shared" si="84"/>
        <v>0</v>
      </c>
      <c r="Z368" s="20">
        <f t="shared" si="84"/>
        <v>0</v>
      </c>
      <c r="AA368" s="20">
        <f t="shared" si="84"/>
        <v>0</v>
      </c>
      <c r="AB368" s="20">
        <f t="shared" si="84"/>
        <v>0</v>
      </c>
      <c r="AC368" s="20">
        <f t="shared" si="84"/>
        <v>0</v>
      </c>
      <c r="AD368" s="20">
        <f t="shared" si="84"/>
        <v>0</v>
      </c>
      <c r="AE368" s="20">
        <f t="shared" si="84"/>
        <v>0</v>
      </c>
      <c r="AF368" s="20">
        <f t="shared" si="84"/>
        <v>0</v>
      </c>
      <c r="AG368" s="20">
        <f t="shared" si="84"/>
        <v>0</v>
      </c>
      <c r="AH368" s="20">
        <f t="shared" si="84"/>
        <v>0</v>
      </c>
      <c r="AI368" s="20">
        <f t="shared" si="84"/>
        <v>0</v>
      </c>
      <c r="AJ368" s="20">
        <f t="shared" si="84"/>
        <v>0</v>
      </c>
      <c r="AK368" s="20">
        <f t="shared" si="84"/>
        <v>0</v>
      </c>
      <c r="AL368" s="20">
        <f t="shared" si="84"/>
        <v>0</v>
      </c>
      <c r="AM368" s="20">
        <f t="shared" si="84"/>
        <v>0</v>
      </c>
      <c r="AN368" s="215">
        <f t="shared" si="84"/>
        <v>0</v>
      </c>
      <c r="AO368" s="215">
        <f>IF(AO367&gt;0,(AO367*$C366),0)</f>
        <v>0</v>
      </c>
      <c r="AP368" s="22">
        <f>IF(AP367&gt;0,(AP367*$C366),0)</f>
        <v>0</v>
      </c>
    </row>
    <row r="369" spans="2:42" ht="15.75" thickBot="1">
      <c r="B369" s="7"/>
      <c r="C369" s="10"/>
      <c r="D369" s="7"/>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10"/>
    </row>
    <row r="370" spans="2:42">
      <c r="B370" s="4" t="s">
        <v>12</v>
      </c>
      <c r="C370" s="133" t="str">
        <f>Summary!B66</f>
        <v>G4</v>
      </c>
      <c r="D370" s="156" t="str">
        <f>Summary!C66</f>
        <v>Budget Recast - Initial Benefit Identification</v>
      </c>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6"/>
    </row>
    <row r="371" spans="2:42">
      <c r="B371" s="7" t="s">
        <v>189</v>
      </c>
      <c r="C371" s="134" t="str">
        <f>'G4 Budget Recast Immediate Save'!D47</f>
        <v>C - Good</v>
      </c>
      <c r="D371" s="176">
        <f>VLOOKUP(C371,'Confidence Factors'!$B$6:$D$9,3)</f>
        <v>0.75</v>
      </c>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10"/>
    </row>
    <row r="372" spans="2:42">
      <c r="B372" s="7" t="s">
        <v>30</v>
      </c>
      <c r="C372" s="128">
        <f>SUM(D372:AN372)</f>
        <v>58528125</v>
      </c>
      <c r="D372" s="177">
        <v>0</v>
      </c>
      <c r="E372" s="19">
        <v>0</v>
      </c>
      <c r="F372" s="19">
        <f>'G4 Budget Recast Immediate Save'!I$73*'G4 Budget Recast Immediate Save'!$D75*'Calcs - Scen 1'!$D371</f>
        <v>7406250</v>
      </c>
      <c r="G372" s="19">
        <f>'G4 Budget Recast Immediate Save'!J$73*'G4 Budget Recast Immediate Save'!$D75*'Calcs - Scen 1'!$D371</f>
        <v>7406250</v>
      </c>
      <c r="H372" s="19">
        <f>'G4 Budget Recast Immediate Save'!K$73*'G4 Budget Recast Immediate Save'!$D75*'Calcs - Scen 1'!$D371</f>
        <v>8562375</v>
      </c>
      <c r="I372" s="19">
        <f>'G4 Budget Recast Immediate Save'!L$73*'G4 Budget Recast Immediate Save'!$D75*'Calcs - Scen 1'!$D371</f>
        <v>8562375</v>
      </c>
      <c r="J372" s="19">
        <f>'G4 Budget Recast Immediate Save'!M$73*'G4 Budget Recast Immediate Save'!$D75*'Calcs - Scen 1'!$D371</f>
        <v>1156125</v>
      </c>
      <c r="K372" s="19">
        <f>'G4 Budget Recast Immediate Save'!N$73*'G4 Budget Recast Immediate Save'!$D75*'Calcs - Scen 1'!$D371</f>
        <v>1156125</v>
      </c>
      <c r="L372" s="19">
        <f>'G4 Budget Recast Immediate Save'!O$73*'G4 Budget Recast Immediate Save'!$D75*'Calcs - Scen 1'!$D371</f>
        <v>1156125</v>
      </c>
      <c r="M372" s="19">
        <f>'G4 Budget Recast Immediate Save'!P$73*'G4 Budget Recast Immediate Save'!$D75*'Calcs - Scen 1'!$D371</f>
        <v>1156125</v>
      </c>
      <c r="N372" s="19">
        <f>'G4 Budget Recast Immediate Save'!Q$73*'G4 Budget Recast Immediate Save'!$D75*'Calcs - Scen 1'!$D371</f>
        <v>1156125</v>
      </c>
      <c r="O372" s="19">
        <f>'G4 Budget Recast Immediate Save'!R$73*'G4 Budget Recast Immediate Save'!$D75*'Calcs - Scen 1'!$D371</f>
        <v>1156125</v>
      </c>
      <c r="P372" s="19">
        <f>'G4 Budget Recast Immediate Save'!S$73*'G4 Budget Recast Immediate Save'!$D75*'Calcs - Scen 1'!$D371</f>
        <v>1156125</v>
      </c>
      <c r="Q372" s="19">
        <f>'G4 Budget Recast Immediate Save'!T$73*'G4 Budget Recast Immediate Save'!$D75*'Calcs - Scen 1'!$D371</f>
        <v>1156125</v>
      </c>
      <c r="R372" s="19">
        <f>'G4 Budget Recast Immediate Save'!U$73*'G4 Budget Recast Immediate Save'!$D75*'Calcs - Scen 1'!$D371</f>
        <v>1156125</v>
      </c>
      <c r="S372" s="19">
        <f>'G4 Budget Recast Immediate Save'!V$73*'G4 Budget Recast Immediate Save'!$D75*'Calcs - Scen 1'!$D371</f>
        <v>1156125</v>
      </c>
      <c r="T372" s="19">
        <f>'G4 Budget Recast Immediate Save'!W$73*'G4 Budget Recast Immediate Save'!$D75*'Calcs - Scen 1'!$D371</f>
        <v>1156125</v>
      </c>
      <c r="U372" s="19">
        <f>'G4 Budget Recast Immediate Save'!X$73*'G4 Budget Recast Immediate Save'!$D75*'Calcs - Scen 1'!$D371</f>
        <v>1156125</v>
      </c>
      <c r="V372" s="19">
        <f>'G4 Budget Recast Immediate Save'!Y$73*'G4 Budget Recast Immediate Save'!$D75*'Calcs - Scen 1'!$D371</f>
        <v>1156125</v>
      </c>
      <c r="W372" s="19">
        <f>'G4 Budget Recast Immediate Save'!Z$73*'G4 Budget Recast Immediate Save'!$D75*'Calcs - Scen 1'!$D371</f>
        <v>1156125</v>
      </c>
      <c r="X372" s="19">
        <f>'G4 Budget Recast Immediate Save'!AA$73*'G4 Budget Recast Immediate Save'!$D75*'Calcs - Scen 1'!$D371</f>
        <v>1156125</v>
      </c>
      <c r="Y372" s="19">
        <f>'G4 Budget Recast Immediate Save'!AB$73*'G4 Budget Recast Immediate Save'!$D75*'Calcs - Scen 1'!$D371</f>
        <v>1156125</v>
      </c>
      <c r="Z372" s="19">
        <f>'G4 Budget Recast Immediate Save'!AC$73*'G4 Budget Recast Immediate Save'!$D75*'Calcs - Scen 1'!$D371</f>
        <v>1156125</v>
      </c>
      <c r="AA372" s="19">
        <f>'G4 Budget Recast Immediate Save'!AD$73*'G4 Budget Recast Immediate Save'!$D75*'Calcs - Scen 1'!$D371</f>
        <v>1156125</v>
      </c>
      <c r="AB372" s="19">
        <f>'G4 Budget Recast Immediate Save'!AE$73*'G4 Budget Recast Immediate Save'!$D75*'Calcs - Scen 1'!$D371</f>
        <v>1156125</v>
      </c>
      <c r="AC372" s="19">
        <f>'G4 Budget Recast Immediate Save'!AF$73*'G4 Budget Recast Immediate Save'!$D75*'Calcs - Scen 1'!$D371</f>
        <v>1156125</v>
      </c>
      <c r="AD372" s="19">
        <f>'G4 Budget Recast Immediate Save'!AG$73*'G4 Budget Recast Immediate Save'!$D75*'Calcs - Scen 1'!$D371</f>
        <v>1156125</v>
      </c>
      <c r="AE372" s="19">
        <f>'G4 Budget Recast Immediate Save'!AH$73*'G4 Budget Recast Immediate Save'!$D75*'Calcs - Scen 1'!$D371</f>
        <v>1156125</v>
      </c>
      <c r="AF372" s="19">
        <f>'G4 Budget Recast Immediate Save'!AI$73*'G4 Budget Recast Immediate Save'!$D75*'Calcs - Scen 1'!$D371</f>
        <v>1156125</v>
      </c>
      <c r="AG372" s="19">
        <f>'G4 Budget Recast Immediate Save'!AJ$73*'G4 Budget Recast Immediate Save'!$D75*'Calcs - Scen 1'!$D371</f>
        <v>0</v>
      </c>
      <c r="AH372" s="19">
        <f>'G4 Budget Recast Immediate Save'!AK$73*'G4 Budget Recast Immediate Save'!$D75*'Calcs - Scen 1'!$D371</f>
        <v>0</v>
      </c>
      <c r="AI372" s="19">
        <f>'G4 Budget Recast Immediate Save'!AL$73*'G4 Budget Recast Immediate Save'!$D75*'Calcs - Scen 1'!$D371</f>
        <v>0</v>
      </c>
      <c r="AJ372" s="19">
        <f>'G4 Budget Recast Immediate Save'!AM$73*'G4 Budget Recast Immediate Save'!$D75*'Calcs - Scen 1'!$D371</f>
        <v>0</v>
      </c>
      <c r="AK372" s="19">
        <f>'G4 Budget Recast Immediate Save'!AN$73*'G4 Budget Recast Immediate Save'!$D75*'Calcs - Scen 1'!$D371</f>
        <v>0</v>
      </c>
      <c r="AL372" s="19">
        <f>'G4 Budget Recast Immediate Save'!AO$73*'G4 Budget Recast Immediate Save'!$D75*'Calcs - Scen 1'!$D371</f>
        <v>0</v>
      </c>
      <c r="AM372" s="19">
        <f>'G4 Budget Recast Immediate Save'!AP$73*'G4 Budget Recast Immediate Save'!$D75*'Calcs - Scen 1'!$D371</f>
        <v>0</v>
      </c>
      <c r="AN372" s="19">
        <f>'G4 Budget Recast Immediate Save'!AQ$73*'G4 Budget Recast Immediate Save'!$D75*'Calcs - Scen 1'!$D371</f>
        <v>0</v>
      </c>
      <c r="AO372" s="19">
        <f>'G4 Budget Recast Immediate Save'!AR$73*'G4 Budget Recast Immediate Save'!$D75*'Calcs - Scen 1'!$D371</f>
        <v>0</v>
      </c>
      <c r="AP372" s="19">
        <f>'G4 Budget Recast Immediate Save'!AS$73*'G4 Budget Recast Immediate Save'!$D75*'Calcs - Scen 1'!$D371</f>
        <v>0</v>
      </c>
    </row>
    <row r="373" spans="2:42">
      <c r="B373" s="7" t="s">
        <v>31</v>
      </c>
      <c r="C373" s="129">
        <f>NPV($C$7,F372:AO372)+D372+E372</f>
        <v>44991500.883609608</v>
      </c>
      <c r="D373" s="7"/>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10"/>
    </row>
    <row r="374" spans="2:42">
      <c r="B374" s="7" t="s">
        <v>4</v>
      </c>
      <c r="C374" s="130" t="str">
        <f>IF(SUM(D374:AN374)&gt;1,"CHECK"," ")</f>
        <v xml:space="preserve"> </v>
      </c>
      <c r="D374" s="178">
        <v>0</v>
      </c>
      <c r="E374" s="15">
        <v>0.9</v>
      </c>
      <c r="F374" s="15">
        <v>0.1</v>
      </c>
      <c r="G374" s="15"/>
      <c r="H374" s="15"/>
      <c r="I374" s="15"/>
      <c r="J374" s="15"/>
      <c r="K374" s="15"/>
      <c r="L374" s="15"/>
      <c r="M374" s="15"/>
      <c r="N374" s="15"/>
      <c r="O374" s="15"/>
      <c r="P374" s="15"/>
      <c r="Q374" s="15"/>
      <c r="R374" s="15"/>
      <c r="S374" s="15"/>
      <c r="T374" s="125"/>
      <c r="U374" s="15"/>
      <c r="V374" s="15"/>
      <c r="W374" s="15"/>
      <c r="X374" s="15"/>
      <c r="Y374" s="15"/>
      <c r="Z374" s="15"/>
      <c r="AA374" s="15"/>
      <c r="AB374" s="15"/>
      <c r="AC374" s="15"/>
      <c r="AD374" s="15"/>
      <c r="AE374" s="15"/>
      <c r="AF374" s="15"/>
      <c r="AG374" s="15"/>
      <c r="AH374" s="15"/>
      <c r="AI374" s="15"/>
      <c r="AJ374" s="15"/>
      <c r="AK374" s="15"/>
      <c r="AL374" s="15"/>
      <c r="AM374" s="15"/>
      <c r="AN374" s="146"/>
      <c r="AO374" s="146"/>
      <c r="AP374" s="16"/>
    </row>
    <row r="375" spans="2:42" ht="15.75" thickBot="1">
      <c r="B375" s="11" t="s">
        <v>32</v>
      </c>
      <c r="C375" s="51"/>
      <c r="D375" s="179">
        <f>IF(D374&gt;0,(D374*$C373),0)</f>
        <v>0</v>
      </c>
      <c r="E375" s="20">
        <f t="shared" ref="E375:R375" si="85">IF(E374&gt;0,(E374*$C373),0)</f>
        <v>40492350.79524865</v>
      </c>
      <c r="F375" s="20">
        <f t="shared" si="85"/>
        <v>4499150.0883609606</v>
      </c>
      <c r="G375" s="20">
        <f t="shared" si="85"/>
        <v>0</v>
      </c>
      <c r="H375" s="20">
        <f t="shared" si="85"/>
        <v>0</v>
      </c>
      <c r="I375" s="20">
        <f t="shared" si="85"/>
        <v>0</v>
      </c>
      <c r="J375" s="20">
        <f t="shared" si="85"/>
        <v>0</v>
      </c>
      <c r="K375" s="20">
        <f t="shared" si="85"/>
        <v>0</v>
      </c>
      <c r="L375" s="20">
        <f t="shared" si="85"/>
        <v>0</v>
      </c>
      <c r="M375" s="20">
        <f t="shared" si="85"/>
        <v>0</v>
      </c>
      <c r="N375" s="20">
        <f t="shared" si="85"/>
        <v>0</v>
      </c>
      <c r="O375" s="20">
        <f t="shared" si="85"/>
        <v>0</v>
      </c>
      <c r="P375" s="20">
        <f t="shared" si="85"/>
        <v>0</v>
      </c>
      <c r="Q375" s="20">
        <f t="shared" si="85"/>
        <v>0</v>
      </c>
      <c r="R375" s="20">
        <f t="shared" si="85"/>
        <v>0</v>
      </c>
      <c r="S375" s="20">
        <f>IF(S374&gt;0,(S374*$C373),0)</f>
        <v>0</v>
      </c>
      <c r="T375" s="126">
        <f t="shared" ref="T375:AN375" si="86">IF(T374&gt;0,(T374*$C373),0)</f>
        <v>0</v>
      </c>
      <c r="U375" s="20">
        <f t="shared" si="86"/>
        <v>0</v>
      </c>
      <c r="V375" s="20">
        <f t="shared" si="86"/>
        <v>0</v>
      </c>
      <c r="W375" s="20">
        <f t="shared" si="86"/>
        <v>0</v>
      </c>
      <c r="X375" s="20">
        <f t="shared" si="86"/>
        <v>0</v>
      </c>
      <c r="Y375" s="20">
        <f t="shared" si="86"/>
        <v>0</v>
      </c>
      <c r="Z375" s="20">
        <f t="shared" si="86"/>
        <v>0</v>
      </c>
      <c r="AA375" s="20">
        <f t="shared" si="86"/>
        <v>0</v>
      </c>
      <c r="AB375" s="20">
        <f t="shared" si="86"/>
        <v>0</v>
      </c>
      <c r="AC375" s="20">
        <f t="shared" si="86"/>
        <v>0</v>
      </c>
      <c r="AD375" s="20">
        <f t="shared" si="86"/>
        <v>0</v>
      </c>
      <c r="AE375" s="20">
        <f t="shared" si="86"/>
        <v>0</v>
      </c>
      <c r="AF375" s="20">
        <f t="shared" si="86"/>
        <v>0</v>
      </c>
      <c r="AG375" s="20">
        <f t="shared" si="86"/>
        <v>0</v>
      </c>
      <c r="AH375" s="20">
        <f t="shared" si="86"/>
        <v>0</v>
      </c>
      <c r="AI375" s="20">
        <f t="shared" si="86"/>
        <v>0</v>
      </c>
      <c r="AJ375" s="20">
        <f t="shared" si="86"/>
        <v>0</v>
      </c>
      <c r="AK375" s="20">
        <f t="shared" si="86"/>
        <v>0</v>
      </c>
      <c r="AL375" s="20">
        <f t="shared" si="86"/>
        <v>0</v>
      </c>
      <c r="AM375" s="20">
        <f t="shared" si="86"/>
        <v>0</v>
      </c>
      <c r="AN375" s="215">
        <f t="shared" si="86"/>
        <v>0</v>
      </c>
      <c r="AO375" s="215">
        <f>IF(AO374&gt;0,(AO374*$C373),0)</f>
        <v>0</v>
      </c>
      <c r="AP375" s="22">
        <f>IF(AP374&gt;0,(AP374*$C373),0)</f>
        <v>0</v>
      </c>
    </row>
    <row r="376" spans="2:42" ht="15.75" thickBot="1">
      <c r="B376" s="221"/>
      <c r="C376" s="222"/>
      <c r="D376" s="221"/>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222"/>
    </row>
    <row r="377" spans="2:42">
      <c r="B377" s="4" t="s">
        <v>12</v>
      </c>
      <c r="C377" s="133" t="str">
        <f>Summary!B67</f>
        <v>G5</v>
      </c>
      <c r="D377" s="156" t="str">
        <f>Summary!C67</f>
        <v xml:space="preserve">Asset Management </v>
      </c>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6"/>
    </row>
    <row r="378" spans="2:42">
      <c r="B378" s="7" t="s">
        <v>189</v>
      </c>
      <c r="C378" s="134" t="str">
        <f>'G5 Asset Mgt'!D47</f>
        <v>D - Moderate</v>
      </c>
      <c r="D378" s="176">
        <f>VLOOKUP(C378,'Confidence Factors'!$B$6:$D$9,3)</f>
        <v>0.55000000000000004</v>
      </c>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10"/>
    </row>
    <row r="379" spans="2:42">
      <c r="B379" s="7" t="s">
        <v>30</v>
      </c>
      <c r="C379" s="128">
        <f>SUM(D379:AN379)</f>
        <v>373725000</v>
      </c>
      <c r="D379" s="177">
        <v>0</v>
      </c>
      <c r="E379" s="19">
        <v>0</v>
      </c>
      <c r="F379" s="19">
        <f>'G5 Asset Mgt'!J$103*'G5 Asset Mgt'!$D75*'Calcs - Scen 1'!$D378</f>
        <v>2062500.0000000002</v>
      </c>
      <c r="G379" s="19">
        <f>'G5 Asset Mgt'!K$103*'G5 Asset Mgt'!$D75*'Calcs - Scen 1'!$D378</f>
        <v>4812500</v>
      </c>
      <c r="H379" s="19">
        <f>'G5 Asset Mgt'!L$103*'G5 Asset Mgt'!$D75*'Calcs - Scen 1'!$D378</f>
        <v>10312500</v>
      </c>
      <c r="I379" s="19">
        <f>'G5 Asset Mgt'!M$103*'G5 Asset Mgt'!$D75*'Calcs - Scen 1'!$D378</f>
        <v>19662500</v>
      </c>
      <c r="J379" s="19">
        <f>'G5 Asset Mgt'!N$103*'G5 Asset Mgt'!$D75*'Calcs - Scen 1'!$D378</f>
        <v>31075000.000000004</v>
      </c>
      <c r="K379" s="19">
        <f>'G5 Asset Mgt'!O$103*'G5 Asset Mgt'!$D75*'Calcs - Scen 1'!$D378</f>
        <v>30937500.000000004</v>
      </c>
      <c r="L379" s="19">
        <f>'G5 Asset Mgt'!P$103*'G5 Asset Mgt'!$D75*'Calcs - Scen 1'!$D378</f>
        <v>30387500.000000004</v>
      </c>
      <c r="M379" s="19">
        <f>'G5 Asset Mgt'!Q$103*'G5 Asset Mgt'!$D75*'Calcs - Scen 1'!$D378</f>
        <v>26262500.000000004</v>
      </c>
      <c r="N379" s="19">
        <f>'G5 Asset Mgt'!R$103*'G5 Asset Mgt'!$D75*'Calcs - Scen 1'!$D378</f>
        <v>18012500</v>
      </c>
      <c r="O379" s="19">
        <f>'G5 Asset Mgt'!S$103*'G5 Asset Mgt'!$D75*'Calcs - Scen 1'!$D378</f>
        <v>7700000.0000000009</v>
      </c>
      <c r="P379" s="19">
        <f>'G5 Asset Mgt'!T$103*'G5 Asset Mgt'!$D75*'Calcs - Scen 1'!$D378</f>
        <v>7700000.0000000009</v>
      </c>
      <c r="Q379" s="19">
        <f>'G5 Asset Mgt'!U$103*'G5 Asset Mgt'!$D75*'Calcs - Scen 1'!$D378</f>
        <v>7700000.0000000009</v>
      </c>
      <c r="R379" s="19">
        <f>'G5 Asset Mgt'!V$103*'G5 Asset Mgt'!$D75*'Calcs - Scen 1'!$D378</f>
        <v>7700000.0000000009</v>
      </c>
      <c r="S379" s="19">
        <f>'G5 Asset Mgt'!W$103*'G5 Asset Mgt'!$D75*'Calcs - Scen 1'!$D378</f>
        <v>7700000.0000000009</v>
      </c>
      <c r="T379" s="19">
        <f>'G5 Asset Mgt'!X$103*'G5 Asset Mgt'!$D75*'Calcs - Scen 1'!$D378</f>
        <v>7700000.0000000009</v>
      </c>
      <c r="U379" s="19">
        <f>'G5 Asset Mgt'!Y$103*'G5 Asset Mgt'!$D75*'Calcs - Scen 1'!$D378</f>
        <v>7700000.0000000009</v>
      </c>
      <c r="V379" s="19">
        <f>'G5 Asset Mgt'!Z$103*'G5 Asset Mgt'!$D75*'Calcs - Scen 1'!$D378</f>
        <v>7700000.0000000009</v>
      </c>
      <c r="W379" s="19">
        <f>'G5 Asset Mgt'!AA$103*'G5 Asset Mgt'!$D75*'Calcs - Scen 1'!$D378</f>
        <v>7700000.0000000009</v>
      </c>
      <c r="X379" s="19">
        <f>'G5 Asset Mgt'!AB$103*'G5 Asset Mgt'!$D75*'Calcs - Scen 1'!$D378</f>
        <v>7700000.0000000009</v>
      </c>
      <c r="Y379" s="19">
        <f>'G5 Asset Mgt'!AC$103*'G5 Asset Mgt'!$D75*'Calcs - Scen 1'!$D378</f>
        <v>7700000.0000000009</v>
      </c>
      <c r="Z379" s="19">
        <f>'G5 Asset Mgt'!AD$103*'G5 Asset Mgt'!$D75*'Calcs - Scen 1'!$D378</f>
        <v>7700000.0000000009</v>
      </c>
      <c r="AA379" s="19">
        <f>'G5 Asset Mgt'!AE$103*'G5 Asset Mgt'!$D75*'Calcs - Scen 1'!$D378</f>
        <v>7700000.0000000009</v>
      </c>
      <c r="AB379" s="19">
        <f>'G5 Asset Mgt'!AF$103*'G5 Asset Mgt'!$D75*'Calcs - Scen 1'!$D378</f>
        <v>7700000.0000000009</v>
      </c>
      <c r="AC379" s="19">
        <f>'G5 Asset Mgt'!AG$103*'G5 Asset Mgt'!$D75*'Calcs - Scen 1'!$D378</f>
        <v>7700000.0000000009</v>
      </c>
      <c r="AD379" s="19">
        <f>'G5 Asset Mgt'!AH$103*'G5 Asset Mgt'!$D75*'Calcs - Scen 1'!$D378</f>
        <v>7700000.0000000009</v>
      </c>
      <c r="AE379" s="19">
        <f>'G5 Asset Mgt'!AI$103*'G5 Asset Mgt'!$D75*'Calcs - Scen 1'!$D378</f>
        <v>7700000.0000000009</v>
      </c>
      <c r="AF379" s="19">
        <f>'G5 Asset Mgt'!AJ$103*'G5 Asset Mgt'!$D75*'Calcs - Scen 1'!$D378</f>
        <v>7700000.0000000009</v>
      </c>
      <c r="AG379" s="19">
        <f>'G5 Asset Mgt'!AK$103*'G5 Asset Mgt'!$D75*'Calcs - Scen 1'!$D378</f>
        <v>7700000.0000000009</v>
      </c>
      <c r="AH379" s="19">
        <f>'G5 Asset Mgt'!AL$103*'G5 Asset Mgt'!$D75*'Calcs - Scen 1'!$D378</f>
        <v>7700000.0000000009</v>
      </c>
      <c r="AI379" s="19">
        <f>'G5 Asset Mgt'!AM$103*'G5 Asset Mgt'!$D75*'Calcs - Scen 1'!$D378</f>
        <v>7700000.0000000009</v>
      </c>
      <c r="AJ379" s="19">
        <f>'G5 Asset Mgt'!AN$103*'G5 Asset Mgt'!$D75*'Calcs - Scen 1'!$D378</f>
        <v>7700000.0000000009</v>
      </c>
      <c r="AK379" s="19">
        <f>'G5 Asset Mgt'!AO$103*'G5 Asset Mgt'!$D75*'Calcs - Scen 1'!$D378</f>
        <v>7700000.0000000009</v>
      </c>
      <c r="AL379" s="19">
        <f>'G5 Asset Mgt'!AP$103*'G5 Asset Mgt'!$D75*'Calcs - Scen 1'!$D378</f>
        <v>7700000.0000000009</v>
      </c>
      <c r="AM379" s="19">
        <f>'G5 Asset Mgt'!AQ$103*'G5 Asset Mgt'!$D75*'Calcs - Scen 1'!$D378</f>
        <v>7700000.0000000009</v>
      </c>
      <c r="AN379" s="19">
        <f>'G5 Asset Mgt'!AR$103*'G5 Asset Mgt'!$D75*'Calcs - Scen 1'!$D378</f>
        <v>7700000.0000000009</v>
      </c>
      <c r="AO379" s="19">
        <f>'G5 Asset Mgt'!AS$103*'G5 Asset Mgt'!$D75*'Calcs - Scen 1'!$D378</f>
        <v>7700000.0000000009</v>
      </c>
      <c r="AP379" s="19">
        <v>0</v>
      </c>
    </row>
    <row r="380" spans="2:42">
      <c r="B380" s="7" t="s">
        <v>31</v>
      </c>
      <c r="C380" s="129">
        <f>NPV($C$7,F379:AO379)+D379+E379</f>
        <v>238955574.85047436</v>
      </c>
      <c r="D380" s="7"/>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10"/>
    </row>
    <row r="381" spans="2:42">
      <c r="B381" s="7" t="s">
        <v>4</v>
      </c>
      <c r="C381" s="130" t="str">
        <f>IF(SUM(D381:AN381)&gt;1,"CHECK"," ")</f>
        <v xml:space="preserve"> </v>
      </c>
      <c r="D381" s="178">
        <v>0</v>
      </c>
      <c r="E381" s="15">
        <v>0.05</v>
      </c>
      <c r="F381" s="15">
        <v>0.35</v>
      </c>
      <c r="G381" s="15">
        <v>0.3</v>
      </c>
      <c r="H381" s="15">
        <v>0.1</v>
      </c>
      <c r="I381" s="15">
        <v>0.1</v>
      </c>
      <c r="J381" s="15">
        <v>0.1</v>
      </c>
      <c r="K381" s="15"/>
      <c r="L381" s="15"/>
      <c r="M381" s="15"/>
      <c r="N381" s="15"/>
      <c r="O381" s="15"/>
      <c r="P381" s="15"/>
      <c r="Q381" s="15"/>
      <c r="R381" s="15"/>
      <c r="S381" s="15"/>
      <c r="T381" s="125"/>
      <c r="U381" s="15"/>
      <c r="V381" s="15"/>
      <c r="W381" s="15"/>
      <c r="X381" s="15"/>
      <c r="Y381" s="15"/>
      <c r="Z381" s="15"/>
      <c r="AA381" s="15"/>
      <c r="AB381" s="15"/>
      <c r="AC381" s="15"/>
      <c r="AD381" s="15"/>
      <c r="AE381" s="15"/>
      <c r="AF381" s="15"/>
      <c r="AG381" s="15"/>
      <c r="AH381" s="15"/>
      <c r="AI381" s="15"/>
      <c r="AJ381" s="15"/>
      <c r="AK381" s="15"/>
      <c r="AL381" s="15"/>
      <c r="AM381" s="15"/>
      <c r="AN381" s="146"/>
      <c r="AO381" s="146"/>
      <c r="AP381" s="16"/>
    </row>
    <row r="382" spans="2:42" ht="15.75" thickBot="1">
      <c r="B382" s="11" t="s">
        <v>32</v>
      </c>
      <c r="C382" s="51"/>
      <c r="D382" s="179">
        <f>IF(D381&gt;0,(D381*$C380),0)</f>
        <v>0</v>
      </c>
      <c r="E382" s="20">
        <f t="shared" ref="E382:R382" si="87">IF(E381&gt;0,(E381*$C380),0)</f>
        <v>11947778.742523719</v>
      </c>
      <c r="F382" s="20">
        <f t="shared" si="87"/>
        <v>83634451.197666019</v>
      </c>
      <c r="G382" s="20">
        <f t="shared" si="87"/>
        <v>71686672.455142304</v>
      </c>
      <c r="H382" s="20">
        <f t="shared" si="87"/>
        <v>23895557.485047437</v>
      </c>
      <c r="I382" s="20">
        <f t="shared" si="87"/>
        <v>23895557.485047437</v>
      </c>
      <c r="J382" s="20">
        <f t="shared" si="87"/>
        <v>23895557.485047437</v>
      </c>
      <c r="K382" s="20">
        <f t="shared" si="87"/>
        <v>0</v>
      </c>
      <c r="L382" s="20">
        <f t="shared" si="87"/>
        <v>0</v>
      </c>
      <c r="M382" s="20">
        <f t="shared" si="87"/>
        <v>0</v>
      </c>
      <c r="N382" s="20">
        <f t="shared" si="87"/>
        <v>0</v>
      </c>
      <c r="O382" s="20">
        <f t="shared" si="87"/>
        <v>0</v>
      </c>
      <c r="P382" s="20">
        <f t="shared" si="87"/>
        <v>0</v>
      </c>
      <c r="Q382" s="20">
        <f t="shared" si="87"/>
        <v>0</v>
      </c>
      <c r="R382" s="20">
        <f t="shared" si="87"/>
        <v>0</v>
      </c>
      <c r="S382" s="20">
        <f>IF(S381&gt;0,(S381*$C380),0)</f>
        <v>0</v>
      </c>
      <c r="T382" s="126">
        <f t="shared" ref="T382:AN382" si="88">IF(T381&gt;0,(T381*$C380),0)</f>
        <v>0</v>
      </c>
      <c r="U382" s="20">
        <f t="shared" si="88"/>
        <v>0</v>
      </c>
      <c r="V382" s="20">
        <f t="shared" si="88"/>
        <v>0</v>
      </c>
      <c r="W382" s="20">
        <f t="shared" si="88"/>
        <v>0</v>
      </c>
      <c r="X382" s="20">
        <f t="shared" si="88"/>
        <v>0</v>
      </c>
      <c r="Y382" s="20">
        <f t="shared" si="88"/>
        <v>0</v>
      </c>
      <c r="Z382" s="20">
        <f t="shared" si="88"/>
        <v>0</v>
      </c>
      <c r="AA382" s="20">
        <f t="shared" si="88"/>
        <v>0</v>
      </c>
      <c r="AB382" s="20">
        <f t="shared" si="88"/>
        <v>0</v>
      </c>
      <c r="AC382" s="20">
        <f t="shared" si="88"/>
        <v>0</v>
      </c>
      <c r="AD382" s="20">
        <f t="shared" si="88"/>
        <v>0</v>
      </c>
      <c r="AE382" s="20">
        <f t="shared" si="88"/>
        <v>0</v>
      </c>
      <c r="AF382" s="20">
        <f t="shared" si="88"/>
        <v>0</v>
      </c>
      <c r="AG382" s="20">
        <f t="shared" si="88"/>
        <v>0</v>
      </c>
      <c r="AH382" s="20">
        <f t="shared" si="88"/>
        <v>0</v>
      </c>
      <c r="AI382" s="20">
        <f t="shared" si="88"/>
        <v>0</v>
      </c>
      <c r="AJ382" s="20">
        <f t="shared" si="88"/>
        <v>0</v>
      </c>
      <c r="AK382" s="20">
        <f t="shared" si="88"/>
        <v>0</v>
      </c>
      <c r="AL382" s="20">
        <f t="shared" si="88"/>
        <v>0</v>
      </c>
      <c r="AM382" s="20">
        <f t="shared" si="88"/>
        <v>0</v>
      </c>
      <c r="AN382" s="215">
        <f t="shared" si="88"/>
        <v>0</v>
      </c>
      <c r="AO382" s="215">
        <f>IF(AO381&gt;0,(AO381*$C380),0)</f>
        <v>0</v>
      </c>
      <c r="AP382" s="22">
        <f>IF(AP381&gt;0,(AP381*$C380),0)</f>
        <v>0</v>
      </c>
    </row>
    <row r="383" spans="2:42" ht="15.75" thickBot="1">
      <c r="B383" s="221"/>
      <c r="C383" s="222"/>
      <c r="D383" s="221"/>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222"/>
    </row>
    <row r="384" spans="2:42">
      <c r="B384" s="4" t="s">
        <v>12</v>
      </c>
      <c r="C384" s="133" t="str">
        <f>Summary!B68</f>
        <v>G6</v>
      </c>
      <c r="D384" s="156" t="str">
        <f>Summary!C68</f>
        <v xml:space="preserve">NPD Programme - Needs not Wants - Scrutiny &amp; Challenge </v>
      </c>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6"/>
    </row>
    <row r="385" spans="2:42">
      <c r="B385" s="7" t="s">
        <v>189</v>
      </c>
      <c r="C385" s="134" t="str">
        <f>'G6 NPD Prog Scrutiny &amp;Challenge'!D47</f>
        <v>D - Moderate</v>
      </c>
      <c r="D385" s="176">
        <f>VLOOKUP(C385,'Confidence Factors'!$B$6:$D$9,3)</f>
        <v>0.55000000000000004</v>
      </c>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10"/>
    </row>
    <row r="386" spans="2:42">
      <c r="B386" s="7" t="s">
        <v>30</v>
      </c>
      <c r="C386" s="128">
        <f>SUM(D386:AN386)</f>
        <v>31460000</v>
      </c>
      <c r="D386" s="177">
        <v>0</v>
      </c>
      <c r="E386" s="19">
        <v>0</v>
      </c>
      <c r="F386" s="19">
        <f>'G4 Budget Recast Immediate Save'!I$73*'G4 Budget Recast Immediate Save'!$D89*'Calcs - Scen 1'!$D385</f>
        <v>0</v>
      </c>
      <c r="G386" s="19">
        <f>'G4 Budget Recast Immediate Save'!J$73*'G4 Budget Recast Immediate Save'!$D89*'Calcs - Scen 1'!$D385</f>
        <v>0</v>
      </c>
      <c r="H386" s="19">
        <v>0</v>
      </c>
      <c r="I386" s="19">
        <f>'G6 NPD Prog Scrutiny &amp;Challenge'!P$87*'G6 NPD Prog Scrutiny &amp;Challenge'!$D75*'Calcs - Scen 1'!$D385</f>
        <v>110000.00000000001</v>
      </c>
      <c r="J386" s="19">
        <f>'G6 NPD Prog Scrutiny &amp;Challenge'!Q$87*'G6 NPD Prog Scrutiny &amp;Challenge'!$D75*'Calcs - Scen 1'!$D385</f>
        <v>770000.00000000012</v>
      </c>
      <c r="K386" s="19">
        <f>'G6 NPD Prog Scrutiny &amp;Challenge'!R$87*'G6 NPD Prog Scrutiny &amp;Challenge'!$D75*'Calcs - Scen 1'!$D385</f>
        <v>1210000</v>
      </c>
      <c r="L386" s="19">
        <f>'G6 NPD Prog Scrutiny &amp;Challenge'!S$87*'G6 NPD Prog Scrutiny &amp;Challenge'!$D75*'Calcs - Scen 1'!$D385</f>
        <v>1210000</v>
      </c>
      <c r="M386" s="19">
        <f>'G6 NPD Prog Scrutiny &amp;Challenge'!T$87*'G6 NPD Prog Scrutiny &amp;Challenge'!$D75*'Calcs - Scen 1'!$D385</f>
        <v>1210000</v>
      </c>
      <c r="N386" s="19">
        <f>'G6 NPD Prog Scrutiny &amp;Challenge'!U$87*'G6 NPD Prog Scrutiny &amp;Challenge'!$D75*'Calcs - Scen 1'!$D385</f>
        <v>1210000</v>
      </c>
      <c r="O386" s="19">
        <f>'G6 NPD Prog Scrutiny &amp;Challenge'!V$87*'G6 NPD Prog Scrutiny &amp;Challenge'!$D75*'Calcs - Scen 1'!$D385</f>
        <v>1210000</v>
      </c>
      <c r="P386" s="19">
        <f>'G6 NPD Prog Scrutiny &amp;Challenge'!W$87*'G6 NPD Prog Scrutiny &amp;Challenge'!$D75*'Calcs - Scen 1'!$D385</f>
        <v>1210000</v>
      </c>
      <c r="Q386" s="19">
        <f>'G6 NPD Prog Scrutiny &amp;Challenge'!X$87*'G6 NPD Prog Scrutiny &amp;Challenge'!$D75*'Calcs - Scen 1'!$D385</f>
        <v>1210000</v>
      </c>
      <c r="R386" s="19">
        <f>'G6 NPD Prog Scrutiny &amp;Challenge'!Y$87*'G6 NPD Prog Scrutiny &amp;Challenge'!$D75*'Calcs - Scen 1'!$D385</f>
        <v>1210000</v>
      </c>
      <c r="S386" s="19">
        <f>'G6 NPD Prog Scrutiny &amp;Challenge'!Z$87*'G6 NPD Prog Scrutiny &amp;Challenge'!$D75*'Calcs - Scen 1'!$D385</f>
        <v>1210000</v>
      </c>
      <c r="T386" s="19">
        <f>'G6 NPD Prog Scrutiny &amp;Challenge'!AA$87*'G6 NPD Prog Scrutiny &amp;Challenge'!$D75*'Calcs - Scen 1'!$D385</f>
        <v>1210000</v>
      </c>
      <c r="U386" s="19">
        <f>'G6 NPD Prog Scrutiny &amp;Challenge'!AB$87*'G6 NPD Prog Scrutiny &amp;Challenge'!$D75*'Calcs - Scen 1'!$D385</f>
        <v>1210000</v>
      </c>
      <c r="V386" s="19">
        <f>'G6 NPD Prog Scrutiny &amp;Challenge'!AC$87*'G6 NPD Prog Scrutiny &amp;Challenge'!$D75*'Calcs - Scen 1'!$D385</f>
        <v>1210000</v>
      </c>
      <c r="W386" s="19">
        <f>'G6 NPD Prog Scrutiny &amp;Challenge'!AD$87*'G6 NPD Prog Scrutiny &amp;Challenge'!$D75*'Calcs - Scen 1'!$D385</f>
        <v>1210000</v>
      </c>
      <c r="X386" s="19">
        <f>'G6 NPD Prog Scrutiny &amp;Challenge'!AE$87*'G6 NPD Prog Scrutiny &amp;Challenge'!$D75*'Calcs - Scen 1'!$D385</f>
        <v>1210000</v>
      </c>
      <c r="Y386" s="19">
        <f>'G6 NPD Prog Scrutiny &amp;Challenge'!AF$87*'G6 NPD Prog Scrutiny &amp;Challenge'!$D75*'Calcs - Scen 1'!$D385</f>
        <v>1210000</v>
      </c>
      <c r="Z386" s="19">
        <f>'G6 NPD Prog Scrutiny &amp;Challenge'!AG$87*'G6 NPD Prog Scrutiny &amp;Challenge'!$D75*'Calcs - Scen 1'!$D385</f>
        <v>1210000</v>
      </c>
      <c r="AA386" s="19">
        <f>'G6 NPD Prog Scrutiny &amp;Challenge'!AH$87*'G6 NPD Prog Scrutiny &amp;Challenge'!$D75*'Calcs - Scen 1'!$D385</f>
        <v>1210000</v>
      </c>
      <c r="AB386" s="19">
        <f>'G6 NPD Prog Scrutiny &amp;Challenge'!AI$87*'G6 NPD Prog Scrutiny &amp;Challenge'!$D75*'Calcs - Scen 1'!$D385</f>
        <v>1210000</v>
      </c>
      <c r="AC386" s="19">
        <f>'G6 NPD Prog Scrutiny &amp;Challenge'!AJ$87*'G6 NPD Prog Scrutiny &amp;Challenge'!$D75*'Calcs - Scen 1'!$D385</f>
        <v>1210000</v>
      </c>
      <c r="AD386" s="19">
        <f>'G6 NPD Prog Scrutiny &amp;Challenge'!AK$87*'G6 NPD Prog Scrutiny &amp;Challenge'!$D75*'Calcs - Scen 1'!$D385</f>
        <v>1210000</v>
      </c>
      <c r="AE386" s="19">
        <f>'G6 NPD Prog Scrutiny &amp;Challenge'!AL$87*'G6 NPD Prog Scrutiny &amp;Challenge'!$D75*'Calcs - Scen 1'!$D385</f>
        <v>1210000</v>
      </c>
      <c r="AF386" s="19">
        <f>'G6 NPD Prog Scrutiny &amp;Challenge'!AM$87*'G6 NPD Prog Scrutiny &amp;Challenge'!$D75*'Calcs - Scen 1'!$D385</f>
        <v>1210000</v>
      </c>
      <c r="AG386" s="19">
        <f>'G6 NPD Prog Scrutiny &amp;Challenge'!AN$87*'G6 NPD Prog Scrutiny &amp;Challenge'!$D75*'Calcs - Scen 1'!$D385</f>
        <v>1210000</v>
      </c>
      <c r="AH386" s="19">
        <f>'G6 NPD Prog Scrutiny &amp;Challenge'!AO$87*'G6 NPD Prog Scrutiny &amp;Challenge'!$D75*'Calcs - Scen 1'!$D385</f>
        <v>1210000</v>
      </c>
      <c r="AI386" s="19">
        <f>'G6 NPD Prog Scrutiny &amp;Challenge'!AP$87*'G6 NPD Prog Scrutiny &amp;Challenge'!$D75*'Calcs - Scen 1'!$D385</f>
        <v>1100000</v>
      </c>
      <c r="AJ386" s="19">
        <f>'G6 NPD Prog Scrutiny &amp;Challenge'!AQ$87*'G6 NPD Prog Scrutiny &amp;Challenge'!$D75*'Calcs - Scen 1'!$D385</f>
        <v>440000.00000000006</v>
      </c>
      <c r="AK386" s="19">
        <f>'G6 NPD Prog Scrutiny &amp;Challenge'!AR$87*'G6 NPD Prog Scrutiny &amp;Challenge'!$D75*'Calcs - Scen 1'!$D385</f>
        <v>0</v>
      </c>
      <c r="AL386" s="19">
        <f>'G6 NPD Prog Scrutiny &amp;Challenge'!AS$87*'G6 NPD Prog Scrutiny &amp;Challenge'!$D75*'Calcs - Scen 1'!$D385</f>
        <v>0</v>
      </c>
      <c r="AM386" s="19">
        <f>'G6 NPD Prog Scrutiny &amp;Challenge'!AT$87*'G6 NPD Prog Scrutiny &amp;Challenge'!$D75*'Calcs - Scen 1'!$D385</f>
        <v>0</v>
      </c>
      <c r="AN386" s="19">
        <f>'G6 NPD Prog Scrutiny &amp;Challenge'!AU$87*'G6 NPD Prog Scrutiny &amp;Challenge'!$D75*'Calcs - Scen 1'!$D385</f>
        <v>0</v>
      </c>
      <c r="AO386" s="19">
        <f>'G6 NPD Prog Scrutiny &amp;Challenge'!AV$87*'G6 NPD Prog Scrutiny &amp;Challenge'!$D75*'Calcs - Scen 1'!$D385</f>
        <v>0</v>
      </c>
      <c r="AP386" s="19">
        <f>'G6 NPD Prog Scrutiny &amp;Challenge'!AW$87*'G6 NPD Prog Scrutiny &amp;Challenge'!$D75*'Calcs - Scen 1'!$D385</f>
        <v>0</v>
      </c>
    </row>
    <row r="387" spans="2:42">
      <c r="B387" s="7" t="s">
        <v>31</v>
      </c>
      <c r="C387" s="129">
        <f>NPV($C$7,F386:AO386)+D386+E386</f>
        <v>17647610.285090607</v>
      </c>
      <c r="D387" s="7"/>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10"/>
    </row>
    <row r="388" spans="2:42">
      <c r="B388" s="7" t="s">
        <v>4</v>
      </c>
      <c r="C388" s="130" t="str">
        <f>IF(SUM(D388:AN388)&gt;1,"CHECK"," ")</f>
        <v xml:space="preserve"> </v>
      </c>
      <c r="D388" s="178">
        <v>0</v>
      </c>
      <c r="E388" s="15">
        <v>0.1</v>
      </c>
      <c r="F388" s="15">
        <v>0.6</v>
      </c>
      <c r="G388" s="15">
        <v>0.3</v>
      </c>
      <c r="H388" s="15">
        <v>0</v>
      </c>
      <c r="I388" s="15">
        <v>0</v>
      </c>
      <c r="J388" s="15">
        <v>0</v>
      </c>
      <c r="K388" s="15"/>
      <c r="L388" s="15"/>
      <c r="M388" s="15"/>
      <c r="N388" s="15"/>
      <c r="O388" s="15"/>
      <c r="P388" s="15"/>
      <c r="Q388" s="15"/>
      <c r="R388" s="15"/>
      <c r="S388" s="15"/>
      <c r="T388" s="125"/>
      <c r="U388" s="15"/>
      <c r="V388" s="15"/>
      <c r="W388" s="15"/>
      <c r="X388" s="15"/>
      <c r="Y388" s="15"/>
      <c r="Z388" s="15"/>
      <c r="AA388" s="15"/>
      <c r="AB388" s="15"/>
      <c r="AC388" s="15"/>
      <c r="AD388" s="15"/>
      <c r="AE388" s="15"/>
      <c r="AF388" s="15"/>
      <c r="AG388" s="15"/>
      <c r="AH388" s="15"/>
      <c r="AI388" s="15"/>
      <c r="AJ388" s="15"/>
      <c r="AK388" s="15"/>
      <c r="AL388" s="15"/>
      <c r="AM388" s="15"/>
      <c r="AN388" s="146"/>
      <c r="AO388" s="146"/>
      <c r="AP388" s="16"/>
    </row>
    <row r="389" spans="2:42" ht="15.75" thickBot="1">
      <c r="B389" s="11" t="s">
        <v>32</v>
      </c>
      <c r="C389" s="51"/>
      <c r="D389" s="179">
        <f>IF(D388&gt;0,(D388*$C387),0)</f>
        <v>0</v>
      </c>
      <c r="E389" s="20">
        <f t="shared" ref="E389:R389" si="89">IF(E388&gt;0,(E388*$C387),0)</f>
        <v>1764761.0285090609</v>
      </c>
      <c r="F389" s="20">
        <f t="shared" si="89"/>
        <v>10588566.171054363</v>
      </c>
      <c r="G389" s="20">
        <f t="shared" si="89"/>
        <v>5294283.0855271816</v>
      </c>
      <c r="H389" s="20">
        <f t="shared" si="89"/>
        <v>0</v>
      </c>
      <c r="I389" s="20">
        <f t="shared" si="89"/>
        <v>0</v>
      </c>
      <c r="J389" s="20">
        <f t="shared" si="89"/>
        <v>0</v>
      </c>
      <c r="K389" s="20">
        <f t="shared" si="89"/>
        <v>0</v>
      </c>
      <c r="L389" s="20">
        <f t="shared" si="89"/>
        <v>0</v>
      </c>
      <c r="M389" s="20">
        <f t="shared" si="89"/>
        <v>0</v>
      </c>
      <c r="N389" s="20">
        <f t="shared" si="89"/>
        <v>0</v>
      </c>
      <c r="O389" s="20">
        <f t="shared" si="89"/>
        <v>0</v>
      </c>
      <c r="P389" s="20">
        <f t="shared" si="89"/>
        <v>0</v>
      </c>
      <c r="Q389" s="20">
        <f t="shared" si="89"/>
        <v>0</v>
      </c>
      <c r="R389" s="20">
        <f t="shared" si="89"/>
        <v>0</v>
      </c>
      <c r="S389" s="20">
        <f>IF(S388&gt;0,(S388*$C387),0)</f>
        <v>0</v>
      </c>
      <c r="T389" s="126">
        <f t="shared" ref="T389:AN389" si="90">IF(T388&gt;0,(T388*$C387),0)</f>
        <v>0</v>
      </c>
      <c r="U389" s="20">
        <f t="shared" si="90"/>
        <v>0</v>
      </c>
      <c r="V389" s="20">
        <f t="shared" si="90"/>
        <v>0</v>
      </c>
      <c r="W389" s="20">
        <f t="shared" si="90"/>
        <v>0</v>
      </c>
      <c r="X389" s="20">
        <f t="shared" si="90"/>
        <v>0</v>
      </c>
      <c r="Y389" s="20">
        <f t="shared" si="90"/>
        <v>0</v>
      </c>
      <c r="Z389" s="20">
        <f t="shared" si="90"/>
        <v>0</v>
      </c>
      <c r="AA389" s="20">
        <f t="shared" si="90"/>
        <v>0</v>
      </c>
      <c r="AB389" s="20">
        <f t="shared" si="90"/>
        <v>0</v>
      </c>
      <c r="AC389" s="20">
        <f t="shared" si="90"/>
        <v>0</v>
      </c>
      <c r="AD389" s="20">
        <f t="shared" si="90"/>
        <v>0</v>
      </c>
      <c r="AE389" s="20">
        <f t="shared" si="90"/>
        <v>0</v>
      </c>
      <c r="AF389" s="20">
        <f t="shared" si="90"/>
        <v>0</v>
      </c>
      <c r="AG389" s="20">
        <f t="shared" si="90"/>
        <v>0</v>
      </c>
      <c r="AH389" s="20">
        <f t="shared" si="90"/>
        <v>0</v>
      </c>
      <c r="AI389" s="20">
        <f t="shared" si="90"/>
        <v>0</v>
      </c>
      <c r="AJ389" s="20">
        <f t="shared" si="90"/>
        <v>0</v>
      </c>
      <c r="AK389" s="20">
        <f t="shared" si="90"/>
        <v>0</v>
      </c>
      <c r="AL389" s="20">
        <f t="shared" si="90"/>
        <v>0</v>
      </c>
      <c r="AM389" s="20">
        <f t="shared" si="90"/>
        <v>0</v>
      </c>
      <c r="AN389" s="215">
        <f t="shared" si="90"/>
        <v>0</v>
      </c>
      <c r="AO389" s="215">
        <f>IF(AO388&gt;0,(AO388*$C387),0)</f>
        <v>0</v>
      </c>
      <c r="AP389" s="22">
        <f>IF(AP388&gt;0,(AP388*$C387),0)</f>
        <v>0</v>
      </c>
    </row>
    <row r="390" spans="2:42" ht="15.75" thickBot="1">
      <c r="B390" s="221"/>
      <c r="C390" s="222"/>
      <c r="D390" s="221"/>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222"/>
    </row>
  </sheetData>
  <phoneticPr fontId="19" type="noConversion"/>
  <pageMargins left="0.7" right="0.7" top="0.75" bottom="0.75" header="0.3" footer="0.3"/>
  <pageSetup paperSize="9" scale="25" fitToHeight="0" orientation="landscape" r:id="rId1"/>
</worksheet>
</file>

<file path=xl/worksheets/sheet50.xml><?xml version="1.0" encoding="utf-8"?>
<worksheet xmlns="http://schemas.openxmlformats.org/spreadsheetml/2006/main" xmlns:r="http://schemas.openxmlformats.org/officeDocument/2006/relationships">
  <sheetPr>
    <pageSetUpPr fitToPage="1"/>
  </sheetPr>
  <dimension ref="B1:F78"/>
  <sheetViews>
    <sheetView topLeftCell="A67" zoomScale="75" zoomScaleNormal="75" workbookViewId="0">
      <selection activeCell="G78" sqref="B1:G78"/>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c r="D1" s="80"/>
    </row>
    <row r="2" spans="2:6" ht="18.75">
      <c r="B2" s="25" t="s">
        <v>347</v>
      </c>
      <c r="D2" s="80"/>
    </row>
    <row r="3" spans="2:6" ht="18.75">
      <c r="B3" s="25" t="s">
        <v>315</v>
      </c>
    </row>
    <row r="4" spans="2:6" ht="19.5" thickBot="1">
      <c r="B4" s="38"/>
      <c r="C4" s="50"/>
    </row>
    <row r="5" spans="2:6" ht="18.75">
      <c r="B5" s="356"/>
      <c r="C5" s="386" t="s">
        <v>105</v>
      </c>
      <c r="D5" s="358"/>
      <c r="E5" s="359"/>
      <c r="F5" s="360"/>
    </row>
    <row r="6" spans="2:6" ht="15.75">
      <c r="B6" s="361"/>
      <c r="C6" s="1071" t="s">
        <v>315</v>
      </c>
      <c r="D6" s="1072"/>
      <c r="E6" s="364"/>
      <c r="F6" s="365"/>
    </row>
    <row r="7" spans="2:6" ht="18.75">
      <c r="B7" s="361"/>
      <c r="C7" s="387" t="s">
        <v>104</v>
      </c>
      <c r="D7" s="363"/>
      <c r="E7" s="364"/>
      <c r="F7" s="365"/>
    </row>
    <row r="8" spans="2:6" s="32" customFormat="1">
      <c r="B8" s="366"/>
      <c r="C8" s="388"/>
      <c r="D8" s="368"/>
      <c r="E8" s="369"/>
      <c r="F8" s="370"/>
    </row>
    <row r="9" spans="2:6" s="32" customFormat="1">
      <c r="B9" s="366"/>
      <c r="C9" s="388" t="s">
        <v>103</v>
      </c>
      <c r="D9" s="371"/>
      <c r="E9" s="369"/>
      <c r="F9" s="370"/>
    </row>
    <row r="10" spans="2:6" s="32" customFormat="1">
      <c r="B10" s="366"/>
      <c r="C10" s="388" t="s">
        <v>102</v>
      </c>
      <c r="D10" s="470" t="s">
        <v>262</v>
      </c>
      <c r="E10" s="369"/>
      <c r="F10" s="370"/>
    </row>
    <row r="11" spans="2:6" s="32" customFormat="1">
      <c r="B11" s="366"/>
      <c r="C11" s="367" t="s">
        <v>109</v>
      </c>
      <c r="D11" s="373">
        <v>40228</v>
      </c>
      <c r="E11" s="369"/>
      <c r="F11" s="370"/>
    </row>
    <row r="12" spans="2:6" s="32" customFormat="1">
      <c r="B12" s="366"/>
      <c r="C12" s="388" t="s">
        <v>101</v>
      </c>
      <c r="D12" s="373">
        <v>40816</v>
      </c>
      <c r="E12" s="369"/>
      <c r="F12" s="370"/>
    </row>
    <row r="13" spans="2:6" s="32" customFormat="1">
      <c r="B13" s="366"/>
      <c r="C13" s="388"/>
      <c r="D13" s="368"/>
      <c r="E13" s="369"/>
      <c r="F13" s="370"/>
    </row>
    <row r="14" spans="2:6">
      <c r="B14" s="361"/>
      <c r="C14" s="388" t="s">
        <v>100</v>
      </c>
      <c r="D14" s="374" t="s">
        <v>99</v>
      </c>
      <c r="E14" s="375" t="s">
        <v>96</v>
      </c>
      <c r="F14" s="365"/>
    </row>
    <row r="15" spans="2:6">
      <c r="B15" s="361"/>
      <c r="C15" s="364"/>
      <c r="D15" s="374" t="s">
        <v>98</v>
      </c>
      <c r="E15" s="374"/>
      <c r="F15" s="365"/>
    </row>
    <row r="16" spans="2:6">
      <c r="B16" s="361"/>
      <c r="C16" s="364"/>
      <c r="D16" s="374" t="s">
        <v>97</v>
      </c>
      <c r="E16" s="375"/>
      <c r="F16" s="365"/>
    </row>
    <row r="17" spans="2:6">
      <c r="B17" s="361"/>
      <c r="C17" s="364"/>
      <c r="D17" s="374" t="s">
        <v>45</v>
      </c>
      <c r="E17" s="374"/>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88" t="s">
        <v>94</v>
      </c>
      <c r="D23" s="371" t="s">
        <v>93</v>
      </c>
      <c r="E23" s="364"/>
      <c r="F23" s="365"/>
    </row>
    <row r="24" spans="2:6" hidden="1">
      <c r="B24" s="361"/>
      <c r="C24" s="388"/>
      <c r="D24" s="371"/>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63"/>
      <c r="E40" s="364"/>
      <c r="F40" s="365"/>
    </row>
    <row r="41" spans="2:6">
      <c r="B41" s="361"/>
      <c r="C41" s="376" t="s">
        <v>65</v>
      </c>
      <c r="D41" s="371"/>
      <c r="E41" s="364"/>
      <c r="F41" s="365"/>
    </row>
    <row r="42" spans="2:6">
      <c r="B42" s="361"/>
      <c r="C42" s="377"/>
      <c r="D42" s="363"/>
      <c r="E42" s="364"/>
      <c r="F42" s="365"/>
    </row>
    <row r="43" spans="2:6" ht="18.75">
      <c r="B43" s="392"/>
      <c r="C43" s="405" t="s">
        <v>80</v>
      </c>
      <c r="D43" s="394"/>
      <c r="E43" s="395"/>
      <c r="F43" s="396"/>
    </row>
    <row r="44" spans="2:6" ht="132.75">
      <c r="B44" s="392"/>
      <c r="C44" s="406" t="s">
        <v>79</v>
      </c>
      <c r="D44" s="607" t="s">
        <v>633</v>
      </c>
      <c r="E44" s="395"/>
      <c r="F44" s="396"/>
    </row>
    <row r="45" spans="2:6">
      <c r="B45" s="392"/>
      <c r="C45" s="406" t="s">
        <v>78</v>
      </c>
      <c r="D45" s="565"/>
      <c r="E45" s="395"/>
      <c r="F45" s="396"/>
    </row>
    <row r="46" spans="2:6" ht="30">
      <c r="B46" s="392"/>
      <c r="C46" s="407" t="s">
        <v>77</v>
      </c>
      <c r="D46" s="399"/>
      <c r="E46" s="395"/>
      <c r="F46" s="396"/>
    </row>
    <row r="47" spans="2:6" ht="30">
      <c r="B47" s="392"/>
      <c r="C47" s="400" t="s">
        <v>76</v>
      </c>
      <c r="D47" s="399" t="s">
        <v>209</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8"/>
      <c r="D52" s="404"/>
      <c r="E52" s="395"/>
      <c r="F52" s="396"/>
    </row>
    <row r="53" spans="2:6" ht="18.75">
      <c r="B53" s="346"/>
      <c r="C53" s="416" t="s">
        <v>75</v>
      </c>
      <c r="D53" s="412"/>
      <c r="E53" s="349"/>
      <c r="F53" s="350"/>
    </row>
    <row r="54" spans="2:6">
      <c r="B54" s="346"/>
      <c r="C54" s="417"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417"/>
      <c r="D59" s="412"/>
      <c r="E59" s="349"/>
      <c r="F59" s="350"/>
    </row>
    <row r="60" spans="2:6">
      <c r="B60" s="346"/>
      <c r="C60" s="417" t="s">
        <v>70</v>
      </c>
      <c r="D60" s="413" t="s">
        <v>66</v>
      </c>
      <c r="E60" s="349"/>
      <c r="F60" s="350"/>
    </row>
    <row r="61" spans="2:6" hidden="1">
      <c r="B61" s="346"/>
      <c r="C61" s="417"/>
      <c r="D61" s="415" t="s">
        <v>69</v>
      </c>
      <c r="E61" s="411"/>
      <c r="F61" s="350"/>
    </row>
    <row r="62" spans="2:6" hidden="1">
      <c r="B62" s="346"/>
      <c r="C62" s="417"/>
      <c r="D62" s="415" t="s">
        <v>68</v>
      </c>
      <c r="E62" s="411"/>
      <c r="F62" s="350"/>
    </row>
    <row r="63" spans="2:6" hidden="1">
      <c r="B63" s="346"/>
      <c r="C63" s="417"/>
      <c r="D63" s="415" t="s">
        <v>67</v>
      </c>
      <c r="E63" s="411"/>
      <c r="F63" s="350"/>
    </row>
    <row r="64" spans="2:6" hidden="1">
      <c r="B64" s="346"/>
      <c r="C64" s="417"/>
      <c r="D64" s="415" t="s">
        <v>66</v>
      </c>
      <c r="E64" s="411"/>
      <c r="F64" s="350"/>
    </row>
    <row r="65" spans="2:6">
      <c r="B65" s="346"/>
      <c r="C65" s="354" t="s">
        <v>65</v>
      </c>
      <c r="D65" s="413"/>
      <c r="E65" s="349"/>
      <c r="F65" s="350"/>
    </row>
    <row r="66" spans="2:6">
      <c r="B66" s="346"/>
      <c r="C66" s="417"/>
      <c r="D66" s="412"/>
      <c r="E66" s="349"/>
      <c r="F66" s="350"/>
    </row>
    <row r="67" spans="2:6" ht="18.75">
      <c r="B67" s="419"/>
      <c r="C67" s="443" t="s">
        <v>64</v>
      </c>
      <c r="D67" s="434"/>
      <c r="E67" s="422"/>
      <c r="F67" s="423"/>
    </row>
    <row r="68" spans="2:6">
      <c r="B68" s="419"/>
      <c r="C68" s="444" t="s">
        <v>63</v>
      </c>
      <c r="D68" s="424" t="s">
        <v>106</v>
      </c>
      <c r="E68" s="422"/>
      <c r="F68" s="423"/>
    </row>
    <row r="69" spans="2:6">
      <c r="B69" s="419"/>
      <c r="C69" s="418" t="s">
        <v>107</v>
      </c>
      <c r="D69" s="427"/>
      <c r="E69" s="422"/>
      <c r="F69" s="423"/>
    </row>
    <row r="70" spans="2:6">
      <c r="B70" s="419"/>
      <c r="C70" s="418" t="s">
        <v>119</v>
      </c>
      <c r="D70" s="424">
        <v>1700000</v>
      </c>
      <c r="E70" s="422"/>
      <c r="F70" s="423"/>
    </row>
    <row r="71" spans="2:6">
      <c r="B71" s="419"/>
      <c r="C71" s="444"/>
      <c r="D71" s="566"/>
      <c r="E71" s="422"/>
      <c r="F71" s="423"/>
    </row>
    <row r="72" spans="2:6">
      <c r="B72" s="419"/>
      <c r="C72" s="418" t="s">
        <v>223</v>
      </c>
      <c r="D72" s="433" t="s">
        <v>393</v>
      </c>
      <c r="E72" s="422"/>
      <c r="F72" s="423"/>
    </row>
    <row r="73" spans="2:6">
      <c r="B73" s="419"/>
      <c r="C73" s="444" t="s">
        <v>62</v>
      </c>
      <c r="D73" s="426" t="s">
        <v>669</v>
      </c>
      <c r="E73" s="422"/>
      <c r="F73" s="423"/>
    </row>
    <row r="74" spans="2:6">
      <c r="B74" s="419"/>
      <c r="C74" s="444"/>
      <c r="D74" s="433"/>
      <c r="E74" s="422"/>
      <c r="F74" s="423"/>
    </row>
    <row r="75" spans="2:6">
      <c r="B75" s="419"/>
      <c r="C75" s="444" t="s">
        <v>61</v>
      </c>
      <c r="D75" s="427">
        <v>0.5</v>
      </c>
      <c r="E75" s="422"/>
      <c r="F75" s="423"/>
    </row>
    <row r="76" spans="2:6">
      <c r="B76" s="419"/>
      <c r="C76" s="444"/>
      <c r="D76" s="433" t="s">
        <v>353</v>
      </c>
      <c r="E76" s="422"/>
      <c r="F76" s="423"/>
    </row>
    <row r="77" spans="2:6">
      <c r="B77" s="419"/>
      <c r="C77" s="446"/>
      <c r="D77" s="421"/>
      <c r="E77" s="422"/>
      <c r="F77" s="423"/>
    </row>
    <row r="78" spans="2:6" ht="15.75" thickBot="1">
      <c r="B78" s="429"/>
      <c r="C78" s="430"/>
      <c r="D78" s="431"/>
      <c r="E78" s="430"/>
      <c r="F78" s="432"/>
    </row>
  </sheetData>
  <mergeCells count="1">
    <mergeCell ref="C6:D6"/>
  </mergeCells>
  <phoneticPr fontId="19" type="noConversion"/>
  <dataValidations count="3">
    <dataValidation type="list" allowBlank="1" showInputMessage="1" showErrorMessage="1" sqref="D60">
      <formula1>$D$61:$D$64</formula1>
    </dataValidation>
    <dataValidation type="list" allowBlank="1" showInputMessage="1" showErrorMessage="1" sqref="D54">
      <formula1>$D$56:$D$58</formula1>
    </dataValidation>
    <dataValidation type="list" allowBlank="1" showInputMessage="1" showErrorMessage="1" sqref="D47">
      <formula1>$D$48:$D$51</formula1>
    </dataValidation>
  </dataValidations>
  <pageMargins left="0.7" right="0.7" top="0.75" bottom="0.75" header="0.3" footer="0.3"/>
  <pageSetup paperSize="9" scale="78" orientation="portrait" copies="2" r:id="rId1"/>
</worksheet>
</file>

<file path=xl/worksheets/sheet51.xml><?xml version="1.0" encoding="utf-8"?>
<worksheet xmlns="http://schemas.openxmlformats.org/spreadsheetml/2006/main" xmlns:r="http://schemas.openxmlformats.org/officeDocument/2006/relationships">
  <sheetPr>
    <pageSetUpPr fitToPage="1"/>
  </sheetPr>
  <dimension ref="B1:F78"/>
  <sheetViews>
    <sheetView topLeftCell="A72" zoomScale="75" zoomScaleNormal="75" workbookViewId="0">
      <selection activeCell="C22" sqref="C22"/>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row>
    <row r="2" spans="2:6" ht="18.75">
      <c r="B2" s="25" t="s">
        <v>347</v>
      </c>
    </row>
    <row r="3" spans="2:6" ht="18.75">
      <c r="B3" s="25" t="s">
        <v>204</v>
      </c>
    </row>
    <row r="4" spans="2:6" ht="15.75" thickBot="1">
      <c r="C4" s="33"/>
    </row>
    <row r="5" spans="2:6" ht="18.75">
      <c r="B5" s="356"/>
      <c r="C5" s="357" t="s">
        <v>105</v>
      </c>
      <c r="D5" s="358"/>
      <c r="E5" s="359"/>
      <c r="F5" s="360"/>
    </row>
    <row r="6" spans="2:6" ht="18.75">
      <c r="B6" s="361"/>
      <c r="C6" s="362" t="s">
        <v>204</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372" t="s">
        <v>263</v>
      </c>
      <c r="E10" s="369"/>
      <c r="F10" s="370"/>
    </row>
    <row r="11" spans="2:6" s="32" customFormat="1">
      <c r="B11" s="366"/>
      <c r="C11" s="367" t="s">
        <v>109</v>
      </c>
      <c r="D11" s="373">
        <v>40228</v>
      </c>
      <c r="E11" s="369"/>
      <c r="F11" s="370"/>
    </row>
    <row r="12" spans="2:6" s="32" customFormat="1">
      <c r="B12" s="366"/>
      <c r="C12" s="367" t="s">
        <v>101</v>
      </c>
      <c r="D12" s="373">
        <v>40633</v>
      </c>
      <c r="E12" s="369"/>
      <c r="F12" s="370"/>
    </row>
    <row r="13" spans="2:6" s="32" customFormat="1">
      <c r="B13" s="366"/>
      <c r="C13" s="367"/>
      <c r="D13" s="368"/>
      <c r="E13" s="369"/>
      <c r="F13" s="370"/>
    </row>
    <row r="14" spans="2:6">
      <c r="B14" s="361"/>
      <c r="C14" s="367" t="s">
        <v>100</v>
      </c>
      <c r="D14" s="374" t="s">
        <v>99</v>
      </c>
      <c r="E14" s="374"/>
      <c r="F14" s="365"/>
    </row>
    <row r="15" spans="2:6">
      <c r="B15" s="361"/>
      <c r="C15" s="364"/>
      <c r="D15" s="374" t="s">
        <v>98</v>
      </c>
      <c r="E15" s="375" t="s">
        <v>202</v>
      </c>
      <c r="F15" s="365"/>
    </row>
    <row r="16" spans="2:6">
      <c r="B16" s="361"/>
      <c r="C16" s="364"/>
      <c r="D16" s="374" t="s">
        <v>97</v>
      </c>
      <c r="E16" s="374"/>
      <c r="F16" s="365"/>
    </row>
    <row r="17" spans="2:6">
      <c r="B17" s="361"/>
      <c r="C17" s="364"/>
      <c r="D17" s="374" t="s">
        <v>45</v>
      </c>
      <c r="E17" s="374"/>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67" t="s">
        <v>94</v>
      </c>
      <c r="D23" s="371" t="s">
        <v>58</v>
      </c>
      <c r="E23" s="364"/>
      <c r="F23" s="365"/>
    </row>
    <row r="24" spans="2:6" hidden="1">
      <c r="B24" s="361"/>
      <c r="C24" s="367"/>
      <c r="D24" s="371"/>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63"/>
      <c r="E40" s="364"/>
      <c r="F40" s="365"/>
    </row>
    <row r="41" spans="2:6">
      <c r="B41" s="361"/>
      <c r="C41" s="376" t="s">
        <v>65</v>
      </c>
      <c r="D41" s="371" t="s">
        <v>394</v>
      </c>
      <c r="E41" s="364"/>
      <c r="F41" s="365"/>
    </row>
    <row r="42" spans="2:6">
      <c r="B42" s="361"/>
      <c r="C42" s="377"/>
      <c r="D42" s="363"/>
      <c r="E42" s="364"/>
      <c r="F42" s="365"/>
    </row>
    <row r="43" spans="2:6" ht="18.75">
      <c r="B43" s="392"/>
      <c r="C43" s="393" t="s">
        <v>80</v>
      </c>
      <c r="D43" s="394"/>
      <c r="E43" s="395"/>
      <c r="F43" s="396"/>
    </row>
    <row r="44" spans="2:6" ht="43.5" customHeight="1">
      <c r="B44" s="392"/>
      <c r="C44" s="391" t="s">
        <v>79</v>
      </c>
      <c r="D44" s="397" t="s">
        <v>693</v>
      </c>
      <c r="E44" s="395"/>
      <c r="F44" s="396"/>
    </row>
    <row r="45" spans="2:6">
      <c r="B45" s="392"/>
      <c r="C45" s="391" t="s">
        <v>78</v>
      </c>
      <c r="D45" s="397" t="s">
        <v>693</v>
      </c>
      <c r="E45" s="395"/>
      <c r="F45" s="396"/>
    </row>
    <row r="46" spans="2:6" ht="30">
      <c r="B46" s="392"/>
      <c r="C46" s="398" t="s">
        <v>77</v>
      </c>
      <c r="D46" s="397" t="s">
        <v>693</v>
      </c>
      <c r="E46" s="395"/>
      <c r="F46" s="396"/>
    </row>
    <row r="47" spans="2:6" ht="32.25" customHeight="1">
      <c r="B47" s="392"/>
      <c r="C47" s="400" t="s">
        <v>76</v>
      </c>
      <c r="D47" s="397" t="s">
        <v>277</v>
      </c>
      <c r="E47" s="395"/>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394"/>
      <c r="E52" s="395"/>
      <c r="F52" s="396"/>
    </row>
    <row r="53" spans="2:6" ht="18.75">
      <c r="B53" s="346"/>
      <c r="C53" s="347" t="s">
        <v>75</v>
      </c>
      <c r="D53" s="348"/>
      <c r="E53" s="349"/>
      <c r="F53" s="350"/>
    </row>
    <row r="54" spans="2:6">
      <c r="B54" s="346"/>
      <c r="C54" s="351" t="s">
        <v>74</v>
      </c>
      <c r="D54" s="352" t="s">
        <v>72</v>
      </c>
      <c r="E54" s="349"/>
      <c r="F54" s="350"/>
    </row>
    <row r="55" spans="2:6" hidden="1">
      <c r="B55" s="346"/>
      <c r="C55" s="355"/>
      <c r="D55" s="409"/>
      <c r="E55" s="349"/>
      <c r="F55" s="350"/>
    </row>
    <row r="56" spans="2:6" hidden="1">
      <c r="B56" s="346"/>
      <c r="C56" s="355"/>
      <c r="D56" s="410" t="s">
        <v>73</v>
      </c>
      <c r="E56" s="349"/>
      <c r="F56" s="350"/>
    </row>
    <row r="57" spans="2:6" hidden="1">
      <c r="B57" s="346"/>
      <c r="C57" s="355"/>
      <c r="D57" s="410" t="s">
        <v>72</v>
      </c>
      <c r="E57" s="349"/>
      <c r="F57" s="350"/>
    </row>
    <row r="58" spans="2:6" hidden="1">
      <c r="B58" s="346"/>
      <c r="C58" s="355"/>
      <c r="D58" s="410" t="s">
        <v>71</v>
      </c>
      <c r="E58" s="349"/>
      <c r="F58" s="350"/>
    </row>
    <row r="59" spans="2:6">
      <c r="B59" s="346"/>
      <c r="C59" s="351"/>
      <c r="D59" s="348"/>
      <c r="E59" s="349"/>
      <c r="F59" s="350"/>
    </row>
    <row r="60" spans="2:6">
      <c r="B60" s="346"/>
      <c r="C60" s="351" t="s">
        <v>70</v>
      </c>
      <c r="D60" s="352" t="s">
        <v>69</v>
      </c>
      <c r="E60" s="349"/>
      <c r="F60" s="350"/>
    </row>
    <row r="61" spans="2:6" hidden="1">
      <c r="B61" s="346"/>
      <c r="C61" s="351"/>
      <c r="D61" s="353" t="s">
        <v>69</v>
      </c>
      <c r="E61" s="411"/>
      <c r="F61" s="350"/>
    </row>
    <row r="62" spans="2:6" hidden="1">
      <c r="B62" s="346"/>
      <c r="C62" s="351"/>
      <c r="D62" s="353" t="s">
        <v>68</v>
      </c>
      <c r="E62" s="411"/>
      <c r="F62" s="350"/>
    </row>
    <row r="63" spans="2:6" hidden="1">
      <c r="B63" s="346"/>
      <c r="C63" s="351"/>
      <c r="D63" s="353" t="s">
        <v>67</v>
      </c>
      <c r="E63" s="411"/>
      <c r="F63" s="350"/>
    </row>
    <row r="64" spans="2:6" hidden="1">
      <c r="B64" s="346"/>
      <c r="C64" s="351"/>
      <c r="D64" s="353" t="s">
        <v>66</v>
      </c>
      <c r="E64" s="411"/>
      <c r="F64" s="350"/>
    </row>
    <row r="65" spans="2:6">
      <c r="B65" s="346"/>
      <c r="C65" s="354" t="s">
        <v>65</v>
      </c>
      <c r="D65" s="352"/>
      <c r="E65" s="349"/>
      <c r="F65" s="350"/>
    </row>
    <row r="66" spans="2:6">
      <c r="B66" s="346"/>
      <c r="C66" s="351"/>
      <c r="D66" s="348"/>
      <c r="E66" s="349"/>
      <c r="F66" s="350"/>
    </row>
    <row r="67" spans="2:6" ht="18.75">
      <c r="B67" s="419"/>
      <c r="C67" s="420" t="s">
        <v>64</v>
      </c>
      <c r="D67" s="421"/>
      <c r="E67" s="422"/>
      <c r="F67" s="423"/>
    </row>
    <row r="68" spans="2:6">
      <c r="B68" s="419"/>
      <c r="C68" s="418" t="s">
        <v>118</v>
      </c>
      <c r="D68" s="424">
        <v>70000000</v>
      </c>
      <c r="E68" s="422"/>
      <c r="F68" s="423"/>
    </row>
    <row r="69" spans="2:6">
      <c r="B69" s="419"/>
      <c r="C69" s="418" t="s">
        <v>107</v>
      </c>
      <c r="D69" s="425">
        <v>0.05</v>
      </c>
      <c r="E69" s="422"/>
      <c r="F69" s="423"/>
    </row>
    <row r="70" spans="2:6">
      <c r="B70" s="419"/>
      <c r="C70" s="418" t="s">
        <v>119</v>
      </c>
      <c r="D70" s="445">
        <f>D68*D69</f>
        <v>3500000</v>
      </c>
      <c r="E70" s="422"/>
      <c r="F70" s="423"/>
    </row>
    <row r="71" spans="2:6">
      <c r="B71" s="419"/>
      <c r="C71" s="418"/>
      <c r="D71" s="421"/>
      <c r="E71" s="422"/>
      <c r="F71" s="423"/>
    </row>
    <row r="72" spans="2:6" ht="30">
      <c r="B72" s="419"/>
      <c r="C72" s="418" t="s">
        <v>223</v>
      </c>
      <c r="D72" s="426" t="s">
        <v>207</v>
      </c>
      <c r="E72" s="422"/>
      <c r="F72" s="423"/>
    </row>
    <row r="73" spans="2:6" ht="30">
      <c r="B73" s="419"/>
      <c r="C73" s="418" t="s">
        <v>62</v>
      </c>
      <c r="D73" s="426" t="s">
        <v>289</v>
      </c>
      <c r="E73" s="422"/>
      <c r="F73" s="423"/>
    </row>
    <row r="74" spans="2:6">
      <c r="B74" s="419"/>
      <c r="C74" s="418"/>
      <c r="D74" s="421"/>
      <c r="E74" s="422"/>
      <c r="F74" s="423"/>
    </row>
    <row r="75" spans="2:6">
      <c r="B75" s="419"/>
      <c r="C75" s="418" t="s">
        <v>61</v>
      </c>
      <c r="D75" s="427">
        <v>0.5</v>
      </c>
      <c r="E75" s="422"/>
      <c r="F75" s="423"/>
    </row>
    <row r="76" spans="2:6">
      <c r="B76" s="419"/>
      <c r="C76" s="418"/>
      <c r="D76" s="421" t="s">
        <v>359</v>
      </c>
      <c r="E76" s="422"/>
      <c r="F76" s="423"/>
    </row>
    <row r="77" spans="2:6">
      <c r="B77" s="419"/>
      <c r="C77" s="428"/>
      <c r="D77" s="421"/>
      <c r="E77" s="422"/>
      <c r="F77" s="423"/>
    </row>
    <row r="78" spans="2:6" ht="15.75" thickBot="1">
      <c r="B78" s="429"/>
      <c r="C78" s="430"/>
      <c r="D78" s="431"/>
      <c r="E78" s="430"/>
      <c r="F78" s="432"/>
    </row>
  </sheetData>
  <phoneticPr fontId="19" type="noConversion"/>
  <dataValidations count="7">
    <dataValidation type="list" allowBlank="1" showInputMessage="1" showErrorMessage="1" sqref="D60:E60">
      <formula1>$D$61:$D$64</formula1>
    </dataValidation>
    <dataValidation type="list" allowBlank="1" showInputMessage="1" showErrorMessage="1" sqref="E55">
      <formula1>$D$56:$D$57</formula1>
    </dataValidation>
    <dataValidation type="list" allowBlank="1" showInputMessage="1" showErrorMessage="1" sqref="E58">
      <formula1>#REF!</formula1>
    </dataValidation>
    <dataValidation type="list" allowBlank="1" showInputMessage="1" showErrorMessage="1" sqref="E22 D24">
      <formula1>$D$25:$D$39</formula1>
    </dataValidation>
    <dataValidation type="list" allowBlank="1" showInputMessage="1" showErrorMessage="1" sqref="D47">
      <formula1>$D$48:$D$51</formula1>
    </dataValidation>
    <dataValidation type="list" allowBlank="1" showInputMessage="1" showErrorMessage="1" sqref="D23">
      <formula1>$D$24:$D$39</formula1>
    </dataValidation>
    <dataValidation type="list" allowBlank="1" showInputMessage="1" showErrorMessage="1" sqref="D54">
      <formula1>$D$55:$D$58</formula1>
    </dataValidation>
  </dataValidations>
  <pageMargins left="0.7" right="0.7" top="0.75" bottom="0.75" header="0.3" footer="0.3"/>
  <pageSetup paperSize="9" scale="78" orientation="portrait" copies="2" r:id="rId1"/>
</worksheet>
</file>

<file path=xl/worksheets/sheet52.xml><?xml version="1.0" encoding="utf-8"?>
<worksheet xmlns="http://schemas.openxmlformats.org/spreadsheetml/2006/main" xmlns:r="http://schemas.openxmlformats.org/officeDocument/2006/relationships">
  <sheetPr>
    <pageSetUpPr fitToPage="1"/>
  </sheetPr>
  <dimension ref="B1:H78"/>
  <sheetViews>
    <sheetView topLeftCell="A6" zoomScale="75" zoomScaleNormal="75" workbookViewId="0">
      <selection activeCell="K80" sqref="K80"/>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s>
  <sheetData>
    <row r="1" spans="2:6" ht="18.75">
      <c r="B1" s="25" t="s">
        <v>60</v>
      </c>
    </row>
    <row r="2" spans="2:6" ht="18.75">
      <c r="B2" s="25" t="s">
        <v>347</v>
      </c>
    </row>
    <row r="3" spans="2:6" ht="18.75">
      <c r="B3" s="25" t="s">
        <v>205</v>
      </c>
    </row>
    <row r="4" spans="2:6" ht="15.75" thickBot="1">
      <c r="C4" s="33"/>
    </row>
    <row r="5" spans="2:6" ht="18.75">
      <c r="B5" s="356"/>
      <c r="C5" s="357" t="s">
        <v>105</v>
      </c>
      <c r="D5" s="358"/>
      <c r="E5" s="359"/>
      <c r="F5" s="360"/>
    </row>
    <row r="6" spans="2:6" ht="18.75">
      <c r="B6" s="361"/>
      <c r="C6" s="362" t="s">
        <v>205</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372" t="s">
        <v>264</v>
      </c>
      <c r="E10" s="369"/>
      <c r="F10" s="370"/>
    </row>
    <row r="11" spans="2:6" s="32" customFormat="1">
      <c r="B11" s="366"/>
      <c r="C11" s="367" t="s">
        <v>109</v>
      </c>
      <c r="D11" s="373">
        <v>40228</v>
      </c>
      <c r="E11" s="369"/>
      <c r="F11" s="370"/>
    </row>
    <row r="12" spans="2:6" s="32" customFormat="1">
      <c r="B12" s="366"/>
      <c r="C12" s="367" t="s">
        <v>101</v>
      </c>
      <c r="D12" s="373">
        <v>40816</v>
      </c>
      <c r="E12" s="369"/>
      <c r="F12" s="370"/>
    </row>
    <row r="13" spans="2:6" s="32" customFormat="1">
      <c r="B13" s="366"/>
      <c r="C13" s="367"/>
      <c r="D13" s="368"/>
      <c r="E13" s="369"/>
      <c r="F13" s="370"/>
    </row>
    <row r="14" spans="2:6">
      <c r="B14" s="361"/>
      <c r="C14" s="367" t="s">
        <v>100</v>
      </c>
      <c r="D14" s="374" t="s">
        <v>99</v>
      </c>
      <c r="E14" s="375" t="s">
        <v>96</v>
      </c>
      <c r="F14" s="365"/>
    </row>
    <row r="15" spans="2:6">
      <c r="B15" s="361"/>
      <c r="C15" s="364"/>
      <c r="D15" s="374" t="s">
        <v>98</v>
      </c>
      <c r="E15" s="374"/>
      <c r="F15" s="365"/>
    </row>
    <row r="16" spans="2:6">
      <c r="B16" s="361"/>
      <c r="C16" s="364"/>
      <c r="D16" s="374" t="s">
        <v>97</v>
      </c>
      <c r="E16" s="374"/>
      <c r="F16" s="365"/>
    </row>
    <row r="17" spans="2:6">
      <c r="B17" s="361"/>
      <c r="C17" s="364"/>
      <c r="D17" s="374" t="s">
        <v>45</v>
      </c>
      <c r="E17" s="374"/>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67" t="s">
        <v>94</v>
      </c>
      <c r="D23" s="371" t="s">
        <v>58</v>
      </c>
      <c r="E23" s="364"/>
      <c r="F23" s="365"/>
    </row>
    <row r="24" spans="2:6" hidden="1">
      <c r="B24" s="361"/>
      <c r="C24" s="367"/>
      <c r="D24" s="371"/>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63"/>
      <c r="E40" s="364"/>
      <c r="F40" s="365"/>
    </row>
    <row r="41" spans="2:6">
      <c r="B41" s="361"/>
      <c r="C41" s="376" t="s">
        <v>65</v>
      </c>
      <c r="D41" s="371"/>
      <c r="E41" s="364"/>
      <c r="F41" s="365"/>
    </row>
    <row r="42" spans="2:6">
      <c r="B42" s="361"/>
      <c r="C42" s="377"/>
      <c r="D42" s="363"/>
      <c r="E42" s="364"/>
      <c r="F42" s="365"/>
    </row>
    <row r="43" spans="2:6" ht="18.75">
      <c r="B43" s="392"/>
      <c r="C43" s="393" t="s">
        <v>80</v>
      </c>
      <c r="D43" s="394"/>
      <c r="E43" s="395"/>
      <c r="F43" s="396"/>
    </row>
    <row r="44" spans="2:6">
      <c r="B44" s="392"/>
      <c r="C44" s="391" t="s">
        <v>79</v>
      </c>
      <c r="D44" s="397" t="s">
        <v>693</v>
      </c>
      <c r="E44" s="395"/>
      <c r="F44" s="396"/>
    </row>
    <row r="45" spans="2:6">
      <c r="B45" s="392"/>
      <c r="C45" s="391" t="s">
        <v>78</v>
      </c>
      <c r="D45" s="397" t="s">
        <v>693</v>
      </c>
      <c r="E45" s="395"/>
      <c r="F45" s="396"/>
    </row>
    <row r="46" spans="2:6" ht="30">
      <c r="B46" s="392"/>
      <c r="C46" s="398" t="s">
        <v>77</v>
      </c>
      <c r="D46" s="397" t="s">
        <v>693</v>
      </c>
      <c r="E46" s="395"/>
      <c r="F46" s="396"/>
    </row>
    <row r="47" spans="2:6" ht="30">
      <c r="B47" s="392"/>
      <c r="C47" s="400" t="s">
        <v>76</v>
      </c>
      <c r="D47" s="397" t="s">
        <v>276</v>
      </c>
      <c r="E47" s="395"/>
      <c r="F47" s="396"/>
    </row>
    <row r="48" spans="2:6" hidden="1">
      <c r="B48" s="30"/>
      <c r="C48" s="31"/>
      <c r="D48" s="94" t="s">
        <v>209</v>
      </c>
      <c r="E48" s="29"/>
      <c r="F48" s="28"/>
    </row>
    <row r="49" spans="2:6" hidden="1">
      <c r="B49" s="30"/>
      <c r="C49" s="31"/>
      <c r="D49" s="94" t="s">
        <v>277</v>
      </c>
      <c r="E49" s="29"/>
      <c r="F49" s="28"/>
    </row>
    <row r="50" spans="2:6" hidden="1">
      <c r="B50" s="30"/>
      <c r="C50" s="31"/>
      <c r="D50" s="94" t="s">
        <v>276</v>
      </c>
      <c r="E50" s="29"/>
      <c r="F50" s="28"/>
    </row>
    <row r="51" spans="2:6" hidden="1">
      <c r="B51" s="30"/>
      <c r="C51" s="31"/>
      <c r="D51" s="94" t="s">
        <v>278</v>
      </c>
      <c r="E51" s="29"/>
      <c r="F51" s="28"/>
    </row>
    <row r="52" spans="2:6">
      <c r="B52" s="392"/>
      <c r="C52" s="403"/>
      <c r="D52" s="394"/>
      <c r="E52" s="395"/>
      <c r="F52" s="396"/>
    </row>
    <row r="53" spans="2:6" ht="18.75">
      <c r="B53" s="346"/>
      <c r="C53" s="347" t="s">
        <v>75</v>
      </c>
      <c r="D53" s="348"/>
      <c r="E53" s="349"/>
      <c r="F53" s="350"/>
    </row>
    <row r="54" spans="2:6">
      <c r="B54" s="346"/>
      <c r="C54" s="351" t="s">
        <v>74</v>
      </c>
      <c r="D54" s="352" t="s">
        <v>72</v>
      </c>
      <c r="E54" s="349"/>
      <c r="F54" s="350"/>
    </row>
    <row r="55" spans="2:6" hidden="1">
      <c r="B55" s="346"/>
      <c r="C55" s="355"/>
      <c r="D55" s="409"/>
      <c r="E55" s="349"/>
      <c r="F55" s="350"/>
    </row>
    <row r="56" spans="2:6" hidden="1">
      <c r="B56" s="346"/>
      <c r="C56" s="355"/>
      <c r="D56" s="410" t="s">
        <v>73</v>
      </c>
      <c r="E56" s="349"/>
      <c r="F56" s="350"/>
    </row>
    <row r="57" spans="2:6" hidden="1">
      <c r="B57" s="346"/>
      <c r="C57" s="355"/>
      <c r="D57" s="410" t="s">
        <v>72</v>
      </c>
      <c r="E57" s="349"/>
      <c r="F57" s="350"/>
    </row>
    <row r="58" spans="2:6" hidden="1">
      <c r="B58" s="346"/>
      <c r="C58" s="355"/>
      <c r="D58" s="410" t="s">
        <v>71</v>
      </c>
      <c r="E58" s="349"/>
      <c r="F58" s="350"/>
    </row>
    <row r="59" spans="2:6">
      <c r="B59" s="346"/>
      <c r="C59" s="351"/>
      <c r="D59" s="348"/>
      <c r="E59" s="349"/>
      <c r="F59" s="350"/>
    </row>
    <row r="60" spans="2:6">
      <c r="B60" s="346"/>
      <c r="C60" s="351" t="s">
        <v>70</v>
      </c>
      <c r="D60" s="352" t="s">
        <v>69</v>
      </c>
      <c r="E60" s="349"/>
      <c r="F60" s="350"/>
    </row>
    <row r="61" spans="2:6" hidden="1">
      <c r="B61" s="346"/>
      <c r="C61" s="351"/>
      <c r="D61" s="353" t="s">
        <v>69</v>
      </c>
      <c r="E61" s="411"/>
      <c r="F61" s="350"/>
    </row>
    <row r="62" spans="2:6" hidden="1">
      <c r="B62" s="346"/>
      <c r="C62" s="351"/>
      <c r="D62" s="353" t="s">
        <v>68</v>
      </c>
      <c r="E62" s="411"/>
      <c r="F62" s="350"/>
    </row>
    <row r="63" spans="2:6" hidden="1">
      <c r="B63" s="346"/>
      <c r="C63" s="351"/>
      <c r="D63" s="353" t="s">
        <v>67</v>
      </c>
      <c r="E63" s="411"/>
      <c r="F63" s="350"/>
    </row>
    <row r="64" spans="2:6" hidden="1">
      <c r="B64" s="346"/>
      <c r="C64" s="351"/>
      <c r="D64" s="353" t="s">
        <v>66</v>
      </c>
      <c r="E64" s="411"/>
      <c r="F64" s="350"/>
    </row>
    <row r="65" spans="2:8">
      <c r="B65" s="346"/>
      <c r="C65" s="354" t="s">
        <v>65</v>
      </c>
      <c r="D65" s="352"/>
      <c r="E65" s="349"/>
      <c r="F65" s="350"/>
    </row>
    <row r="66" spans="2:8">
      <c r="B66" s="346"/>
      <c r="C66" s="351"/>
      <c r="D66" s="348"/>
      <c r="E66" s="349"/>
      <c r="F66" s="350"/>
    </row>
    <row r="67" spans="2:8" ht="18.75">
      <c r="B67" s="419"/>
      <c r="C67" s="420" t="s">
        <v>64</v>
      </c>
      <c r="D67" s="421"/>
      <c r="E67" s="422"/>
      <c r="F67" s="423"/>
    </row>
    <row r="68" spans="2:8">
      <c r="B68" s="419"/>
      <c r="C68" s="418" t="s">
        <v>63</v>
      </c>
      <c r="D68" s="447">
        <v>1250000000</v>
      </c>
      <c r="E68" s="422"/>
      <c r="F68" s="423"/>
    </row>
    <row r="69" spans="2:8">
      <c r="B69" s="419"/>
      <c r="C69" s="418" t="s">
        <v>107</v>
      </c>
      <c r="D69" s="425" t="s">
        <v>111</v>
      </c>
      <c r="E69" s="422"/>
      <c r="F69" s="423"/>
    </row>
    <row r="70" spans="2:8">
      <c r="B70" s="419"/>
      <c r="C70" s="418" t="s">
        <v>119</v>
      </c>
      <c r="D70" s="424">
        <f>'D8 cont - Needs ID'!K52</f>
        <v>175613317.00000006</v>
      </c>
      <c r="E70" s="422"/>
      <c r="F70" s="423"/>
      <c r="H70" s="132"/>
    </row>
    <row r="71" spans="2:8">
      <c r="B71" s="419"/>
      <c r="C71" s="418"/>
      <c r="D71" s="421"/>
      <c r="E71" s="422"/>
      <c r="F71" s="423"/>
    </row>
    <row r="72" spans="2:8">
      <c r="B72" s="419"/>
      <c r="C72" s="418" t="s">
        <v>223</v>
      </c>
      <c r="D72" s="426" t="s">
        <v>3</v>
      </c>
      <c r="E72" s="422"/>
      <c r="F72" s="423"/>
    </row>
    <row r="73" spans="2:8">
      <c r="B73" s="419"/>
      <c r="C73" s="418" t="s">
        <v>62</v>
      </c>
      <c r="D73" s="426" t="s">
        <v>203</v>
      </c>
      <c r="E73" s="422"/>
      <c r="F73" s="423"/>
    </row>
    <row r="74" spans="2:8">
      <c r="B74" s="419"/>
      <c r="C74" s="418"/>
      <c r="D74" s="421"/>
      <c r="E74" s="422"/>
      <c r="F74" s="423"/>
    </row>
    <row r="75" spans="2:8">
      <c r="B75" s="419"/>
      <c r="C75" s="418" t="s">
        <v>61</v>
      </c>
      <c r="D75" s="427" t="s">
        <v>360</v>
      </c>
      <c r="E75" s="422"/>
      <c r="F75" s="423"/>
    </row>
    <row r="76" spans="2:8">
      <c r="B76" s="419"/>
      <c r="C76" s="418"/>
      <c r="D76" s="421" t="s">
        <v>359</v>
      </c>
      <c r="E76" s="422"/>
      <c r="F76" s="423"/>
    </row>
    <row r="77" spans="2:8">
      <c r="B77" s="419"/>
      <c r="C77" s="428"/>
      <c r="D77" s="421"/>
      <c r="E77" s="422"/>
      <c r="F77" s="423"/>
    </row>
    <row r="78" spans="2:8" ht="15.75" thickBot="1">
      <c r="B78" s="429"/>
      <c r="C78" s="430"/>
      <c r="D78" s="431"/>
      <c r="E78" s="430"/>
      <c r="F78" s="432"/>
    </row>
  </sheetData>
  <phoneticPr fontId="19" type="noConversion"/>
  <dataValidations count="7">
    <dataValidation type="list" allowBlank="1" showInputMessage="1" showErrorMessage="1" sqref="D54">
      <formula1>$D$55:$D$58</formula1>
    </dataValidation>
    <dataValidation type="list" allowBlank="1" showInputMessage="1" showErrorMessage="1" sqref="D23">
      <formula1>$D$24:$D$39</formula1>
    </dataValidation>
    <dataValidation type="list" allowBlank="1" showInputMessage="1" showErrorMessage="1" sqref="D47">
      <formula1>$D$48:$D$51</formula1>
    </dataValidation>
    <dataValidation type="list" allowBlank="1" showInputMessage="1" showErrorMessage="1" sqref="E22 D24">
      <formula1>$D$25:$D$39</formula1>
    </dataValidation>
    <dataValidation type="list" allowBlank="1" showInputMessage="1" showErrorMessage="1" sqref="E58">
      <formula1>#REF!</formula1>
    </dataValidation>
    <dataValidation type="list" allowBlank="1" showInputMessage="1" showErrorMessage="1" sqref="E55">
      <formula1>$D$56:$D$57</formula1>
    </dataValidation>
    <dataValidation type="list" allowBlank="1" showInputMessage="1" showErrorMessage="1" sqref="D60:E60">
      <formula1>$D$61:$D$64</formula1>
    </dataValidation>
  </dataValidations>
  <pageMargins left="0.7" right="0.7" top="0.75" bottom="0.75" header="0.3" footer="0.3"/>
  <pageSetup paperSize="9" scale="74" orientation="portrait" r:id="rId1"/>
</worksheet>
</file>

<file path=xl/worksheets/sheet53.xml><?xml version="1.0" encoding="utf-8"?>
<worksheet xmlns="http://schemas.openxmlformats.org/spreadsheetml/2006/main" xmlns:r="http://schemas.openxmlformats.org/officeDocument/2006/relationships">
  <sheetPr>
    <pageSetUpPr fitToPage="1"/>
  </sheetPr>
  <dimension ref="B1:L61"/>
  <sheetViews>
    <sheetView zoomScale="75" zoomScaleNormal="75" workbookViewId="0">
      <selection activeCell="L52" sqref="L52"/>
    </sheetView>
  </sheetViews>
  <sheetFormatPr defaultRowHeight="15"/>
  <cols>
    <col min="1" max="1" width="3.7109375" customWidth="1"/>
    <col min="2" max="2" width="46.28515625" customWidth="1"/>
    <col min="3" max="3" width="11.5703125" bestFit="1" customWidth="1"/>
    <col min="4" max="4" width="13.85546875" bestFit="1" customWidth="1"/>
    <col min="5" max="5" width="12.7109375" bestFit="1" customWidth="1"/>
    <col min="6" max="6" width="16" bestFit="1" customWidth="1"/>
    <col min="7" max="7" width="15.7109375" bestFit="1" customWidth="1"/>
    <col min="8" max="8" width="13.85546875" bestFit="1" customWidth="1"/>
    <col min="9" max="10" width="12.7109375" bestFit="1" customWidth="1"/>
    <col min="11" max="11" width="13.85546875" bestFit="1" customWidth="1"/>
  </cols>
  <sheetData>
    <row r="1" spans="2:9" ht="18.75">
      <c r="B1" s="25" t="s">
        <v>60</v>
      </c>
    </row>
    <row r="2" spans="2:9" ht="18.75">
      <c r="B2" s="25" t="s">
        <v>347</v>
      </c>
    </row>
    <row r="3" spans="2:9" ht="18.75">
      <c r="B3" s="25" t="s">
        <v>272</v>
      </c>
    </row>
    <row r="4" spans="2:9" ht="15.75" thickBot="1"/>
    <row r="5" spans="2:9">
      <c r="B5" s="155" t="s">
        <v>320</v>
      </c>
      <c r="C5" s="5"/>
      <c r="D5" s="5"/>
      <c r="E5" s="5"/>
      <c r="F5" s="5"/>
      <c r="G5" s="6"/>
    </row>
    <row r="6" spans="2:9">
      <c r="B6" s="7"/>
      <c r="C6" s="8"/>
      <c r="D6" s="8"/>
      <c r="E6" s="8"/>
      <c r="F6" s="66" t="s">
        <v>345</v>
      </c>
      <c r="G6" s="157" t="s">
        <v>342</v>
      </c>
    </row>
    <row r="7" spans="2:9">
      <c r="B7" s="7" t="s">
        <v>332</v>
      </c>
      <c r="C7" s="8"/>
      <c r="D7" s="8"/>
      <c r="E7" s="8"/>
      <c r="F7" s="99">
        <v>15005</v>
      </c>
      <c r="G7" s="250">
        <f>F7/14</f>
        <v>1071.7857142857142</v>
      </c>
    </row>
    <row r="8" spans="2:9">
      <c r="B8" s="7" t="s">
        <v>339</v>
      </c>
      <c r="C8" s="8"/>
      <c r="D8" s="8"/>
      <c r="E8" s="8"/>
      <c r="F8" s="246">
        <v>13780</v>
      </c>
      <c r="G8" s="250">
        <f>F8/14</f>
        <v>984.28571428571433</v>
      </c>
    </row>
    <row r="9" spans="2:9">
      <c r="B9" s="7"/>
      <c r="C9" s="8"/>
      <c r="D9" s="8"/>
      <c r="E9" s="8"/>
      <c r="F9" s="8"/>
      <c r="G9" s="232"/>
    </row>
    <row r="10" spans="2:9">
      <c r="B10" s="7" t="s">
        <v>368</v>
      </c>
      <c r="C10" s="8"/>
      <c r="D10" s="8"/>
      <c r="E10" s="8"/>
      <c r="F10" s="99">
        <v>376281000</v>
      </c>
      <c r="G10" s="250">
        <f>F10/14</f>
        <v>26877214.285714287</v>
      </c>
    </row>
    <row r="11" spans="2:9">
      <c r="B11" s="7" t="s">
        <v>338</v>
      </c>
      <c r="C11" s="8"/>
      <c r="D11" s="8"/>
      <c r="E11" s="8"/>
      <c r="F11" s="245">
        <v>357422600</v>
      </c>
      <c r="G11" s="232">
        <f>F11/14</f>
        <v>25530185.714285713</v>
      </c>
    </row>
    <row r="12" spans="2:9" ht="15.75" thickBot="1">
      <c r="B12" s="158" t="s">
        <v>333</v>
      </c>
      <c r="C12" s="8"/>
      <c r="D12" s="8"/>
      <c r="E12" s="8"/>
      <c r="F12" s="248">
        <f>F10-F11</f>
        <v>18858400</v>
      </c>
      <c r="G12" s="259">
        <f>G10-G11</f>
        <v>1347028.5714285746</v>
      </c>
    </row>
    <row r="13" spans="2:9" ht="15.75" thickBot="1">
      <c r="B13" s="11"/>
      <c r="C13" s="12"/>
      <c r="D13" s="12"/>
      <c r="E13" s="12"/>
      <c r="F13" s="12"/>
      <c r="G13" s="51"/>
    </row>
    <row r="14" spans="2:9" ht="15.75" thickBot="1"/>
    <row r="15" spans="2:9">
      <c r="B15" s="155" t="s">
        <v>343</v>
      </c>
      <c r="C15" s="5"/>
      <c r="D15" s="5"/>
      <c r="E15" s="5"/>
      <c r="F15" s="5"/>
      <c r="G15" s="6"/>
      <c r="H15" s="8"/>
      <c r="I15" s="8"/>
    </row>
    <row r="16" spans="2:9">
      <c r="B16" s="7"/>
      <c r="C16" s="8"/>
      <c r="D16" s="8"/>
      <c r="E16" s="8"/>
      <c r="F16" s="66" t="s">
        <v>345</v>
      </c>
      <c r="G16" s="157" t="s">
        <v>342</v>
      </c>
      <c r="H16" s="66"/>
      <c r="I16" s="8"/>
    </row>
    <row r="17" spans="2:9">
      <c r="B17" s="7"/>
      <c r="C17" s="8"/>
      <c r="D17" s="8"/>
      <c r="E17" s="8"/>
      <c r="F17" s="8"/>
      <c r="G17" s="10"/>
      <c r="H17" s="8"/>
      <c r="I17" s="8"/>
    </row>
    <row r="18" spans="2:9">
      <c r="B18" s="252" t="s">
        <v>324</v>
      </c>
      <c r="C18" s="8"/>
      <c r="D18" s="8"/>
      <c r="E18" s="8"/>
      <c r="F18" s="143">
        <v>2660.2855922423223</v>
      </c>
      <c r="G18" s="10"/>
      <c r="H18" s="8"/>
      <c r="I18" s="8"/>
    </row>
    <row r="19" spans="2:9">
      <c r="B19" s="252" t="s">
        <v>323</v>
      </c>
      <c r="C19" s="8"/>
      <c r="D19" s="8"/>
      <c r="E19" s="8"/>
      <c r="F19" s="143">
        <v>2200</v>
      </c>
      <c r="G19" s="10"/>
      <c r="H19" s="8"/>
      <c r="I19" s="8"/>
    </row>
    <row r="20" spans="2:9">
      <c r="B20" s="252" t="s">
        <v>322</v>
      </c>
      <c r="C20" s="8"/>
      <c r="D20" s="8"/>
      <c r="E20" s="8"/>
      <c r="F20" s="99">
        <f>F18-F19</f>
        <v>460.28559224232231</v>
      </c>
      <c r="G20" s="10"/>
      <c r="H20" s="8"/>
      <c r="I20" s="8"/>
    </row>
    <row r="21" spans="2:9">
      <c r="B21" s="253"/>
      <c r="C21" s="8"/>
      <c r="D21" s="8"/>
      <c r="E21" s="8"/>
      <c r="F21" s="143"/>
      <c r="G21" s="10"/>
      <c r="H21" s="8"/>
      <c r="I21" s="8"/>
    </row>
    <row r="22" spans="2:9">
      <c r="B22" s="252" t="s">
        <v>335</v>
      </c>
      <c r="C22" s="8"/>
      <c r="D22" s="8"/>
      <c r="E22" s="8"/>
      <c r="F22" s="254">
        <v>12.28314245803225</v>
      </c>
      <c r="G22" s="284"/>
      <c r="H22" s="8"/>
      <c r="I22" s="8"/>
    </row>
    <row r="23" spans="2:9">
      <c r="B23" s="255" t="s">
        <v>334</v>
      </c>
      <c r="C23" s="247"/>
      <c r="D23" s="8"/>
      <c r="E23" s="8"/>
      <c r="F23" s="254">
        <v>10.973875181422351</v>
      </c>
      <c r="G23" s="284"/>
      <c r="H23" s="105"/>
      <c r="I23" s="8"/>
    </row>
    <row r="24" spans="2:9">
      <c r="B24" s="252" t="s">
        <v>325</v>
      </c>
      <c r="C24" s="247"/>
      <c r="D24" s="8"/>
      <c r="E24" s="8"/>
      <c r="F24" s="249">
        <f>F22-F23</f>
        <v>1.3092672766098996</v>
      </c>
      <c r="G24" s="284"/>
      <c r="H24" s="105"/>
      <c r="I24" s="8"/>
    </row>
    <row r="25" spans="2:9">
      <c r="B25" s="255"/>
      <c r="C25" s="247"/>
      <c r="D25" s="8"/>
      <c r="E25" s="8"/>
      <c r="F25" s="254"/>
      <c r="G25" s="284"/>
      <c r="H25" s="8"/>
      <c r="I25" s="8"/>
    </row>
    <row r="26" spans="2:9">
      <c r="B26" s="255" t="s">
        <v>339</v>
      </c>
      <c r="C26" s="247"/>
      <c r="D26" s="8"/>
      <c r="E26" s="8"/>
      <c r="F26" s="99">
        <v>13780</v>
      </c>
      <c r="G26" s="250">
        <f>F26/14</f>
        <v>984.28571428571433</v>
      </c>
      <c r="H26" s="8"/>
      <c r="I26" s="8"/>
    </row>
    <row r="27" spans="2:9">
      <c r="B27" s="255"/>
      <c r="C27" s="247"/>
      <c r="D27" s="8"/>
      <c r="E27" s="8"/>
      <c r="F27" s="143"/>
      <c r="G27" s="284"/>
      <c r="H27" s="8"/>
      <c r="I27" s="8"/>
    </row>
    <row r="28" spans="2:9">
      <c r="B28" s="7" t="s">
        <v>341</v>
      </c>
      <c r="C28" s="8"/>
      <c r="D28" s="8"/>
      <c r="E28" s="8"/>
      <c r="F28" s="95">
        <f>F18*F22*F26</f>
        <v>450284470.00000006</v>
      </c>
      <c r="G28" s="232">
        <f>F28/14</f>
        <v>32163176.428571433</v>
      </c>
      <c r="H28" s="8"/>
      <c r="I28" s="8"/>
    </row>
    <row r="29" spans="2:9">
      <c r="B29" s="7" t="s">
        <v>340</v>
      </c>
      <c r="C29" s="8"/>
      <c r="D29" s="8"/>
      <c r="E29" s="8"/>
      <c r="F29" s="95">
        <f>F19*F23*F26</f>
        <v>332684000</v>
      </c>
      <c r="G29" s="232">
        <f>F29/14</f>
        <v>23763142.857142858</v>
      </c>
      <c r="H29" s="139"/>
      <c r="I29" s="8"/>
    </row>
    <row r="30" spans="2:9" ht="15.75" thickBot="1">
      <c r="B30" s="158" t="s">
        <v>321</v>
      </c>
      <c r="C30" s="8"/>
      <c r="D30" s="8"/>
      <c r="E30" s="8"/>
      <c r="F30" s="248">
        <f>F28-F29</f>
        <v>117600470.00000006</v>
      </c>
      <c r="G30" s="251">
        <f>G28-G29</f>
        <v>8400033.5714285746</v>
      </c>
      <c r="H30" s="260"/>
      <c r="I30" s="8"/>
    </row>
    <row r="31" spans="2:9" ht="15.75" thickBot="1">
      <c r="B31" s="11"/>
      <c r="C31" s="12"/>
      <c r="D31" s="12"/>
      <c r="E31" s="12"/>
      <c r="F31" s="12"/>
      <c r="G31" s="51"/>
      <c r="H31" s="8"/>
      <c r="I31" s="8"/>
    </row>
    <row r="32" spans="2:9" ht="15.75" thickBot="1"/>
    <row r="33" spans="2:7">
      <c r="B33" s="155" t="s">
        <v>236</v>
      </c>
      <c r="C33" s="5"/>
      <c r="D33" s="5"/>
      <c r="E33" s="5"/>
      <c r="F33" s="5"/>
      <c r="G33" s="6"/>
    </row>
    <row r="34" spans="2:7">
      <c r="B34" s="158"/>
      <c r="C34" s="8"/>
      <c r="D34" s="8"/>
      <c r="E34" s="8"/>
      <c r="F34" s="66" t="s">
        <v>344</v>
      </c>
      <c r="G34" s="157" t="s">
        <v>342</v>
      </c>
    </row>
    <row r="35" spans="2:7">
      <c r="B35" s="7" t="s">
        <v>337</v>
      </c>
      <c r="C35" s="8"/>
      <c r="D35" s="8"/>
      <c r="E35" s="8"/>
      <c r="F35" s="143">
        <v>179650000</v>
      </c>
      <c r="G35" s="258">
        <f>F35/21</f>
        <v>8554761.9047619049</v>
      </c>
    </row>
    <row r="36" spans="2:7">
      <c r="B36" s="7" t="s">
        <v>336</v>
      </c>
      <c r="C36" s="8"/>
      <c r="D36" s="8"/>
      <c r="E36" s="8"/>
      <c r="F36" s="143">
        <v>140495553</v>
      </c>
      <c r="G36" s="258">
        <f>F36/21</f>
        <v>6690264.4285714282</v>
      </c>
    </row>
    <row r="37" spans="2:7" ht="15.75" thickBot="1">
      <c r="B37" s="158" t="s">
        <v>321</v>
      </c>
      <c r="C37" s="8"/>
      <c r="D37" s="8"/>
      <c r="E37" s="8"/>
      <c r="F37" s="248">
        <f>F35-F36</f>
        <v>39154447</v>
      </c>
      <c r="G37" s="251">
        <f>G35-G36</f>
        <v>1864497.4761904767</v>
      </c>
    </row>
    <row r="38" spans="2:7" ht="15.75" thickBot="1">
      <c r="B38" s="11"/>
      <c r="C38" s="12"/>
      <c r="D38" s="12"/>
      <c r="E38" s="12"/>
      <c r="F38" s="12"/>
      <c r="G38" s="51"/>
    </row>
    <row r="39" spans="2:7" ht="15.75" thickBot="1"/>
    <row r="40" spans="2:7">
      <c r="B40" s="155" t="s">
        <v>331</v>
      </c>
      <c r="C40" s="5"/>
      <c r="D40" s="5"/>
      <c r="E40" s="6"/>
    </row>
    <row r="41" spans="2:7">
      <c r="B41" s="158"/>
      <c r="C41" s="8"/>
      <c r="D41" s="8"/>
      <c r="E41" s="10"/>
    </row>
    <row r="42" spans="2:7">
      <c r="B42" s="158" t="s">
        <v>238</v>
      </c>
      <c r="C42" s="8"/>
      <c r="D42" s="8"/>
      <c r="E42" s="10"/>
    </row>
    <row r="43" spans="2:7">
      <c r="B43" s="244" t="s">
        <v>237</v>
      </c>
      <c r="C43" s="8"/>
      <c r="D43" s="143">
        <f>F12</f>
        <v>18858400</v>
      </c>
      <c r="E43" s="10"/>
      <c r="F43" s="82"/>
    </row>
    <row r="44" spans="2:7">
      <c r="B44" s="261" t="s">
        <v>346</v>
      </c>
      <c r="C44" s="8"/>
      <c r="D44" s="143">
        <f>F30</f>
        <v>117600470.00000006</v>
      </c>
      <c r="E44" s="10"/>
      <c r="F44" s="82"/>
    </row>
    <row r="45" spans="2:7">
      <c r="B45" s="158" t="s">
        <v>236</v>
      </c>
      <c r="C45" s="8"/>
      <c r="D45" s="143">
        <f>F37</f>
        <v>39154447</v>
      </c>
      <c r="E45" s="10"/>
      <c r="F45" s="82"/>
    </row>
    <row r="46" spans="2:7">
      <c r="B46" s="158"/>
      <c r="C46" s="8"/>
      <c r="D46" s="256">
        <f>SUM(D43:D45)</f>
        <v>175613317.00000006</v>
      </c>
      <c r="E46" s="10"/>
    </row>
    <row r="47" spans="2:7" ht="15.75" thickBot="1">
      <c r="B47" s="11"/>
      <c r="C47" s="12"/>
      <c r="D47" s="12"/>
      <c r="E47" s="51"/>
    </row>
    <row r="48" spans="2:7" ht="15.75" thickBot="1"/>
    <row r="49" spans="2:12" ht="15.75" thickBot="1">
      <c r="B49" s="155" t="s">
        <v>330</v>
      </c>
      <c r="C49" s="5"/>
      <c r="D49" s="5"/>
      <c r="E49" s="5"/>
      <c r="F49" s="5"/>
      <c r="G49" s="5"/>
      <c r="H49" s="5"/>
      <c r="I49" s="5"/>
      <c r="J49" s="5"/>
      <c r="K49" s="5"/>
      <c r="L49" s="6"/>
    </row>
    <row r="50" spans="2:12">
      <c r="B50" s="7"/>
      <c r="C50" s="66" t="s">
        <v>5</v>
      </c>
      <c r="D50" s="66" t="s">
        <v>6</v>
      </c>
      <c r="E50" s="66" t="s">
        <v>7</v>
      </c>
      <c r="F50" s="66" t="s">
        <v>8</v>
      </c>
      <c r="G50" s="66" t="s">
        <v>9</v>
      </c>
      <c r="H50" s="66" t="s">
        <v>10</v>
      </c>
      <c r="I50" s="66" t="s">
        <v>11</v>
      </c>
      <c r="J50" s="66" t="s">
        <v>13</v>
      </c>
      <c r="K50" s="154" t="s">
        <v>151</v>
      </c>
      <c r="L50" s="10"/>
    </row>
    <row r="51" spans="2:12" ht="15.75" thickBot="1">
      <c r="B51" s="7" t="s">
        <v>235</v>
      </c>
      <c r="C51" s="153">
        <v>1.2500000000000001E-2</v>
      </c>
      <c r="D51" s="153">
        <v>5.6250000000000001E-2</v>
      </c>
      <c r="E51" s="153">
        <v>9.375E-2</v>
      </c>
      <c r="F51" s="153">
        <v>0.125</v>
      </c>
      <c r="G51" s="153">
        <v>0.15625</v>
      </c>
      <c r="H51" s="153">
        <v>0.19375000000000001</v>
      </c>
      <c r="I51" s="153">
        <v>0.23749999999999999</v>
      </c>
      <c r="J51" s="152">
        <v>0.125</v>
      </c>
      <c r="K51" s="243">
        <v>1</v>
      </c>
      <c r="L51" s="10"/>
    </row>
    <row r="52" spans="2:12" ht="15.75" thickBot="1">
      <c r="B52" s="78" t="s">
        <v>130</v>
      </c>
      <c r="C52" s="160">
        <f>$D$46*C51</f>
        <v>2195166.4625000008</v>
      </c>
      <c r="D52" s="160">
        <f t="shared" ref="D52:J52" si="0">$D$46*D51</f>
        <v>9878249.0812500045</v>
      </c>
      <c r="E52" s="160">
        <f t="shared" si="0"/>
        <v>16463748.468750006</v>
      </c>
      <c r="F52" s="160">
        <f t="shared" si="0"/>
        <v>21951664.625000007</v>
      </c>
      <c r="G52" s="160">
        <f t="shared" si="0"/>
        <v>27439580.781250007</v>
      </c>
      <c r="H52" s="160">
        <f t="shared" si="0"/>
        <v>34025080.16875001</v>
      </c>
      <c r="I52" s="160">
        <f t="shared" si="0"/>
        <v>41708162.787500009</v>
      </c>
      <c r="J52" s="160">
        <f t="shared" si="0"/>
        <v>21951664.625000007</v>
      </c>
      <c r="K52" s="159">
        <f>SUM(C52:J52)</f>
        <v>175613317.00000006</v>
      </c>
      <c r="L52" s="257"/>
    </row>
    <row r="53" spans="2:12" ht="15.75" thickBot="1">
      <c r="B53" s="11"/>
      <c r="C53" s="12"/>
      <c r="D53" s="12"/>
      <c r="E53" s="12"/>
      <c r="F53" s="12"/>
      <c r="G53" s="12"/>
      <c r="H53" s="12"/>
      <c r="I53" s="12"/>
      <c r="J53" s="12"/>
      <c r="K53" s="12"/>
      <c r="L53" s="51"/>
    </row>
    <row r="54" spans="2:12" ht="15.75" thickBot="1"/>
    <row r="55" spans="2:12">
      <c r="B55" s="155" t="s">
        <v>329</v>
      </c>
      <c r="C55" s="5"/>
      <c r="D55" s="5"/>
      <c r="E55" s="5"/>
      <c r="F55" s="5"/>
      <c r="G55" s="5"/>
      <c r="H55" s="5"/>
      <c r="I55" s="5"/>
      <c r="J55" s="5"/>
      <c r="K55" s="5"/>
      <c r="L55" s="6"/>
    </row>
    <row r="56" spans="2:12" ht="15.75" thickBot="1">
      <c r="B56" s="7" t="s">
        <v>317</v>
      </c>
      <c r="C56" s="8"/>
      <c r="D56" s="8"/>
      <c r="E56" s="8"/>
      <c r="F56" s="8"/>
      <c r="G56" s="8"/>
      <c r="H56" s="8"/>
      <c r="I56" s="8"/>
      <c r="J56" s="8"/>
      <c r="K56" s="8"/>
      <c r="L56" s="10"/>
    </row>
    <row r="57" spans="2:12" ht="15.75" thickBot="1">
      <c r="B57" s="78" t="s">
        <v>319</v>
      </c>
      <c r="C57" s="160">
        <f t="shared" ref="C57:J57" si="1">(($D$43+$D$44)*C$51)*(2/3)</f>
        <v>1137157.2500000005</v>
      </c>
      <c r="D57" s="160">
        <f t="shared" si="1"/>
        <v>5117207.6250000019</v>
      </c>
      <c r="E57" s="160">
        <f t="shared" si="1"/>
        <v>8528679.3750000037</v>
      </c>
      <c r="F57" s="160">
        <f t="shared" si="1"/>
        <v>11371572.500000004</v>
      </c>
      <c r="G57" s="160">
        <f t="shared" si="1"/>
        <v>14214465.625000004</v>
      </c>
      <c r="H57" s="160">
        <f t="shared" si="1"/>
        <v>17625937.375000007</v>
      </c>
      <c r="I57" s="160">
        <f t="shared" si="1"/>
        <v>21605987.750000007</v>
      </c>
      <c r="J57" s="160">
        <f t="shared" si="1"/>
        <v>11371572.500000004</v>
      </c>
      <c r="K57" s="159">
        <f>SUM(C57:J57)</f>
        <v>90972580.00000003</v>
      </c>
      <c r="L57" s="10"/>
    </row>
    <row r="58" spans="2:12" ht="15.75" thickBot="1">
      <c r="B58" s="7" t="s">
        <v>318</v>
      </c>
      <c r="C58" s="8"/>
      <c r="D58" s="8"/>
      <c r="E58" s="8"/>
      <c r="F58" s="8"/>
      <c r="G58" s="8"/>
      <c r="H58" s="8"/>
      <c r="I58" s="8"/>
      <c r="J58" s="8"/>
      <c r="K58" s="8"/>
      <c r="L58" s="10"/>
    </row>
    <row r="59" spans="2:12" ht="15.75" thickBot="1">
      <c r="B59" s="78" t="s">
        <v>319</v>
      </c>
      <c r="C59" s="160">
        <f t="shared" ref="C59:J59" si="2">($D$45*C$51)/2</f>
        <v>244715.29375000001</v>
      </c>
      <c r="D59" s="160">
        <f t="shared" si="2"/>
        <v>1101218.8218750001</v>
      </c>
      <c r="E59" s="160">
        <f t="shared" si="2"/>
        <v>1835364.703125</v>
      </c>
      <c r="F59" s="160">
        <f t="shared" si="2"/>
        <v>2447152.9375</v>
      </c>
      <c r="G59" s="160">
        <f t="shared" si="2"/>
        <v>3058941.171875</v>
      </c>
      <c r="H59" s="160">
        <f t="shared" si="2"/>
        <v>3793087.0531250001</v>
      </c>
      <c r="I59" s="160">
        <f t="shared" si="2"/>
        <v>4649590.5812499998</v>
      </c>
      <c r="J59" s="160">
        <f t="shared" si="2"/>
        <v>2447152.9375</v>
      </c>
      <c r="K59" s="159">
        <f>SUM(C59:J59)</f>
        <v>19577223.5</v>
      </c>
      <c r="L59" s="10"/>
    </row>
    <row r="60" spans="2:12" ht="15.75" thickBot="1">
      <c r="B60" s="158" t="s">
        <v>151</v>
      </c>
      <c r="C60" s="206">
        <f t="shared" ref="C60:J60" si="3">C57+C59</f>
        <v>1381872.5437500004</v>
      </c>
      <c r="D60" s="206">
        <f t="shared" si="3"/>
        <v>6218426.4468750022</v>
      </c>
      <c r="E60" s="206">
        <f t="shared" si="3"/>
        <v>10364044.078125004</v>
      </c>
      <c r="F60" s="206">
        <f t="shared" si="3"/>
        <v>13818725.437500004</v>
      </c>
      <c r="G60" s="206">
        <f t="shared" si="3"/>
        <v>17273406.796875004</v>
      </c>
      <c r="H60" s="206">
        <f t="shared" si="3"/>
        <v>21419024.428125009</v>
      </c>
      <c r="I60" s="206">
        <f t="shared" si="3"/>
        <v>26255578.331250008</v>
      </c>
      <c r="J60" s="242">
        <f t="shared" si="3"/>
        <v>13818725.437500004</v>
      </c>
      <c r="K60" s="159">
        <f>SUM(C60:J60)</f>
        <v>110549803.50000003</v>
      </c>
      <c r="L60" s="10"/>
    </row>
    <row r="61" spans="2:12" ht="15.75" thickBot="1">
      <c r="B61" s="11"/>
      <c r="C61" s="12"/>
      <c r="D61" s="12"/>
      <c r="E61" s="12"/>
      <c r="F61" s="12"/>
      <c r="G61" s="12"/>
      <c r="H61" s="12"/>
      <c r="I61" s="12"/>
      <c r="J61" s="12"/>
      <c r="K61" s="12"/>
      <c r="L61" s="51"/>
    </row>
  </sheetData>
  <phoneticPr fontId="19" type="noConversion"/>
  <pageMargins left="0.7" right="0.7" top="0.75" bottom="0.75" header="0.3" footer="0.3"/>
  <pageSetup paperSize="9" scale="48" orientation="portrait" r:id="rId1"/>
</worksheet>
</file>

<file path=xl/worksheets/sheet54.xml><?xml version="1.0" encoding="utf-8"?>
<worksheet xmlns="http://schemas.openxmlformats.org/spreadsheetml/2006/main" xmlns:r="http://schemas.openxmlformats.org/officeDocument/2006/relationships">
  <sheetPr>
    <pageSetUpPr fitToPage="1"/>
  </sheetPr>
  <dimension ref="B1:AL78"/>
  <sheetViews>
    <sheetView topLeftCell="A52" zoomScale="75" zoomScaleNormal="75" zoomScaleSheetLayoutView="75" workbookViewId="0">
      <selection activeCell="J40" sqref="J40"/>
    </sheetView>
  </sheetViews>
  <sheetFormatPr defaultRowHeight="15"/>
  <cols>
    <col min="1" max="2" width="3.7109375" customWidth="1"/>
    <col min="3" max="3" width="61.42578125" bestFit="1" customWidth="1"/>
    <col min="4" max="4" width="49.7109375" style="26" customWidth="1"/>
    <col min="5" max="5" width="4.7109375" customWidth="1"/>
    <col min="6" max="7" width="3.7109375" customWidth="1"/>
    <col min="8" max="8" width="11.5703125" bestFit="1" customWidth="1"/>
    <col min="9" max="9" width="9.28515625" bestFit="1" customWidth="1"/>
    <col min="10" max="38" width="10.42578125" bestFit="1" customWidth="1"/>
  </cols>
  <sheetData>
    <row r="1" spans="2:6" ht="18.75">
      <c r="B1" s="25" t="s">
        <v>60</v>
      </c>
    </row>
    <row r="2" spans="2:6" ht="18.75">
      <c r="B2" s="25" t="s">
        <v>347</v>
      </c>
    </row>
    <row r="3" spans="2:6" ht="18.75">
      <c r="B3" s="25" t="s">
        <v>206</v>
      </c>
    </row>
    <row r="4" spans="2:6" ht="15.75" thickBot="1">
      <c r="C4" s="33"/>
    </row>
    <row r="5" spans="2:6" ht="18.75">
      <c r="B5" s="356"/>
      <c r="C5" s="357" t="s">
        <v>105</v>
      </c>
      <c r="D5" s="358"/>
      <c r="E5" s="359"/>
      <c r="F5" s="360"/>
    </row>
    <row r="6" spans="2:6" ht="15.75">
      <c r="B6" s="361"/>
      <c r="C6" s="1069" t="s">
        <v>206</v>
      </c>
      <c r="D6" s="1072"/>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372" t="s">
        <v>265</v>
      </c>
      <c r="E10" s="369"/>
      <c r="F10" s="370"/>
    </row>
    <row r="11" spans="2:6" s="32" customFormat="1">
      <c r="B11" s="366"/>
      <c r="C11" s="367" t="s">
        <v>109</v>
      </c>
      <c r="D11" s="373">
        <v>40228</v>
      </c>
      <c r="E11" s="369"/>
      <c r="F11" s="370"/>
    </row>
    <row r="12" spans="2:6" s="32" customFormat="1">
      <c r="B12" s="366"/>
      <c r="C12" s="367" t="s">
        <v>101</v>
      </c>
      <c r="D12" s="373">
        <v>40451</v>
      </c>
      <c r="E12" s="369"/>
      <c r="F12" s="370"/>
    </row>
    <row r="13" spans="2:6" s="32" customFormat="1">
      <c r="B13" s="366"/>
      <c r="C13" s="367"/>
      <c r="D13" s="368"/>
      <c r="E13" s="369"/>
      <c r="F13" s="370"/>
    </row>
    <row r="14" spans="2:6">
      <c r="B14" s="361"/>
      <c r="C14" s="367" t="s">
        <v>100</v>
      </c>
      <c r="D14" s="374" t="s">
        <v>99</v>
      </c>
      <c r="E14" s="375" t="s">
        <v>96</v>
      </c>
      <c r="F14" s="365"/>
    </row>
    <row r="15" spans="2:6">
      <c r="B15" s="361"/>
      <c r="C15" s="364"/>
      <c r="D15" s="374" t="s">
        <v>98</v>
      </c>
      <c r="E15" s="375"/>
      <c r="F15" s="365"/>
    </row>
    <row r="16" spans="2:6">
      <c r="B16" s="361"/>
      <c r="C16" s="364"/>
      <c r="D16" s="374" t="s">
        <v>97</v>
      </c>
      <c r="E16" s="374"/>
      <c r="F16" s="365"/>
    </row>
    <row r="17" spans="2:6">
      <c r="B17" s="361"/>
      <c r="C17" s="364"/>
      <c r="D17" s="374" t="s">
        <v>45</v>
      </c>
      <c r="E17" s="374"/>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67" t="s">
        <v>94</v>
      </c>
      <c r="D23" s="371" t="s">
        <v>58</v>
      </c>
      <c r="E23" s="364"/>
      <c r="F23" s="365"/>
    </row>
    <row r="24" spans="2:6" hidden="1">
      <c r="B24" s="361"/>
      <c r="C24" s="367"/>
      <c r="D24" s="371"/>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63"/>
      <c r="E40" s="364"/>
      <c r="F40" s="365"/>
    </row>
    <row r="41" spans="2:6">
      <c r="B41" s="361"/>
      <c r="C41" s="376" t="s">
        <v>65</v>
      </c>
      <c r="D41" s="371"/>
      <c r="E41" s="364"/>
      <c r="F41" s="365"/>
    </row>
    <row r="42" spans="2:6">
      <c r="B42" s="361"/>
      <c r="C42" s="377"/>
      <c r="D42" s="363"/>
      <c r="E42" s="364"/>
      <c r="F42" s="365"/>
    </row>
    <row r="43" spans="2:6" ht="18.75">
      <c r="B43" s="392"/>
      <c r="C43" s="393" t="s">
        <v>80</v>
      </c>
      <c r="D43" s="394"/>
      <c r="E43" s="395"/>
      <c r="F43" s="396"/>
    </row>
    <row r="44" spans="2:6">
      <c r="B44" s="392"/>
      <c r="C44" s="391" t="s">
        <v>79</v>
      </c>
      <c r="D44" s="397" t="s">
        <v>693</v>
      </c>
      <c r="E44" s="395"/>
      <c r="F44" s="396"/>
    </row>
    <row r="45" spans="2:6">
      <c r="B45" s="392"/>
      <c r="C45" s="391" t="s">
        <v>78</v>
      </c>
      <c r="D45" s="397" t="s">
        <v>693</v>
      </c>
      <c r="E45" s="395"/>
      <c r="F45" s="396"/>
    </row>
    <row r="46" spans="2:6" ht="30">
      <c r="B46" s="392"/>
      <c r="C46" s="398" t="s">
        <v>77</v>
      </c>
      <c r="D46" s="397" t="s">
        <v>693</v>
      </c>
      <c r="E46" s="395"/>
      <c r="F46" s="396"/>
    </row>
    <row r="47" spans="2:6" ht="30">
      <c r="B47" s="392"/>
      <c r="C47" s="400" t="s">
        <v>76</v>
      </c>
      <c r="D47" s="397" t="s">
        <v>276</v>
      </c>
      <c r="E47" s="395"/>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394"/>
      <c r="E52" s="395"/>
      <c r="F52" s="396"/>
    </row>
    <row r="53" spans="2:6" ht="18.75">
      <c r="B53" s="346"/>
      <c r="C53" s="347" t="s">
        <v>75</v>
      </c>
      <c r="D53" s="348"/>
      <c r="E53" s="349"/>
      <c r="F53" s="350"/>
    </row>
    <row r="54" spans="2:6">
      <c r="B54" s="346"/>
      <c r="C54" s="351" t="s">
        <v>74</v>
      </c>
      <c r="D54" s="352" t="s">
        <v>72</v>
      </c>
      <c r="E54" s="349"/>
      <c r="F54" s="350"/>
    </row>
    <row r="55" spans="2:6" hidden="1">
      <c r="B55" s="346"/>
      <c r="C55" s="355"/>
      <c r="D55" s="409"/>
      <c r="E55" s="349"/>
      <c r="F55" s="350"/>
    </row>
    <row r="56" spans="2:6" hidden="1">
      <c r="B56" s="346"/>
      <c r="C56" s="355"/>
      <c r="D56" s="410" t="s">
        <v>73</v>
      </c>
      <c r="E56" s="349"/>
      <c r="F56" s="350"/>
    </row>
    <row r="57" spans="2:6" hidden="1">
      <c r="B57" s="346"/>
      <c r="C57" s="355"/>
      <c r="D57" s="410" t="s">
        <v>72</v>
      </c>
      <c r="E57" s="349"/>
      <c r="F57" s="350"/>
    </row>
    <row r="58" spans="2:6" hidden="1">
      <c r="B58" s="346"/>
      <c r="C58" s="355"/>
      <c r="D58" s="410" t="s">
        <v>71</v>
      </c>
      <c r="E58" s="349"/>
      <c r="F58" s="350"/>
    </row>
    <row r="59" spans="2:6">
      <c r="B59" s="346"/>
      <c r="C59" s="351"/>
      <c r="D59" s="348"/>
      <c r="E59" s="349"/>
      <c r="F59" s="350"/>
    </row>
    <row r="60" spans="2:6">
      <c r="B60" s="346"/>
      <c r="C60" s="351" t="s">
        <v>70</v>
      </c>
      <c r="D60" s="352" t="s">
        <v>69</v>
      </c>
      <c r="E60" s="349"/>
      <c r="F60" s="350"/>
    </row>
    <row r="61" spans="2:6" hidden="1">
      <c r="B61" s="346"/>
      <c r="C61" s="351"/>
      <c r="D61" s="353" t="s">
        <v>69</v>
      </c>
      <c r="E61" s="411"/>
      <c r="F61" s="350"/>
    </row>
    <row r="62" spans="2:6" hidden="1">
      <c r="B62" s="346"/>
      <c r="C62" s="351"/>
      <c r="D62" s="353" t="s">
        <v>68</v>
      </c>
      <c r="E62" s="411"/>
      <c r="F62" s="350"/>
    </row>
    <row r="63" spans="2:6" hidden="1">
      <c r="B63" s="346"/>
      <c r="C63" s="351"/>
      <c r="D63" s="353" t="s">
        <v>67</v>
      </c>
      <c r="E63" s="411"/>
      <c r="F63" s="350"/>
    </row>
    <row r="64" spans="2:6" hidden="1">
      <c r="B64" s="346"/>
      <c r="C64" s="351"/>
      <c r="D64" s="353" t="s">
        <v>66</v>
      </c>
      <c r="E64" s="411"/>
      <c r="F64" s="350"/>
    </row>
    <row r="65" spans="2:38">
      <c r="B65" s="346"/>
      <c r="C65" s="354" t="s">
        <v>65</v>
      </c>
      <c r="D65" s="352"/>
      <c r="E65" s="349"/>
      <c r="F65" s="350"/>
    </row>
    <row r="66" spans="2:38">
      <c r="B66" s="346"/>
      <c r="C66" s="351"/>
      <c r="D66" s="348"/>
      <c r="E66" s="349"/>
      <c r="F66" s="350"/>
    </row>
    <row r="67" spans="2:38" ht="18.75">
      <c r="B67" s="419"/>
      <c r="C67" s="420" t="s">
        <v>64</v>
      </c>
      <c r="D67" s="421"/>
      <c r="E67" s="422"/>
      <c r="F67" s="423"/>
    </row>
    <row r="68" spans="2:38">
      <c r="B68" s="419"/>
      <c r="C68" s="418" t="s">
        <v>63</v>
      </c>
      <c r="D68" s="441">
        <f>1250000000-70000000</f>
        <v>1180000000</v>
      </c>
      <c r="E68" s="422"/>
      <c r="F68" s="423"/>
    </row>
    <row r="69" spans="2:38">
      <c r="B69" s="419"/>
      <c r="C69" s="418" t="s">
        <v>107</v>
      </c>
      <c r="D69" s="427">
        <v>0.03</v>
      </c>
      <c r="E69" s="422"/>
      <c r="F69" s="423"/>
    </row>
    <row r="70" spans="2:38">
      <c r="B70" s="419"/>
      <c r="C70" s="418" t="s">
        <v>119</v>
      </c>
      <c r="D70" s="448">
        <f>D68*D69</f>
        <v>35400000</v>
      </c>
      <c r="E70" s="422"/>
      <c r="F70" s="423"/>
    </row>
    <row r="71" spans="2:38">
      <c r="B71" s="419"/>
      <c r="C71" s="418"/>
      <c r="D71" s="421"/>
      <c r="E71" s="422"/>
      <c r="F71" s="423"/>
    </row>
    <row r="72" spans="2:38">
      <c r="B72" s="419"/>
      <c r="C72" s="418" t="s">
        <v>223</v>
      </c>
      <c r="D72" s="426" t="s">
        <v>739</v>
      </c>
      <c r="E72" s="422"/>
      <c r="F72" s="423"/>
      <c r="I72" t="s">
        <v>3</v>
      </c>
      <c r="J72">
        <v>11</v>
      </c>
      <c r="K72">
        <v>12</v>
      </c>
      <c r="L72">
        <v>13</v>
      </c>
      <c r="M72">
        <v>14</v>
      </c>
      <c r="N72">
        <v>15</v>
      </c>
      <c r="O72">
        <v>16</v>
      </c>
      <c r="P72">
        <v>17</v>
      </c>
      <c r="Q72">
        <v>18</v>
      </c>
      <c r="R72">
        <v>19</v>
      </c>
      <c r="S72">
        <v>20</v>
      </c>
      <c r="T72">
        <v>21</v>
      </c>
      <c r="U72">
        <v>22</v>
      </c>
      <c r="V72">
        <v>23</v>
      </c>
      <c r="W72">
        <v>24</v>
      </c>
      <c r="X72">
        <v>25</v>
      </c>
      <c r="Y72">
        <v>26</v>
      </c>
      <c r="Z72">
        <v>27</v>
      </c>
      <c r="AA72">
        <v>28</v>
      </c>
      <c r="AB72">
        <v>29</v>
      </c>
      <c r="AC72">
        <v>30</v>
      </c>
      <c r="AD72">
        <v>31</v>
      </c>
      <c r="AE72">
        <v>32</v>
      </c>
      <c r="AF72">
        <v>33</v>
      </c>
      <c r="AG72">
        <v>34</v>
      </c>
      <c r="AH72">
        <v>35</v>
      </c>
      <c r="AI72">
        <v>36</v>
      </c>
      <c r="AJ72">
        <v>37</v>
      </c>
      <c r="AK72">
        <v>38</v>
      </c>
      <c r="AL72">
        <v>39</v>
      </c>
    </row>
    <row r="73" spans="2:38">
      <c r="B73" s="419"/>
      <c r="C73" s="418" t="s">
        <v>62</v>
      </c>
      <c r="D73" s="426" t="s">
        <v>740</v>
      </c>
      <c r="E73" s="422"/>
      <c r="F73" s="423"/>
      <c r="H73" t="s">
        <v>667</v>
      </c>
      <c r="I73" s="491">
        <v>0</v>
      </c>
      <c r="J73" s="491">
        <v>0</v>
      </c>
      <c r="K73" s="491">
        <v>0</v>
      </c>
      <c r="L73" s="491">
        <v>0</v>
      </c>
      <c r="M73" s="491">
        <v>1125000</v>
      </c>
      <c r="N73" s="491">
        <v>1125000</v>
      </c>
      <c r="O73" s="491">
        <v>1125000</v>
      </c>
      <c r="P73" s="491">
        <v>1125000</v>
      </c>
      <c r="Q73" s="491">
        <v>1125000</v>
      </c>
      <c r="R73" s="491">
        <v>1125000</v>
      </c>
      <c r="S73" s="491">
        <v>1125000</v>
      </c>
      <c r="T73" s="491">
        <v>1125000</v>
      </c>
      <c r="U73" s="491">
        <v>1125000</v>
      </c>
      <c r="V73" s="491">
        <v>1125000</v>
      </c>
      <c r="W73" s="491">
        <v>1125000</v>
      </c>
      <c r="X73" s="491">
        <v>1125000</v>
      </c>
      <c r="Y73" s="491">
        <v>1125000</v>
      </c>
      <c r="Z73" s="491">
        <v>1125000</v>
      </c>
      <c r="AA73" s="491">
        <v>1125000</v>
      </c>
      <c r="AB73" s="491">
        <v>1125000</v>
      </c>
      <c r="AC73" s="491">
        <v>1125000</v>
      </c>
      <c r="AD73" s="491">
        <v>1125000</v>
      </c>
      <c r="AE73" s="491">
        <v>1125000</v>
      </c>
      <c r="AF73" s="491">
        <v>1125000</v>
      </c>
      <c r="AG73" s="491">
        <v>1125000</v>
      </c>
      <c r="AH73" s="491">
        <v>1125000</v>
      </c>
      <c r="AI73" s="491">
        <v>1125000</v>
      </c>
      <c r="AJ73" s="491">
        <v>1125000</v>
      </c>
      <c r="AK73" s="491">
        <v>1125000</v>
      </c>
      <c r="AL73" s="491">
        <v>1125000</v>
      </c>
    </row>
    <row r="74" spans="2:38">
      <c r="B74" s="419"/>
      <c r="C74" s="418"/>
      <c r="D74" s="421"/>
      <c r="E74" s="422"/>
      <c r="F74" s="423"/>
      <c r="H74" t="s">
        <v>666</v>
      </c>
      <c r="I74" s="491">
        <v>0</v>
      </c>
      <c r="J74" s="491">
        <f>29100000/7</f>
        <v>4157142.8571428573</v>
      </c>
      <c r="K74" s="491">
        <f t="shared" ref="K74:P74" si="0">29100000/7</f>
        <v>4157142.8571428573</v>
      </c>
      <c r="L74" s="491">
        <f t="shared" si="0"/>
        <v>4157142.8571428573</v>
      </c>
      <c r="M74" s="491">
        <f t="shared" si="0"/>
        <v>4157142.8571428573</v>
      </c>
      <c r="N74" s="491">
        <f t="shared" si="0"/>
        <v>4157142.8571428573</v>
      </c>
      <c r="O74" s="491">
        <f t="shared" si="0"/>
        <v>4157142.8571428573</v>
      </c>
      <c r="P74" s="491">
        <f t="shared" si="0"/>
        <v>4157142.8571428573</v>
      </c>
      <c r="Q74" s="491">
        <v>0</v>
      </c>
      <c r="R74" s="491"/>
      <c r="S74" s="491"/>
      <c r="T74" s="491"/>
      <c r="U74" s="491"/>
      <c r="V74" s="491"/>
      <c r="W74" s="491"/>
      <c r="X74" s="491"/>
      <c r="Y74" s="491"/>
      <c r="Z74" s="491"/>
      <c r="AA74" s="491"/>
      <c r="AB74" s="491"/>
      <c r="AC74" s="491"/>
      <c r="AD74" s="491"/>
      <c r="AE74" s="491"/>
      <c r="AF74" s="491"/>
      <c r="AG74" s="491"/>
      <c r="AH74" s="491"/>
      <c r="AI74" s="491"/>
      <c r="AJ74" s="491"/>
      <c r="AK74" s="491"/>
      <c r="AL74" s="491"/>
    </row>
    <row r="75" spans="2:38">
      <c r="B75" s="419"/>
      <c r="C75" s="418" t="s">
        <v>61</v>
      </c>
      <c r="D75" s="427">
        <v>0.5</v>
      </c>
      <c r="E75" s="422"/>
      <c r="F75" s="423"/>
    </row>
    <row r="76" spans="2:38">
      <c r="B76" s="419"/>
      <c r="C76" s="418"/>
      <c r="D76" s="433" t="s">
        <v>359</v>
      </c>
      <c r="E76" s="422"/>
      <c r="F76" s="423"/>
      <c r="H76" s="610" t="s">
        <v>130</v>
      </c>
      <c r="I76" s="611"/>
      <c r="J76" s="613">
        <f>SUM(J72:J75)</f>
        <v>4157153.8571428573</v>
      </c>
      <c r="K76" s="613">
        <f t="shared" ref="K76:O76" si="1">SUM(K72:K75)</f>
        <v>4157154.8571428573</v>
      </c>
      <c r="L76" s="613">
        <f t="shared" si="1"/>
        <v>4157155.8571428573</v>
      </c>
      <c r="M76" s="613">
        <f t="shared" si="1"/>
        <v>5282156.8571428573</v>
      </c>
      <c r="N76" s="613">
        <f t="shared" si="1"/>
        <v>5282157.8571428573</v>
      </c>
      <c r="O76" s="613">
        <f t="shared" si="1"/>
        <v>5282158.8571428573</v>
      </c>
      <c r="P76" s="613">
        <f t="shared" ref="P76" si="2">SUM(P72:P75)</f>
        <v>5282159.8571428573</v>
      </c>
      <c r="Q76" s="613">
        <f t="shared" ref="Q76" si="3">SUM(Q72:Q75)</f>
        <v>1125018</v>
      </c>
      <c r="R76" s="613">
        <f t="shared" ref="R76" si="4">SUM(R72:R75)</f>
        <v>1125019</v>
      </c>
      <c r="S76" s="613">
        <f t="shared" ref="S76:T76" si="5">SUM(S72:S75)</f>
        <v>1125020</v>
      </c>
      <c r="T76" s="613">
        <f t="shared" si="5"/>
        <v>1125021</v>
      </c>
      <c r="U76" s="613">
        <f t="shared" ref="U76" si="6">SUM(U72:U75)</f>
        <v>1125022</v>
      </c>
      <c r="V76" s="613">
        <f t="shared" ref="V76" si="7">SUM(V72:V75)</f>
        <v>1125023</v>
      </c>
      <c r="W76" s="613">
        <f t="shared" ref="W76" si="8">SUM(W72:W75)</f>
        <v>1125024</v>
      </c>
      <c r="X76" s="613">
        <f t="shared" ref="X76" si="9">SUM(X72:X75)</f>
        <v>1125025</v>
      </c>
      <c r="Y76" s="613">
        <f t="shared" ref="Y76" si="10">SUM(Y72:Y75)</f>
        <v>1125026</v>
      </c>
      <c r="Z76" s="613">
        <f t="shared" ref="Z76" si="11">SUM(Z72:Z75)</f>
        <v>1125027</v>
      </c>
      <c r="AA76" s="613">
        <f t="shared" ref="AA76" si="12">SUM(AA72:AA75)</f>
        <v>1125028</v>
      </c>
      <c r="AB76" s="613">
        <f t="shared" ref="AB76" si="13">SUM(AB72:AB75)</f>
        <v>1125029</v>
      </c>
      <c r="AC76" s="613">
        <f t="shared" ref="AC76" si="14">SUM(AC72:AC75)</f>
        <v>1125030</v>
      </c>
      <c r="AD76" s="613">
        <f t="shared" ref="AD76" si="15">SUM(AD72:AD75)</f>
        <v>1125031</v>
      </c>
      <c r="AE76" s="613">
        <f t="shared" ref="AE76" si="16">SUM(AE72:AE75)</f>
        <v>1125032</v>
      </c>
      <c r="AF76" s="613">
        <f t="shared" ref="AF76" si="17">SUM(AF72:AF75)</f>
        <v>1125033</v>
      </c>
      <c r="AG76" s="613">
        <f t="shared" ref="AG76" si="18">SUM(AG72:AG75)</f>
        <v>1125034</v>
      </c>
      <c r="AH76" s="613">
        <f t="shared" ref="AH76" si="19">SUM(AH72:AH75)</f>
        <v>1125035</v>
      </c>
      <c r="AI76" s="613">
        <f t="shared" ref="AI76" si="20">SUM(AI72:AI75)</f>
        <v>1125036</v>
      </c>
      <c r="AJ76" s="613">
        <f t="shared" ref="AJ76" si="21">SUM(AJ72:AJ75)</f>
        <v>1125037</v>
      </c>
      <c r="AK76" s="613">
        <f t="shared" ref="AK76" si="22">SUM(AK72:AK75)</f>
        <v>1125038</v>
      </c>
      <c r="AL76" s="613">
        <f t="shared" ref="AL76" si="23">SUM(AL72:AL75)</f>
        <v>1125039</v>
      </c>
    </row>
    <row r="77" spans="2:38">
      <c r="B77" s="419"/>
      <c r="C77" s="428"/>
      <c r="D77" s="421"/>
      <c r="E77" s="422"/>
      <c r="F77" s="423"/>
      <c r="H77" s="491"/>
    </row>
    <row r="78" spans="2:38" ht="15.75" thickBot="1">
      <c r="B78" s="429"/>
      <c r="C78" s="430"/>
      <c r="D78" s="431"/>
      <c r="E78" s="430"/>
      <c r="F78" s="432"/>
    </row>
  </sheetData>
  <mergeCells count="1">
    <mergeCell ref="C6:D6"/>
  </mergeCells>
  <phoneticPr fontId="19" type="noConversion"/>
  <dataValidations disablePrompts="1" count="7">
    <dataValidation type="list" allowBlank="1" showInputMessage="1" showErrorMessage="1" sqref="D60:E60">
      <formula1>$D$61:$D$64</formula1>
    </dataValidation>
    <dataValidation type="list" allowBlank="1" showInputMessage="1" showErrorMessage="1" sqref="E55">
      <formula1>$D$56:$D$57</formula1>
    </dataValidation>
    <dataValidation type="list" allowBlank="1" showInputMessage="1" showErrorMessage="1" sqref="E58">
      <formula1>#REF!</formula1>
    </dataValidation>
    <dataValidation type="list" allowBlank="1" showInputMessage="1" showErrorMessage="1" sqref="E22 D24">
      <formula1>$D$25:$D$39</formula1>
    </dataValidation>
    <dataValidation type="list" allowBlank="1" showInputMessage="1" showErrorMessage="1" sqref="D47">
      <formula1>$D$48:$D$51</formula1>
    </dataValidation>
    <dataValidation type="list" allowBlank="1" showInputMessage="1" showErrorMessage="1" sqref="D23">
      <formula1>$D$24:$D$39</formula1>
    </dataValidation>
    <dataValidation type="list" allowBlank="1" showInputMessage="1" showErrorMessage="1" sqref="D54">
      <formula1>$D$55:$D$58</formula1>
    </dataValidation>
  </dataValidations>
  <pageMargins left="0.70866141732283472" right="0.70866141732283472" top="0.74803149606299213" bottom="0.74803149606299213" header="0.31496062992125984" footer="0.31496062992125984"/>
  <pageSetup paperSize="9" scale="66" orientation="portrait" copies="2" r:id="rId1"/>
</worksheet>
</file>

<file path=xl/worksheets/sheet55.xml><?xml version="1.0" encoding="utf-8"?>
<worksheet xmlns="http://schemas.openxmlformats.org/spreadsheetml/2006/main" xmlns:r="http://schemas.openxmlformats.org/officeDocument/2006/relationships">
  <sheetPr>
    <pageSetUpPr fitToPage="1"/>
  </sheetPr>
  <dimension ref="B1:F78"/>
  <sheetViews>
    <sheetView topLeftCell="A21" zoomScale="75" zoomScaleNormal="75" zoomScaleSheetLayoutView="75" workbookViewId="0">
      <selection activeCell="A71" sqref="A71"/>
    </sheetView>
  </sheetViews>
  <sheetFormatPr defaultRowHeight="15"/>
  <cols>
    <col min="1" max="2" width="3.7109375" customWidth="1"/>
    <col min="3" max="3" width="61.42578125" bestFit="1" customWidth="1"/>
    <col min="4" max="4" width="49.7109375" style="26" customWidth="1"/>
    <col min="5" max="5" width="4.7109375" customWidth="1"/>
    <col min="6" max="7" width="3.7109375" customWidth="1"/>
  </cols>
  <sheetData>
    <row r="1" spans="2:6" ht="18.75">
      <c r="B1" s="280" t="s">
        <v>60</v>
      </c>
      <c r="D1" s="34"/>
    </row>
    <row r="2" spans="2:6" ht="18.75">
      <c r="B2" s="280" t="s">
        <v>347</v>
      </c>
      <c r="D2" s="34"/>
    </row>
    <row r="3" spans="2:6" ht="18.75">
      <c r="B3" s="280" t="s">
        <v>728</v>
      </c>
      <c r="D3" s="34"/>
    </row>
    <row r="4" spans="2:6" ht="19.5" thickBot="1">
      <c r="B4" s="280"/>
      <c r="C4" s="50"/>
      <c r="D4" s="34"/>
    </row>
    <row r="5" spans="2:6" ht="18.75">
      <c r="B5" s="356"/>
      <c r="C5" s="386" t="s">
        <v>105</v>
      </c>
      <c r="D5" s="379"/>
      <c r="E5" s="359"/>
      <c r="F5" s="360"/>
    </row>
    <row r="6" spans="2:6" ht="15.75" customHeight="1">
      <c r="B6" s="361"/>
      <c r="C6" s="572" t="s">
        <v>728</v>
      </c>
      <c r="D6" s="380"/>
      <c r="E6" s="364"/>
      <c r="F6" s="365"/>
    </row>
    <row r="7" spans="2:6" ht="18.75">
      <c r="B7" s="361"/>
      <c r="C7" s="498" t="s">
        <v>104</v>
      </c>
      <c r="D7" s="380"/>
      <c r="E7" s="364"/>
      <c r="F7" s="365"/>
    </row>
    <row r="8" spans="2:6" s="32" customFormat="1">
      <c r="B8" s="366"/>
      <c r="C8" s="388"/>
      <c r="D8" s="381"/>
      <c r="E8" s="369"/>
      <c r="F8" s="370"/>
    </row>
    <row r="9" spans="2:6" s="32" customFormat="1">
      <c r="B9" s="366"/>
      <c r="C9" s="388" t="s">
        <v>103</v>
      </c>
      <c r="D9" s="382"/>
      <c r="E9" s="369"/>
      <c r="F9" s="370"/>
    </row>
    <row r="10" spans="2:6" s="32" customFormat="1">
      <c r="B10" s="366"/>
      <c r="C10" s="388" t="s">
        <v>102</v>
      </c>
      <c r="D10" s="453" t="s">
        <v>637</v>
      </c>
      <c r="E10" s="369"/>
      <c r="F10" s="370"/>
    </row>
    <row r="11" spans="2:6" s="32" customFormat="1">
      <c r="B11" s="366"/>
      <c r="C11" s="388" t="s">
        <v>109</v>
      </c>
      <c r="D11" s="389"/>
      <c r="E11" s="369"/>
      <c r="F11" s="370"/>
    </row>
    <row r="12" spans="2:6" s="32" customFormat="1">
      <c r="B12" s="366"/>
      <c r="C12" s="388" t="s">
        <v>101</v>
      </c>
      <c r="D12" s="389"/>
      <c r="E12" s="369"/>
      <c r="F12" s="370"/>
    </row>
    <row r="13" spans="2:6" s="32" customFormat="1">
      <c r="B13" s="366"/>
      <c r="C13" s="388"/>
      <c r="D13" s="381"/>
      <c r="E13" s="369"/>
      <c r="F13" s="370"/>
    </row>
    <row r="14" spans="2:6">
      <c r="B14" s="361"/>
      <c r="C14" s="388" t="s">
        <v>100</v>
      </c>
      <c r="D14" s="383" t="s">
        <v>99</v>
      </c>
      <c r="E14" s="374"/>
      <c r="F14" s="365"/>
    </row>
    <row r="15" spans="2:6">
      <c r="B15" s="361"/>
      <c r="C15" s="364"/>
      <c r="D15" s="383" t="s">
        <v>98</v>
      </c>
      <c r="E15" s="374"/>
      <c r="F15" s="365"/>
    </row>
    <row r="16" spans="2:6">
      <c r="B16" s="361"/>
      <c r="C16" s="364"/>
      <c r="D16" s="383" t="s">
        <v>97</v>
      </c>
      <c r="E16" s="375" t="s">
        <v>106</v>
      </c>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88" t="s">
        <v>94</v>
      </c>
      <c r="D23" s="382"/>
      <c r="E23" s="364"/>
      <c r="F23" s="365"/>
    </row>
    <row r="24" spans="2:6" ht="15" hidden="1" customHeight="1">
      <c r="B24" s="361"/>
      <c r="C24" s="388"/>
      <c r="D24" s="382"/>
      <c r="E24" s="364"/>
      <c r="F24" s="365"/>
    </row>
    <row r="25" spans="2:6" ht="15" hidden="1" customHeight="1">
      <c r="B25" s="361"/>
      <c r="C25" s="388"/>
      <c r="D25" s="371" t="s">
        <v>93</v>
      </c>
      <c r="E25" s="364"/>
      <c r="F25" s="365"/>
    </row>
    <row r="26" spans="2:6" ht="15" hidden="1" customHeight="1">
      <c r="B26" s="361"/>
      <c r="C26" s="388"/>
      <c r="D26" s="371" t="s">
        <v>58</v>
      </c>
      <c r="E26" s="364"/>
      <c r="F26" s="365"/>
    </row>
    <row r="27" spans="2:6" ht="15" hidden="1" customHeight="1">
      <c r="B27" s="361"/>
      <c r="C27" s="388"/>
      <c r="D27" s="371" t="s">
        <v>92</v>
      </c>
      <c r="E27" s="364"/>
      <c r="F27" s="365"/>
    </row>
    <row r="28" spans="2:6" ht="15" hidden="1" customHeight="1">
      <c r="B28" s="361"/>
      <c r="C28" s="388"/>
      <c r="D28" s="371" t="s">
        <v>91</v>
      </c>
      <c r="E28" s="364"/>
      <c r="F28" s="365"/>
    </row>
    <row r="29" spans="2:6" ht="15" hidden="1" customHeight="1">
      <c r="B29" s="361"/>
      <c r="C29" s="388"/>
      <c r="D29" s="371" t="s">
        <v>90</v>
      </c>
      <c r="E29" s="364"/>
      <c r="F29" s="365"/>
    </row>
    <row r="30" spans="2:6" ht="15" hidden="1" customHeight="1">
      <c r="B30" s="361"/>
      <c r="C30" s="388"/>
      <c r="D30" s="371" t="s">
        <v>89</v>
      </c>
      <c r="E30" s="364"/>
      <c r="F30" s="365"/>
    </row>
    <row r="31" spans="2:6" ht="15" hidden="1" customHeight="1">
      <c r="B31" s="361"/>
      <c r="C31" s="388"/>
      <c r="D31" s="371" t="s">
        <v>88</v>
      </c>
      <c r="E31" s="364"/>
      <c r="F31" s="365"/>
    </row>
    <row r="32" spans="2:6" ht="15" hidden="1" customHeight="1">
      <c r="B32" s="361"/>
      <c r="C32" s="388"/>
      <c r="D32" s="371" t="s">
        <v>87</v>
      </c>
      <c r="E32" s="364"/>
      <c r="F32" s="365"/>
    </row>
    <row r="33" spans="2:6" ht="15" hidden="1" customHeight="1">
      <c r="B33" s="361"/>
      <c r="C33" s="388"/>
      <c r="D33" s="371" t="s">
        <v>86</v>
      </c>
      <c r="E33" s="364"/>
      <c r="F33" s="365"/>
    </row>
    <row r="34" spans="2:6" ht="15" hidden="1" customHeight="1">
      <c r="B34" s="361"/>
      <c r="C34" s="388"/>
      <c r="D34" s="371" t="s">
        <v>85</v>
      </c>
      <c r="E34" s="364"/>
      <c r="F34" s="365"/>
    </row>
    <row r="35" spans="2:6" ht="15" hidden="1" customHeight="1">
      <c r="B35" s="361"/>
      <c r="C35" s="388"/>
      <c r="D35" s="371" t="s">
        <v>84</v>
      </c>
      <c r="E35" s="364"/>
      <c r="F35" s="365"/>
    </row>
    <row r="36" spans="2:6" ht="15" hidden="1" customHeight="1">
      <c r="B36" s="361"/>
      <c r="C36" s="388"/>
      <c r="D36" s="371" t="s">
        <v>83</v>
      </c>
      <c r="E36" s="364"/>
      <c r="F36" s="365"/>
    </row>
    <row r="37" spans="2:6" ht="15" hidden="1" customHeight="1">
      <c r="B37" s="361"/>
      <c r="C37" s="388"/>
      <c r="D37" s="371" t="s">
        <v>82</v>
      </c>
      <c r="E37" s="364"/>
      <c r="F37" s="365"/>
    </row>
    <row r="38" spans="2:6" ht="15" hidden="1" customHeight="1">
      <c r="B38" s="361"/>
      <c r="C38" s="388"/>
      <c r="D38" s="371" t="s">
        <v>81</v>
      </c>
      <c r="E38" s="364"/>
      <c r="F38" s="365"/>
    </row>
    <row r="39" spans="2:6" ht="15" hidden="1" customHeight="1">
      <c r="B39" s="361"/>
      <c r="C39" s="388"/>
      <c r="D39" s="378" t="s">
        <v>66</v>
      </c>
      <c r="E39" s="364"/>
      <c r="F39" s="365"/>
    </row>
    <row r="40" spans="2:6">
      <c r="B40" s="361"/>
      <c r="C40" s="388"/>
      <c r="D40" s="380"/>
      <c r="E40" s="364"/>
      <c r="F40" s="365"/>
    </row>
    <row r="41" spans="2:6">
      <c r="B41" s="361"/>
      <c r="C41" s="376" t="s">
        <v>65</v>
      </c>
      <c r="D41" s="382"/>
      <c r="E41" s="364"/>
      <c r="F41" s="365"/>
    </row>
    <row r="42" spans="2:6">
      <c r="B42" s="361"/>
      <c r="C42" s="377"/>
      <c r="D42" s="380"/>
      <c r="E42" s="364"/>
      <c r="F42" s="365"/>
    </row>
    <row r="43" spans="2:6" ht="18.75">
      <c r="B43" s="392"/>
      <c r="C43" s="405" t="s">
        <v>80</v>
      </c>
      <c r="D43" s="404"/>
      <c r="E43" s="395"/>
      <c r="F43" s="396"/>
    </row>
    <row r="44" spans="2:6">
      <c r="B44" s="392"/>
      <c r="C44" s="406" t="s">
        <v>79</v>
      </c>
      <c r="D44" s="399"/>
      <c r="E44" s="395"/>
      <c r="F44" s="396"/>
    </row>
    <row r="45" spans="2:6">
      <c r="B45" s="392"/>
      <c r="C45" s="406" t="s">
        <v>78</v>
      </c>
      <c r="D45" s="399"/>
      <c r="E45" s="395"/>
      <c r="F45" s="396"/>
    </row>
    <row r="46" spans="2:6" ht="30">
      <c r="B46" s="392"/>
      <c r="C46" s="407" t="s">
        <v>77</v>
      </c>
      <c r="D46" s="399"/>
      <c r="E46" s="395"/>
      <c r="F46" s="396"/>
    </row>
    <row r="47" spans="2:6" ht="30">
      <c r="B47" s="392"/>
      <c r="C47" s="400" t="s">
        <v>76</v>
      </c>
      <c r="D47" s="399"/>
      <c r="E47" s="401"/>
      <c r="F47" s="396"/>
    </row>
    <row r="48" spans="2:6" ht="15" hidden="1" customHeight="1">
      <c r="B48" s="392"/>
      <c r="C48" s="400"/>
      <c r="D48" s="402" t="s">
        <v>209</v>
      </c>
      <c r="E48" s="395"/>
      <c r="F48" s="396"/>
    </row>
    <row r="49" spans="2:6" ht="15" hidden="1" customHeight="1">
      <c r="B49" s="392"/>
      <c r="C49" s="400"/>
      <c r="D49" s="402" t="s">
        <v>277</v>
      </c>
      <c r="E49" s="395"/>
      <c r="F49" s="396"/>
    </row>
    <row r="50" spans="2:6" ht="15" hidden="1" customHeight="1">
      <c r="B50" s="392"/>
      <c r="C50" s="400"/>
      <c r="D50" s="402" t="s">
        <v>276</v>
      </c>
      <c r="E50" s="395"/>
      <c r="F50" s="396"/>
    </row>
    <row r="51" spans="2:6" ht="15" hidden="1" customHeight="1">
      <c r="B51" s="392"/>
      <c r="C51" s="400"/>
      <c r="D51" s="402" t="s">
        <v>278</v>
      </c>
      <c r="E51" s="395"/>
      <c r="F51" s="396"/>
    </row>
    <row r="52" spans="2:6">
      <c r="B52" s="392"/>
      <c r="C52" s="408"/>
      <c r="D52" s="404"/>
      <c r="E52" s="395"/>
      <c r="F52" s="396"/>
    </row>
    <row r="53" spans="2:6" ht="18.75">
      <c r="B53" s="346"/>
      <c r="C53" s="416" t="s">
        <v>75</v>
      </c>
      <c r="D53" s="412"/>
      <c r="E53" s="349"/>
      <c r="F53" s="350"/>
    </row>
    <row r="54" spans="2:6">
      <c r="B54" s="346"/>
      <c r="C54" s="417" t="s">
        <v>74</v>
      </c>
      <c r="D54" s="413"/>
      <c r="E54" s="349"/>
      <c r="F54" s="350"/>
    </row>
    <row r="55" spans="2:6" ht="15" hidden="1" customHeight="1">
      <c r="B55" s="346"/>
      <c r="C55" s="355"/>
      <c r="D55" s="414"/>
      <c r="E55" s="349"/>
      <c r="F55" s="350"/>
    </row>
    <row r="56" spans="2:6" ht="15" hidden="1" customHeight="1">
      <c r="B56" s="346"/>
      <c r="C56" s="355"/>
      <c r="D56" s="413" t="s">
        <v>73</v>
      </c>
      <c r="E56" s="349"/>
      <c r="F56" s="350"/>
    </row>
    <row r="57" spans="2:6" ht="15" hidden="1" customHeight="1">
      <c r="B57" s="346"/>
      <c r="C57" s="355"/>
      <c r="D57" s="413" t="s">
        <v>72</v>
      </c>
      <c r="E57" s="349"/>
      <c r="F57" s="350"/>
    </row>
    <row r="58" spans="2:6" ht="15" hidden="1" customHeight="1">
      <c r="B58" s="346"/>
      <c r="C58" s="355"/>
      <c r="D58" s="413" t="s">
        <v>71</v>
      </c>
      <c r="E58" s="349"/>
      <c r="F58" s="350"/>
    </row>
    <row r="59" spans="2:6">
      <c r="B59" s="346"/>
      <c r="C59" s="417"/>
      <c r="D59" s="412"/>
      <c r="E59" s="349"/>
      <c r="F59" s="350"/>
    </row>
    <row r="60" spans="2:6">
      <c r="B60" s="346"/>
      <c r="C60" s="417" t="s">
        <v>70</v>
      </c>
      <c r="D60" s="413"/>
      <c r="E60" s="349"/>
      <c r="F60" s="350"/>
    </row>
    <row r="61" spans="2:6" ht="15" hidden="1" customHeight="1">
      <c r="B61" s="346"/>
      <c r="C61" s="417"/>
      <c r="D61" s="415" t="s">
        <v>69</v>
      </c>
      <c r="E61" s="411"/>
      <c r="F61" s="350"/>
    </row>
    <row r="62" spans="2:6" ht="15" hidden="1" customHeight="1">
      <c r="B62" s="346"/>
      <c r="C62" s="417"/>
      <c r="D62" s="415" t="s">
        <v>68</v>
      </c>
      <c r="E62" s="411"/>
      <c r="F62" s="350"/>
    </row>
    <row r="63" spans="2:6" ht="15" hidden="1" customHeight="1">
      <c r="B63" s="346"/>
      <c r="C63" s="417"/>
      <c r="D63" s="415" t="s">
        <v>67</v>
      </c>
      <c r="E63" s="411"/>
      <c r="F63" s="350"/>
    </row>
    <row r="64" spans="2:6" ht="15" hidden="1" customHeight="1">
      <c r="B64" s="346"/>
      <c r="C64" s="417"/>
      <c r="D64" s="415" t="s">
        <v>66</v>
      </c>
      <c r="E64" s="411"/>
      <c r="F64" s="350"/>
    </row>
    <row r="65" spans="2:6">
      <c r="B65" s="346"/>
      <c r="C65" s="354" t="s">
        <v>65</v>
      </c>
      <c r="D65" s="413"/>
      <c r="E65" s="349"/>
      <c r="F65" s="350"/>
    </row>
    <row r="66" spans="2:6">
      <c r="B66" s="346"/>
      <c r="C66" s="417"/>
      <c r="D66" s="412"/>
      <c r="E66" s="349"/>
      <c r="F66" s="350"/>
    </row>
    <row r="67" spans="2:6" ht="18.75">
      <c r="B67" s="419"/>
      <c r="C67" s="443" t="s">
        <v>64</v>
      </c>
      <c r="D67" s="434"/>
      <c r="E67" s="422"/>
      <c r="F67" s="423"/>
    </row>
    <row r="68" spans="2:6">
      <c r="B68" s="419"/>
      <c r="C68" s="444" t="s">
        <v>118</v>
      </c>
      <c r="D68" s="424"/>
      <c r="E68" s="422"/>
      <c r="F68" s="423"/>
    </row>
    <row r="69" spans="2:6">
      <c r="B69" s="419"/>
      <c r="C69" s="444" t="s">
        <v>107</v>
      </c>
      <c r="D69" s="427"/>
      <c r="E69" s="422"/>
      <c r="F69" s="423"/>
    </row>
    <row r="70" spans="2:6">
      <c r="B70" s="419"/>
      <c r="C70" s="444" t="s">
        <v>119</v>
      </c>
      <c r="D70" s="424"/>
      <c r="E70" s="422"/>
      <c r="F70" s="423"/>
    </row>
    <row r="71" spans="2:6">
      <c r="B71" s="419"/>
      <c r="C71" s="444"/>
      <c r="D71" s="433"/>
      <c r="E71" s="422"/>
      <c r="F71" s="423"/>
    </row>
    <row r="72" spans="2:6">
      <c r="B72" s="419"/>
      <c r="C72" s="444" t="s">
        <v>223</v>
      </c>
      <c r="D72" s="426"/>
      <c r="E72" s="422"/>
      <c r="F72" s="423"/>
    </row>
    <row r="73" spans="2:6">
      <c r="B73" s="419"/>
      <c r="C73" s="444" t="s">
        <v>62</v>
      </c>
      <c r="D73" s="426"/>
      <c r="E73" s="422"/>
      <c r="F73" s="423"/>
    </row>
    <row r="74" spans="2:6">
      <c r="B74" s="419"/>
      <c r="C74" s="444"/>
      <c r="D74" s="433"/>
      <c r="E74" s="422"/>
      <c r="F74" s="423"/>
    </row>
    <row r="75" spans="2:6">
      <c r="B75" s="419"/>
      <c r="C75" s="444" t="s">
        <v>61</v>
      </c>
      <c r="D75" s="427"/>
      <c r="E75" s="422"/>
      <c r="F75" s="423"/>
    </row>
    <row r="76" spans="2:6">
      <c r="B76" s="419"/>
      <c r="C76" s="444"/>
      <c r="D76" s="434"/>
      <c r="E76" s="422"/>
      <c r="F76" s="423"/>
    </row>
    <row r="77" spans="2:6">
      <c r="B77" s="419"/>
      <c r="C77" s="446"/>
      <c r="D77" s="434"/>
      <c r="E77" s="422"/>
      <c r="F77" s="423"/>
    </row>
    <row r="78" spans="2:6" ht="15.75" thickBot="1">
      <c r="B78" s="429"/>
      <c r="C78" s="430"/>
      <c r="D78" s="435"/>
      <c r="E78" s="430"/>
      <c r="F78" s="432"/>
    </row>
  </sheetData>
  <dataValidations count="7">
    <dataValidation type="list" allowBlank="1" showInputMessage="1" showErrorMessage="1" sqref="D47">
      <formula1>$D$48:$D$51</formula1>
    </dataValidation>
    <dataValidation type="list" allowBlank="1" showInputMessage="1" showErrorMessage="1" sqref="D23">
      <formula1>$D$25:$D$39</formula1>
    </dataValidation>
    <dataValidation type="list" allowBlank="1" showInputMessage="1" showErrorMessage="1" sqref="D60">
      <formula1>$D$61:$D$64</formula1>
    </dataValidation>
    <dataValidation type="list" allowBlank="1" showInputMessage="1" showErrorMessage="1" sqref="D54">
      <formula1>$D$56:$D$58</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0866141732283472" right="0.70866141732283472" top="0.74803149606299213" bottom="0.74803149606299213" header="0.31496062992125984" footer="0.31496062992125984"/>
  <pageSetup paperSize="9" scale="66" orientation="portrait" copies="2" r:id="rId1"/>
</worksheet>
</file>

<file path=xl/worksheets/sheet56.xml><?xml version="1.0" encoding="utf-8"?>
<worksheet xmlns="http://schemas.openxmlformats.org/spreadsheetml/2006/main" xmlns:r="http://schemas.openxmlformats.org/officeDocument/2006/relationships">
  <sheetPr>
    <pageSetUpPr fitToPage="1"/>
  </sheetPr>
  <dimension ref="B1:AR78"/>
  <sheetViews>
    <sheetView topLeftCell="A67" zoomScale="75" zoomScaleNormal="75" workbookViewId="0">
      <selection activeCell="D75" sqref="D75"/>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 min="8" max="8" width="12.7109375" bestFit="1" customWidth="1"/>
    <col min="9" max="9" width="10.42578125" bestFit="1" customWidth="1"/>
    <col min="10" max="11" width="9.85546875" bestFit="1" customWidth="1"/>
    <col min="12" max="16" width="11.5703125" bestFit="1" customWidth="1"/>
  </cols>
  <sheetData>
    <row r="1" spans="2:6" ht="18.75">
      <c r="B1" s="25" t="s">
        <v>60</v>
      </c>
    </row>
    <row r="2" spans="2:6" ht="18.75">
      <c r="B2" s="25" t="s">
        <v>347</v>
      </c>
    </row>
    <row r="3" spans="2:6" ht="18.75">
      <c r="B3" s="280" t="s">
        <v>655</v>
      </c>
    </row>
    <row r="4" spans="2:6" ht="19.5" thickBot="1">
      <c r="B4" s="25"/>
      <c r="C4" s="33"/>
    </row>
    <row r="5" spans="2:6" ht="18.75">
      <c r="B5" s="356"/>
      <c r="C5" s="357" t="s">
        <v>105</v>
      </c>
      <c r="D5" s="358"/>
      <c r="E5" s="359"/>
      <c r="F5" s="360"/>
    </row>
    <row r="6" spans="2:6" ht="18.75">
      <c r="B6" s="361"/>
      <c r="C6" s="498" t="s">
        <v>655</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70" t="s">
        <v>217</v>
      </c>
      <c r="E10" s="369"/>
      <c r="F10" s="370"/>
    </row>
    <row r="11" spans="2:6" s="32" customFormat="1">
      <c r="B11" s="366"/>
      <c r="C11" s="367" t="s">
        <v>109</v>
      </c>
      <c r="D11" s="373">
        <v>40235</v>
      </c>
      <c r="E11" s="369"/>
      <c r="F11" s="370"/>
    </row>
    <row r="12" spans="2:6" s="32" customFormat="1">
      <c r="B12" s="366"/>
      <c r="C12" s="367" t="s">
        <v>101</v>
      </c>
      <c r="D12" s="373">
        <v>40816</v>
      </c>
      <c r="E12" s="369"/>
      <c r="F12" s="370"/>
    </row>
    <row r="13" spans="2:6" s="32" customFormat="1">
      <c r="B13" s="366"/>
      <c r="C13" s="367"/>
      <c r="D13" s="368"/>
      <c r="E13" s="369"/>
      <c r="F13" s="370"/>
    </row>
    <row r="14" spans="2:6">
      <c r="B14" s="361"/>
      <c r="C14" s="367" t="s">
        <v>100</v>
      </c>
      <c r="D14" s="374" t="s">
        <v>99</v>
      </c>
      <c r="E14" s="374"/>
      <c r="F14" s="365"/>
    </row>
    <row r="15" spans="2:6">
      <c r="B15" s="361"/>
      <c r="C15" s="364"/>
      <c r="D15" s="374" t="s">
        <v>98</v>
      </c>
      <c r="E15" s="374"/>
      <c r="F15" s="365"/>
    </row>
    <row r="16" spans="2:6">
      <c r="B16" s="361"/>
      <c r="C16" s="364"/>
      <c r="D16" s="374" t="s">
        <v>97</v>
      </c>
      <c r="E16" s="374"/>
      <c r="F16" s="365"/>
    </row>
    <row r="17" spans="2:6">
      <c r="B17" s="361"/>
      <c r="C17" s="364"/>
      <c r="D17" s="374" t="s">
        <v>45</v>
      </c>
      <c r="E17" s="375" t="s">
        <v>96</v>
      </c>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67" t="s">
        <v>94</v>
      </c>
      <c r="D23" s="371" t="s">
        <v>66</v>
      </c>
      <c r="E23" s="364"/>
      <c r="F23" s="365"/>
    </row>
    <row r="24" spans="2:6" hidden="1">
      <c r="B24" s="361"/>
      <c r="C24" s="367"/>
      <c r="D24" s="371"/>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63"/>
      <c r="E40" s="364"/>
      <c r="F40" s="365"/>
    </row>
    <row r="41" spans="2:6">
      <c r="B41" s="361"/>
      <c r="C41" s="376" t="s">
        <v>65</v>
      </c>
      <c r="D41" s="371" t="s">
        <v>651</v>
      </c>
      <c r="E41" s="364"/>
      <c r="F41" s="365"/>
    </row>
    <row r="42" spans="2:6">
      <c r="B42" s="361"/>
      <c r="C42" s="377"/>
      <c r="D42" s="363"/>
      <c r="E42" s="364"/>
      <c r="F42" s="365"/>
    </row>
    <row r="43" spans="2:6" ht="18.75">
      <c r="B43" s="392"/>
      <c r="C43" s="393" t="s">
        <v>80</v>
      </c>
      <c r="D43" s="394"/>
      <c r="E43" s="395"/>
      <c r="F43" s="396"/>
    </row>
    <row r="44" spans="2:6" ht="60">
      <c r="B44" s="392"/>
      <c r="C44" s="391" t="s">
        <v>79</v>
      </c>
      <c r="D44" s="397" t="s">
        <v>652</v>
      </c>
      <c r="E44" s="395"/>
      <c r="F44" s="396"/>
    </row>
    <row r="45" spans="2:6" ht="90">
      <c r="B45" s="392"/>
      <c r="C45" s="391" t="s">
        <v>78</v>
      </c>
      <c r="D45" s="397" t="s">
        <v>653</v>
      </c>
      <c r="E45" s="395"/>
      <c r="F45" s="396"/>
    </row>
    <row r="46" spans="2:6" ht="30">
      <c r="B46" s="392"/>
      <c r="C46" s="398" t="s">
        <v>77</v>
      </c>
      <c r="D46" s="397" t="s">
        <v>395</v>
      </c>
      <c r="E46" s="395"/>
      <c r="F46" s="396"/>
    </row>
    <row r="47" spans="2:6" ht="30">
      <c r="B47" s="392"/>
      <c r="C47" s="400" t="s">
        <v>76</v>
      </c>
      <c r="D47" s="399" t="s">
        <v>277</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394"/>
      <c r="E52" s="395"/>
      <c r="F52" s="396"/>
    </row>
    <row r="53" spans="2:6" ht="18.75">
      <c r="B53" s="346"/>
      <c r="C53" s="347" t="s">
        <v>75</v>
      </c>
      <c r="D53" s="348"/>
      <c r="E53" s="349"/>
      <c r="F53" s="350"/>
    </row>
    <row r="54" spans="2:6">
      <c r="B54" s="346"/>
      <c r="C54" s="351" t="s">
        <v>74</v>
      </c>
      <c r="D54" s="352" t="s">
        <v>71</v>
      </c>
      <c r="E54" s="349"/>
      <c r="F54" s="350"/>
    </row>
    <row r="55" spans="2:6" hidden="1">
      <c r="B55" s="346"/>
      <c r="C55" s="355"/>
      <c r="D55" s="409"/>
      <c r="E55" s="349"/>
      <c r="F55" s="350"/>
    </row>
    <row r="56" spans="2:6" hidden="1">
      <c r="B56" s="346"/>
      <c r="C56" s="355"/>
      <c r="D56" s="410" t="s">
        <v>73</v>
      </c>
      <c r="E56" s="349"/>
      <c r="F56" s="350"/>
    </row>
    <row r="57" spans="2:6" hidden="1">
      <c r="B57" s="346"/>
      <c r="C57" s="355"/>
      <c r="D57" s="410" t="s">
        <v>72</v>
      </c>
      <c r="E57" s="349"/>
      <c r="F57" s="350"/>
    </row>
    <row r="58" spans="2:6" hidden="1">
      <c r="B58" s="346"/>
      <c r="C58" s="355"/>
      <c r="D58" s="410" t="s">
        <v>71</v>
      </c>
      <c r="E58" s="349"/>
      <c r="F58" s="350"/>
    </row>
    <row r="59" spans="2:6">
      <c r="B59" s="346"/>
      <c r="C59" s="351"/>
      <c r="D59" s="348"/>
      <c r="E59" s="349"/>
      <c r="F59" s="350"/>
    </row>
    <row r="60" spans="2:6">
      <c r="B60" s="346"/>
      <c r="C60" s="351" t="s">
        <v>70</v>
      </c>
      <c r="D60" s="352" t="s">
        <v>69</v>
      </c>
      <c r="E60" s="349"/>
      <c r="F60" s="350"/>
    </row>
    <row r="61" spans="2:6" hidden="1">
      <c r="B61" s="346"/>
      <c r="C61" s="351"/>
      <c r="D61" s="353" t="s">
        <v>69</v>
      </c>
      <c r="E61" s="411"/>
      <c r="F61" s="350"/>
    </row>
    <row r="62" spans="2:6" hidden="1">
      <c r="B62" s="346"/>
      <c r="C62" s="351"/>
      <c r="D62" s="353" t="s">
        <v>68</v>
      </c>
      <c r="E62" s="411"/>
      <c r="F62" s="350"/>
    </row>
    <row r="63" spans="2:6" hidden="1">
      <c r="B63" s="346"/>
      <c r="C63" s="351"/>
      <c r="D63" s="353" t="s">
        <v>67</v>
      </c>
      <c r="E63" s="411"/>
      <c r="F63" s="350"/>
    </row>
    <row r="64" spans="2:6" hidden="1">
      <c r="B64" s="346"/>
      <c r="C64" s="351"/>
      <c r="D64" s="353" t="s">
        <v>66</v>
      </c>
      <c r="E64" s="411"/>
      <c r="F64" s="350"/>
    </row>
    <row r="65" spans="2:44">
      <c r="B65" s="346"/>
      <c r="C65" s="354" t="s">
        <v>65</v>
      </c>
      <c r="D65" s="352"/>
      <c r="E65" s="349"/>
      <c r="F65" s="350"/>
    </row>
    <row r="66" spans="2:44">
      <c r="B66" s="346"/>
      <c r="C66" s="351"/>
      <c r="D66" s="348"/>
      <c r="E66" s="349"/>
      <c r="F66" s="350"/>
    </row>
    <row r="67" spans="2:44" ht="18.75">
      <c r="B67" s="419"/>
      <c r="C67" s="420" t="s">
        <v>64</v>
      </c>
      <c r="D67" s="421"/>
      <c r="E67" s="422"/>
      <c r="F67" s="423"/>
    </row>
    <row r="68" spans="2:44" ht="30">
      <c r="B68" s="419"/>
      <c r="C68" s="418" t="s">
        <v>118</v>
      </c>
      <c r="D68" s="441" t="s">
        <v>654</v>
      </c>
      <c r="E68" s="422"/>
      <c r="F68" s="423"/>
    </row>
    <row r="69" spans="2:44">
      <c r="B69" s="419"/>
      <c r="C69" s="418" t="s">
        <v>107</v>
      </c>
      <c r="D69" s="449">
        <f>'[3]E1-E2 Validation Backup'!D23</f>
        <v>1.5299999999999999E-2</v>
      </c>
      <c r="E69" s="422"/>
      <c r="F69" s="423"/>
    </row>
    <row r="70" spans="2:44">
      <c r="B70" s="419"/>
      <c r="C70" s="418" t="s">
        <v>119</v>
      </c>
      <c r="D70" s="441">
        <f>SUM(I76:AR76)</f>
        <v>30000000</v>
      </c>
      <c r="E70" s="422"/>
      <c r="F70" s="423"/>
    </row>
    <row r="71" spans="2:44">
      <c r="B71" s="419"/>
      <c r="C71" s="418"/>
      <c r="D71" s="421"/>
      <c r="E71" s="422"/>
      <c r="F71" s="423"/>
      <c r="H71" s="145">
        <f>H72/12</f>
        <v>0</v>
      </c>
      <c r="I71" s="478" t="s">
        <v>3</v>
      </c>
      <c r="J71" s="478" t="s">
        <v>5</v>
      </c>
      <c r="K71" s="478" t="s">
        <v>6</v>
      </c>
      <c r="L71" s="478" t="s">
        <v>7</v>
      </c>
      <c r="M71" s="478" t="s">
        <v>8</v>
      </c>
      <c r="N71" s="479" t="s">
        <v>9</v>
      </c>
      <c r="O71" s="479" t="s">
        <v>10</v>
      </c>
      <c r="P71" s="479" t="s">
        <v>11</v>
      </c>
      <c r="Q71" s="479" t="s">
        <v>13</v>
      </c>
      <c r="R71" s="479" t="s">
        <v>14</v>
      </c>
      <c r="S71" s="479" t="s">
        <v>15</v>
      </c>
      <c r="T71" s="479" t="s">
        <v>16</v>
      </c>
      <c r="U71" s="479" t="s">
        <v>17</v>
      </c>
      <c r="V71" s="479" t="s">
        <v>18</v>
      </c>
      <c r="W71" s="479" t="s">
        <v>19</v>
      </c>
      <c r="X71" s="479" t="s">
        <v>20</v>
      </c>
      <c r="Y71" s="479" t="s">
        <v>21</v>
      </c>
      <c r="Z71" s="479" t="s">
        <v>22</v>
      </c>
      <c r="AA71" s="479" t="s">
        <v>23</v>
      </c>
      <c r="AB71" s="479" t="s">
        <v>24</v>
      </c>
      <c r="AC71" s="479" t="s">
        <v>25</v>
      </c>
      <c r="AD71" s="479" t="s">
        <v>26</v>
      </c>
      <c r="AE71" s="479" t="s">
        <v>27</v>
      </c>
      <c r="AF71" s="479" t="s">
        <v>28</v>
      </c>
      <c r="AG71" s="479" t="s">
        <v>29</v>
      </c>
      <c r="AH71" s="479" t="s">
        <v>46</v>
      </c>
      <c r="AI71" s="479" t="s">
        <v>47</v>
      </c>
      <c r="AJ71" s="479" t="s">
        <v>48</v>
      </c>
      <c r="AK71" s="479" t="s">
        <v>49</v>
      </c>
      <c r="AL71" s="479" t="s">
        <v>50</v>
      </c>
      <c r="AM71" s="479" t="s">
        <v>51</v>
      </c>
      <c r="AN71" s="479" t="s">
        <v>52</v>
      </c>
      <c r="AO71" s="479" t="s">
        <v>53</v>
      </c>
      <c r="AP71" s="479" t="s">
        <v>54</v>
      </c>
      <c r="AQ71" s="479" t="s">
        <v>55</v>
      </c>
      <c r="AR71" s="479" t="s">
        <v>56</v>
      </c>
    </row>
    <row r="72" spans="2:44">
      <c r="B72" s="419"/>
      <c r="C72" s="418" t="s">
        <v>223</v>
      </c>
      <c r="D72" s="426" t="s">
        <v>218</v>
      </c>
      <c r="E72" s="422"/>
      <c r="F72" s="423"/>
      <c r="H72" s="551"/>
      <c r="I72" s="481"/>
      <c r="J72" s="482"/>
      <c r="K72" s="482"/>
      <c r="L72" s="482"/>
      <c r="M72" s="482"/>
      <c r="N72" s="482"/>
      <c r="O72" s="482">
        <f>$H$71</f>
        <v>0</v>
      </c>
      <c r="P72" s="482">
        <f t="shared" ref="P72:AR72" si="0">$H$71</f>
        <v>0</v>
      </c>
      <c r="Q72" s="482">
        <f t="shared" si="0"/>
        <v>0</v>
      </c>
      <c r="R72" s="482">
        <f t="shared" si="0"/>
        <v>0</v>
      </c>
      <c r="S72" s="482">
        <f t="shared" si="0"/>
        <v>0</v>
      </c>
      <c r="T72" s="482">
        <f t="shared" si="0"/>
        <v>0</v>
      </c>
      <c r="U72" s="482">
        <f t="shared" si="0"/>
        <v>0</v>
      </c>
      <c r="V72" s="482">
        <f t="shared" si="0"/>
        <v>0</v>
      </c>
      <c r="W72" s="482">
        <f t="shared" si="0"/>
        <v>0</v>
      </c>
      <c r="X72" s="482">
        <f t="shared" si="0"/>
        <v>0</v>
      </c>
      <c r="Y72" s="482">
        <f t="shared" si="0"/>
        <v>0</v>
      </c>
      <c r="Z72" s="482">
        <f t="shared" si="0"/>
        <v>0</v>
      </c>
      <c r="AA72" s="482">
        <f t="shared" si="0"/>
        <v>0</v>
      </c>
      <c r="AB72" s="482">
        <f t="shared" si="0"/>
        <v>0</v>
      </c>
      <c r="AC72" s="482">
        <f t="shared" si="0"/>
        <v>0</v>
      </c>
      <c r="AD72" s="482">
        <f t="shared" si="0"/>
        <v>0</v>
      </c>
      <c r="AE72" s="482">
        <f t="shared" si="0"/>
        <v>0</v>
      </c>
      <c r="AF72" s="482">
        <f t="shared" si="0"/>
        <v>0</v>
      </c>
      <c r="AG72" s="482">
        <f t="shared" si="0"/>
        <v>0</v>
      </c>
      <c r="AH72" s="482">
        <f t="shared" si="0"/>
        <v>0</v>
      </c>
      <c r="AI72" s="482">
        <f t="shared" si="0"/>
        <v>0</v>
      </c>
      <c r="AJ72" s="482">
        <f t="shared" si="0"/>
        <v>0</v>
      </c>
      <c r="AK72" s="482">
        <f t="shared" si="0"/>
        <v>0</v>
      </c>
      <c r="AL72" s="482">
        <f t="shared" si="0"/>
        <v>0</v>
      </c>
      <c r="AM72" s="482">
        <f t="shared" si="0"/>
        <v>0</v>
      </c>
      <c r="AN72" s="482">
        <f t="shared" si="0"/>
        <v>0</v>
      </c>
      <c r="AO72" s="482">
        <f t="shared" si="0"/>
        <v>0</v>
      </c>
      <c r="AP72" s="482">
        <f t="shared" si="0"/>
        <v>0</v>
      </c>
      <c r="AQ72" s="482">
        <f t="shared" si="0"/>
        <v>0</v>
      </c>
      <c r="AR72" s="482">
        <f t="shared" si="0"/>
        <v>0</v>
      </c>
    </row>
    <row r="73" spans="2:44" ht="30">
      <c r="B73" s="419"/>
      <c r="C73" s="418" t="s">
        <v>62</v>
      </c>
      <c r="D73" s="426" t="s">
        <v>158</v>
      </c>
      <c r="E73" s="422"/>
      <c r="F73" s="423"/>
      <c r="H73" s="551"/>
      <c r="I73" s="483"/>
      <c r="J73" s="483"/>
      <c r="K73" s="483"/>
      <c r="L73" s="484"/>
      <c r="M73" s="482"/>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row>
    <row r="74" spans="2:44">
      <c r="B74" s="419"/>
      <c r="C74" s="418"/>
      <c r="D74" s="421"/>
      <c r="E74" s="422"/>
      <c r="F74" s="423"/>
      <c r="H74" s="485"/>
      <c r="I74" s="485"/>
      <c r="J74" s="485"/>
      <c r="K74" s="485"/>
      <c r="L74" s="485"/>
      <c r="M74" s="485"/>
      <c r="N74" s="485"/>
      <c r="O74" s="485"/>
      <c r="P74" s="485"/>
      <c r="Q74" s="485"/>
      <c r="R74" s="485"/>
      <c r="S74" s="485"/>
      <c r="T74" s="485"/>
      <c r="U74" s="485"/>
      <c r="V74" s="485"/>
      <c r="W74" s="485"/>
      <c r="X74" s="485"/>
      <c r="Y74" s="485"/>
      <c r="Z74" s="485"/>
      <c r="AA74" s="485"/>
      <c r="AB74" s="485"/>
      <c r="AC74" s="485"/>
      <c r="AD74" s="485"/>
      <c r="AE74" s="485"/>
      <c r="AF74" s="485"/>
      <c r="AG74" s="485"/>
      <c r="AH74" s="485"/>
      <c r="AI74" s="485"/>
      <c r="AJ74" s="485"/>
      <c r="AK74" s="485"/>
      <c r="AL74" s="485"/>
      <c r="AM74" s="485"/>
      <c r="AN74" s="485"/>
      <c r="AO74" s="485"/>
    </row>
    <row r="75" spans="2:44">
      <c r="B75" s="419"/>
      <c r="C75" s="418" t="s">
        <v>61</v>
      </c>
      <c r="D75" s="427">
        <v>0.5</v>
      </c>
      <c r="E75" s="422"/>
      <c r="F75" s="423"/>
      <c r="H75" s="551">
        <f>2000000000*0.015</f>
        <v>30000000</v>
      </c>
      <c r="I75" s="485"/>
      <c r="J75" s="485"/>
      <c r="K75" s="485"/>
      <c r="L75" s="485">
        <f t="shared" ref="L75:P75" si="1">$H$75/5</f>
        <v>6000000</v>
      </c>
      <c r="M75" s="485">
        <f t="shared" si="1"/>
        <v>6000000</v>
      </c>
      <c r="N75" s="485">
        <f t="shared" si="1"/>
        <v>6000000</v>
      </c>
      <c r="O75" s="485">
        <f t="shared" si="1"/>
        <v>6000000</v>
      </c>
      <c r="P75" s="485">
        <f t="shared" si="1"/>
        <v>6000000</v>
      </c>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row>
    <row r="76" spans="2:44" ht="15.75" thickBot="1">
      <c r="B76" s="419"/>
      <c r="C76" s="418"/>
      <c r="D76" s="433" t="s">
        <v>719</v>
      </c>
      <c r="E76" s="422"/>
      <c r="F76" s="423"/>
      <c r="H76" s="480"/>
      <c r="I76" s="486">
        <f>SUM(I72:I75)</f>
        <v>0</v>
      </c>
      <c r="J76" s="486">
        <f t="shared" ref="J76:AR76" si="2">SUM(J72:J75)</f>
        <v>0</v>
      </c>
      <c r="K76" s="486">
        <f t="shared" si="2"/>
        <v>0</v>
      </c>
      <c r="L76" s="486">
        <f t="shared" si="2"/>
        <v>6000000</v>
      </c>
      <c r="M76" s="486">
        <f t="shared" si="2"/>
        <v>6000000</v>
      </c>
      <c r="N76" s="486">
        <f t="shared" si="2"/>
        <v>6000000</v>
      </c>
      <c r="O76" s="486">
        <f t="shared" si="2"/>
        <v>6000000</v>
      </c>
      <c r="P76" s="486">
        <f t="shared" si="2"/>
        <v>6000000</v>
      </c>
      <c r="Q76" s="486">
        <f t="shared" si="2"/>
        <v>0</v>
      </c>
      <c r="R76" s="486">
        <f t="shared" si="2"/>
        <v>0</v>
      </c>
      <c r="S76" s="486">
        <f t="shared" si="2"/>
        <v>0</v>
      </c>
      <c r="T76" s="486">
        <f t="shared" si="2"/>
        <v>0</v>
      </c>
      <c r="U76" s="486">
        <f t="shared" si="2"/>
        <v>0</v>
      </c>
      <c r="V76" s="486">
        <f t="shared" si="2"/>
        <v>0</v>
      </c>
      <c r="W76" s="486">
        <f t="shared" si="2"/>
        <v>0</v>
      </c>
      <c r="X76" s="486">
        <f t="shared" si="2"/>
        <v>0</v>
      </c>
      <c r="Y76" s="486">
        <f t="shared" si="2"/>
        <v>0</v>
      </c>
      <c r="Z76" s="486">
        <f t="shared" si="2"/>
        <v>0</v>
      </c>
      <c r="AA76" s="486">
        <f t="shared" si="2"/>
        <v>0</v>
      </c>
      <c r="AB76" s="486">
        <f t="shared" si="2"/>
        <v>0</v>
      </c>
      <c r="AC76" s="486">
        <f t="shared" si="2"/>
        <v>0</v>
      </c>
      <c r="AD76" s="486">
        <f t="shared" si="2"/>
        <v>0</v>
      </c>
      <c r="AE76" s="486">
        <f t="shared" si="2"/>
        <v>0</v>
      </c>
      <c r="AF76" s="486">
        <f t="shared" si="2"/>
        <v>0</v>
      </c>
      <c r="AG76" s="486">
        <f t="shared" si="2"/>
        <v>0</v>
      </c>
      <c r="AH76" s="486">
        <f t="shared" si="2"/>
        <v>0</v>
      </c>
      <c r="AI76" s="486">
        <f t="shared" si="2"/>
        <v>0</v>
      </c>
      <c r="AJ76" s="486">
        <f t="shared" si="2"/>
        <v>0</v>
      </c>
      <c r="AK76" s="486">
        <f t="shared" si="2"/>
        <v>0</v>
      </c>
      <c r="AL76" s="486">
        <f t="shared" si="2"/>
        <v>0</v>
      </c>
      <c r="AM76" s="486">
        <f t="shared" si="2"/>
        <v>0</v>
      </c>
      <c r="AN76" s="486">
        <f t="shared" si="2"/>
        <v>0</v>
      </c>
      <c r="AO76" s="486">
        <f t="shared" si="2"/>
        <v>0</v>
      </c>
      <c r="AP76" s="486">
        <f t="shared" si="2"/>
        <v>0</v>
      </c>
      <c r="AQ76" s="486">
        <f t="shared" si="2"/>
        <v>0</v>
      </c>
      <c r="AR76" s="486">
        <f t="shared" si="2"/>
        <v>0</v>
      </c>
    </row>
    <row r="77" spans="2:44" ht="15.75" thickTop="1">
      <c r="B77" s="419"/>
      <c r="C77" s="428"/>
      <c r="D77" s="421"/>
      <c r="E77" s="422"/>
      <c r="F77" s="423"/>
    </row>
    <row r="78" spans="2:44" ht="15.75" thickBot="1">
      <c r="B78" s="429"/>
      <c r="C78" s="430"/>
      <c r="D78" s="431"/>
      <c r="E78" s="430"/>
      <c r="F78" s="432"/>
    </row>
  </sheetData>
  <phoneticPr fontId="19" type="noConversion"/>
  <dataValidations count="1">
    <dataValidation type="list" allowBlank="1" showInputMessage="1" showErrorMessage="1" sqref="D47">
      <formula1>$D$48:$D$51</formula1>
    </dataValidation>
  </dataValidations>
  <pageMargins left="0.7" right="0.7" top="0.75" bottom="0.75" header="0.3" footer="0.3"/>
  <pageSetup paperSize="9" scale="18" orientation="portrait" copies="2" r:id="rId1"/>
</worksheet>
</file>

<file path=xl/worksheets/sheet57.xml><?xml version="1.0" encoding="utf-8"?>
<worksheet xmlns="http://schemas.openxmlformats.org/spreadsheetml/2006/main" xmlns:r="http://schemas.openxmlformats.org/officeDocument/2006/relationships">
  <sheetPr>
    <pageSetUpPr fitToPage="1"/>
  </sheetPr>
  <dimension ref="B1:AR76"/>
  <sheetViews>
    <sheetView topLeftCell="A63" zoomScale="75" zoomScaleNormal="75" workbookViewId="0">
      <selection activeCell="B1" sqref="B1:F76"/>
    </sheetView>
  </sheetViews>
  <sheetFormatPr defaultRowHeight="15"/>
  <cols>
    <col min="1" max="2" width="3.7109375" customWidth="1"/>
    <col min="3" max="3" width="61.42578125" bestFit="1" customWidth="1"/>
    <col min="4" max="4" width="43.85546875" style="26" customWidth="1"/>
    <col min="5" max="5" width="4.7109375" customWidth="1"/>
    <col min="6" max="7" width="3.7109375" customWidth="1"/>
    <col min="9" max="9" width="14.42578125" customWidth="1"/>
    <col min="10" max="11" width="15.7109375" bestFit="1" customWidth="1"/>
    <col min="12" max="12" width="15" customWidth="1"/>
    <col min="13" max="13" width="13.28515625" customWidth="1"/>
    <col min="14" max="14" width="10.28515625" customWidth="1"/>
    <col min="33" max="33" width="9.28515625" bestFit="1" customWidth="1"/>
  </cols>
  <sheetData>
    <row r="1" spans="2:6" ht="18.75">
      <c r="B1" s="25" t="s">
        <v>60</v>
      </c>
    </row>
    <row r="2" spans="2:6" ht="18.75">
      <c r="B2" s="25" t="s">
        <v>347</v>
      </c>
    </row>
    <row r="3" spans="2:6" ht="18.75">
      <c r="B3" s="25" t="s">
        <v>291</v>
      </c>
    </row>
    <row r="4" spans="2:6" ht="19.5" thickBot="1">
      <c r="B4" s="120"/>
      <c r="C4" s="12"/>
      <c r="D4" s="121"/>
      <c r="E4" s="12"/>
      <c r="F4" s="12"/>
    </row>
    <row r="5" spans="2:6" ht="18.75">
      <c r="B5" s="361"/>
      <c r="C5" s="387" t="s">
        <v>104</v>
      </c>
      <c r="D5" s="363"/>
      <c r="E5" s="364"/>
      <c r="F5" s="365"/>
    </row>
    <row r="6" spans="2:6" s="32" customFormat="1" ht="18.75">
      <c r="B6" s="366"/>
      <c r="C6" s="387" t="s">
        <v>291</v>
      </c>
      <c r="D6" s="368"/>
      <c r="E6" s="369"/>
      <c r="F6" s="370"/>
    </row>
    <row r="7" spans="2:6" s="32" customFormat="1">
      <c r="B7" s="366"/>
      <c r="C7" s="388" t="s">
        <v>103</v>
      </c>
      <c r="D7" s="382"/>
      <c r="E7" s="369"/>
      <c r="F7" s="370"/>
    </row>
    <row r="8" spans="2:6" s="32" customFormat="1">
      <c r="B8" s="366"/>
      <c r="C8" s="388" t="s">
        <v>102</v>
      </c>
      <c r="D8" s="471" t="s">
        <v>266</v>
      </c>
      <c r="E8" s="369"/>
      <c r="F8" s="370"/>
    </row>
    <row r="9" spans="2:6" s="32" customFormat="1">
      <c r="B9" s="366"/>
      <c r="C9" s="367" t="s">
        <v>109</v>
      </c>
      <c r="D9" s="389">
        <v>40231</v>
      </c>
      <c r="E9" s="369"/>
      <c r="F9" s="370"/>
    </row>
    <row r="10" spans="2:6" s="32" customFormat="1">
      <c r="B10" s="366"/>
      <c r="C10" s="388" t="s">
        <v>101</v>
      </c>
      <c r="D10" s="373">
        <v>40816</v>
      </c>
      <c r="E10" s="369"/>
      <c r="F10" s="370"/>
    </row>
    <row r="11" spans="2:6" s="32" customFormat="1">
      <c r="B11" s="366"/>
      <c r="C11" s="388"/>
      <c r="D11" s="368"/>
      <c r="E11" s="369"/>
      <c r="F11" s="370"/>
    </row>
    <row r="12" spans="2:6">
      <c r="B12" s="361"/>
      <c r="C12" s="388" t="s">
        <v>100</v>
      </c>
      <c r="D12" s="374" t="s">
        <v>99</v>
      </c>
      <c r="E12" s="374"/>
      <c r="F12" s="365"/>
    </row>
    <row r="13" spans="2:6">
      <c r="B13" s="361"/>
      <c r="C13" s="364"/>
      <c r="D13" s="374" t="s">
        <v>98</v>
      </c>
      <c r="E13" s="374"/>
      <c r="F13" s="365"/>
    </row>
    <row r="14" spans="2:6">
      <c r="B14" s="361"/>
      <c r="C14" s="364"/>
      <c r="D14" s="374" t="s">
        <v>97</v>
      </c>
      <c r="E14" s="374"/>
      <c r="F14" s="365"/>
    </row>
    <row r="15" spans="2:6">
      <c r="B15" s="361"/>
      <c r="C15" s="364"/>
      <c r="D15" s="374" t="s">
        <v>45</v>
      </c>
      <c r="E15" s="375" t="s">
        <v>96</v>
      </c>
      <c r="F15" s="365"/>
    </row>
    <row r="16" spans="2:6">
      <c r="B16" s="361"/>
      <c r="C16" s="364"/>
      <c r="D16" s="374" t="s">
        <v>95</v>
      </c>
      <c r="E16" s="374"/>
      <c r="F16" s="365"/>
    </row>
    <row r="17" spans="2:6">
      <c r="B17" s="361"/>
      <c r="C17" s="364"/>
      <c r="D17" s="374" t="s">
        <v>66</v>
      </c>
      <c r="E17" s="374"/>
      <c r="F17" s="365"/>
    </row>
    <row r="18" spans="2:6">
      <c r="B18" s="361"/>
      <c r="C18" s="364"/>
      <c r="D18" s="363"/>
      <c r="E18" s="364"/>
      <c r="F18" s="365"/>
    </row>
    <row r="19" spans="2:6">
      <c r="B19" s="361"/>
      <c r="C19" s="376" t="s">
        <v>65</v>
      </c>
      <c r="D19" s="371"/>
      <c r="E19" s="364"/>
      <c r="F19" s="365"/>
    </row>
    <row r="20" spans="2:6">
      <c r="B20" s="361"/>
      <c r="C20" s="377"/>
      <c r="D20" s="363"/>
      <c r="E20" s="364"/>
      <c r="F20" s="365"/>
    </row>
    <row r="21" spans="2:6">
      <c r="B21" s="361"/>
      <c r="C21" s="388" t="s">
        <v>94</v>
      </c>
      <c r="D21" s="371" t="s">
        <v>66</v>
      </c>
      <c r="E21" s="364"/>
      <c r="F21" s="365"/>
    </row>
    <row r="22" spans="2:6" hidden="1">
      <c r="B22" s="361"/>
      <c r="C22" s="388"/>
      <c r="D22" s="371"/>
      <c r="E22" s="364"/>
      <c r="F22" s="365"/>
    </row>
    <row r="23" spans="2:6" hidden="1">
      <c r="B23" s="361"/>
      <c r="C23" s="388"/>
      <c r="D23" s="371" t="s">
        <v>93</v>
      </c>
      <c r="E23" s="364"/>
      <c r="F23" s="365"/>
    </row>
    <row r="24" spans="2:6" hidden="1">
      <c r="B24" s="361"/>
      <c r="C24" s="388"/>
      <c r="D24" s="371" t="s">
        <v>58</v>
      </c>
      <c r="E24" s="364"/>
      <c r="F24" s="365"/>
    </row>
    <row r="25" spans="2:6" hidden="1">
      <c r="B25" s="361"/>
      <c r="C25" s="388"/>
      <c r="D25" s="371" t="s">
        <v>92</v>
      </c>
      <c r="E25" s="364"/>
      <c r="F25" s="365"/>
    </row>
    <row r="26" spans="2:6" hidden="1">
      <c r="B26" s="361"/>
      <c r="C26" s="388"/>
      <c r="D26" s="371" t="s">
        <v>91</v>
      </c>
      <c r="E26" s="364"/>
      <c r="F26" s="365"/>
    </row>
    <row r="27" spans="2:6" hidden="1">
      <c r="B27" s="361"/>
      <c r="C27" s="388"/>
      <c r="D27" s="371" t="s">
        <v>90</v>
      </c>
      <c r="E27" s="364"/>
      <c r="F27" s="365"/>
    </row>
    <row r="28" spans="2:6" hidden="1">
      <c r="B28" s="361"/>
      <c r="C28" s="388"/>
      <c r="D28" s="371" t="s">
        <v>89</v>
      </c>
      <c r="E28" s="364"/>
      <c r="F28" s="365"/>
    </row>
    <row r="29" spans="2:6" hidden="1">
      <c r="B29" s="361"/>
      <c r="C29" s="388"/>
      <c r="D29" s="371" t="s">
        <v>88</v>
      </c>
      <c r="E29" s="364"/>
      <c r="F29" s="365"/>
    </row>
    <row r="30" spans="2:6" hidden="1">
      <c r="B30" s="361"/>
      <c r="C30" s="388"/>
      <c r="D30" s="371" t="s">
        <v>87</v>
      </c>
      <c r="E30" s="364"/>
      <c r="F30" s="365"/>
    </row>
    <row r="31" spans="2:6" hidden="1">
      <c r="B31" s="361"/>
      <c r="C31" s="388"/>
      <c r="D31" s="371" t="s">
        <v>86</v>
      </c>
      <c r="E31" s="364"/>
      <c r="F31" s="365"/>
    </row>
    <row r="32" spans="2:6" hidden="1">
      <c r="B32" s="361"/>
      <c r="C32" s="388"/>
      <c r="D32" s="371" t="s">
        <v>85</v>
      </c>
      <c r="E32" s="364"/>
      <c r="F32" s="365"/>
    </row>
    <row r="33" spans="2:6" hidden="1">
      <c r="B33" s="361"/>
      <c r="C33" s="388"/>
      <c r="D33" s="371" t="s">
        <v>84</v>
      </c>
      <c r="E33" s="364"/>
      <c r="F33" s="365"/>
    </row>
    <row r="34" spans="2:6" hidden="1">
      <c r="B34" s="361"/>
      <c r="C34" s="388"/>
      <c r="D34" s="371" t="s">
        <v>83</v>
      </c>
      <c r="E34" s="364"/>
      <c r="F34" s="365"/>
    </row>
    <row r="35" spans="2:6" hidden="1">
      <c r="B35" s="361"/>
      <c r="C35" s="388"/>
      <c r="D35" s="371" t="s">
        <v>82</v>
      </c>
      <c r="E35" s="364"/>
      <c r="F35" s="365"/>
    </row>
    <row r="36" spans="2:6" hidden="1">
      <c r="B36" s="361"/>
      <c r="C36" s="388"/>
      <c r="D36" s="371" t="s">
        <v>81</v>
      </c>
      <c r="E36" s="364"/>
      <c r="F36" s="365"/>
    </row>
    <row r="37" spans="2:6" hidden="1">
      <c r="B37" s="361"/>
      <c r="C37" s="388"/>
      <c r="D37" s="378" t="s">
        <v>66</v>
      </c>
      <c r="E37" s="364"/>
      <c r="F37" s="365"/>
    </row>
    <row r="38" spans="2:6">
      <c r="B38" s="361"/>
      <c r="C38" s="388"/>
      <c r="D38" s="363"/>
      <c r="E38" s="364"/>
      <c r="F38" s="365"/>
    </row>
    <row r="39" spans="2:6">
      <c r="B39" s="361"/>
      <c r="C39" s="376" t="s">
        <v>65</v>
      </c>
      <c r="D39" s="371" t="s">
        <v>186</v>
      </c>
      <c r="E39" s="364"/>
      <c r="F39" s="365"/>
    </row>
    <row r="40" spans="2:6">
      <c r="B40" s="361"/>
      <c r="C40" s="377"/>
      <c r="D40" s="363"/>
      <c r="E40" s="364"/>
      <c r="F40" s="365"/>
    </row>
    <row r="41" spans="2:6" ht="18.75">
      <c r="B41" s="392"/>
      <c r="C41" s="405" t="s">
        <v>80</v>
      </c>
      <c r="D41" s="394"/>
      <c r="E41" s="395"/>
      <c r="F41" s="396"/>
    </row>
    <row r="42" spans="2:6" ht="62.25" customHeight="1">
      <c r="B42" s="392"/>
      <c r="C42" s="406" t="s">
        <v>79</v>
      </c>
      <c r="D42" s="397" t="s">
        <v>396</v>
      </c>
      <c r="E42" s="395"/>
      <c r="F42" s="396"/>
    </row>
    <row r="43" spans="2:6" ht="141" customHeight="1">
      <c r="B43" s="392"/>
      <c r="C43" s="406" t="s">
        <v>78</v>
      </c>
      <c r="D43" s="397" t="s">
        <v>397</v>
      </c>
      <c r="E43" s="395"/>
      <c r="F43" s="396"/>
    </row>
    <row r="44" spans="2:6" ht="30">
      <c r="B44" s="392"/>
      <c r="C44" s="407" t="s">
        <v>77</v>
      </c>
      <c r="D44" s="397" t="s">
        <v>398</v>
      </c>
      <c r="E44" s="395"/>
      <c r="F44" s="396"/>
    </row>
    <row r="45" spans="2:6" ht="30">
      <c r="B45" s="392"/>
      <c r="C45" s="400" t="s">
        <v>76</v>
      </c>
      <c r="D45" s="397" t="s">
        <v>276</v>
      </c>
      <c r="E45" s="401"/>
      <c r="F45" s="396"/>
    </row>
    <row r="46" spans="2:6" hidden="1">
      <c r="B46" s="392"/>
      <c r="C46" s="400"/>
      <c r="D46" s="402" t="s">
        <v>209</v>
      </c>
      <c r="E46" s="395"/>
      <c r="F46" s="396"/>
    </row>
    <row r="47" spans="2:6" hidden="1">
      <c r="B47" s="392"/>
      <c r="C47" s="400"/>
      <c r="D47" s="402" t="s">
        <v>277</v>
      </c>
      <c r="E47" s="395"/>
      <c r="F47" s="396"/>
    </row>
    <row r="48" spans="2:6" hidden="1">
      <c r="B48" s="392"/>
      <c r="C48" s="400"/>
      <c r="D48" s="402" t="s">
        <v>276</v>
      </c>
      <c r="E48" s="395"/>
      <c r="F48" s="396"/>
    </row>
    <row r="49" spans="2:6" hidden="1">
      <c r="B49" s="392"/>
      <c r="C49" s="400"/>
      <c r="D49" s="402" t="s">
        <v>278</v>
      </c>
      <c r="E49" s="395"/>
      <c r="F49" s="396"/>
    </row>
    <row r="50" spans="2:6">
      <c r="B50" s="392"/>
      <c r="C50" s="408"/>
      <c r="D50" s="394"/>
      <c r="E50" s="395"/>
      <c r="F50" s="396"/>
    </row>
    <row r="51" spans="2:6" ht="18.75">
      <c r="B51" s="346"/>
      <c r="C51" s="416" t="s">
        <v>75</v>
      </c>
      <c r="D51" s="348"/>
      <c r="E51" s="349"/>
      <c r="F51" s="350"/>
    </row>
    <row r="52" spans="2:6">
      <c r="B52" s="346"/>
      <c r="C52" s="417" t="s">
        <v>74</v>
      </c>
      <c r="D52" s="352" t="s">
        <v>73</v>
      </c>
      <c r="E52" s="349"/>
      <c r="F52" s="350"/>
    </row>
    <row r="53" spans="2:6" hidden="1">
      <c r="B53" s="346"/>
      <c r="C53" s="355"/>
      <c r="D53" s="409"/>
      <c r="E53" s="349"/>
      <c r="F53" s="350"/>
    </row>
    <row r="54" spans="2:6" hidden="1">
      <c r="B54" s="346"/>
      <c r="C54" s="355"/>
      <c r="D54" s="410" t="s">
        <v>73</v>
      </c>
      <c r="E54" s="349"/>
      <c r="F54" s="350"/>
    </row>
    <row r="55" spans="2:6" hidden="1">
      <c r="B55" s="346"/>
      <c r="C55" s="355"/>
      <c r="D55" s="410" t="s">
        <v>72</v>
      </c>
      <c r="E55" s="349"/>
      <c r="F55" s="350"/>
    </row>
    <row r="56" spans="2:6" hidden="1">
      <c r="B56" s="346"/>
      <c r="C56" s="355"/>
      <c r="D56" s="410" t="s">
        <v>71</v>
      </c>
      <c r="E56" s="349"/>
      <c r="F56" s="350"/>
    </row>
    <row r="57" spans="2:6">
      <c r="B57" s="346"/>
      <c r="C57" s="417"/>
      <c r="D57" s="348"/>
      <c r="E57" s="349"/>
      <c r="F57" s="350"/>
    </row>
    <row r="58" spans="2:6">
      <c r="B58" s="346"/>
      <c r="C58" s="417" t="s">
        <v>70</v>
      </c>
      <c r="D58" s="352" t="s">
        <v>69</v>
      </c>
      <c r="E58" s="349"/>
      <c r="F58" s="350"/>
    </row>
    <row r="59" spans="2:6" hidden="1">
      <c r="B59" s="346"/>
      <c r="C59" s="417"/>
      <c r="D59" s="353" t="s">
        <v>69</v>
      </c>
      <c r="E59" s="411"/>
      <c r="F59" s="350"/>
    </row>
    <row r="60" spans="2:6" hidden="1">
      <c r="B60" s="346"/>
      <c r="C60" s="417"/>
      <c r="D60" s="353" t="s">
        <v>68</v>
      </c>
      <c r="E60" s="411"/>
      <c r="F60" s="350"/>
    </row>
    <row r="61" spans="2:6" hidden="1">
      <c r="B61" s="346"/>
      <c r="C61" s="417"/>
      <c r="D61" s="353" t="s">
        <v>67</v>
      </c>
      <c r="E61" s="411"/>
      <c r="F61" s="350"/>
    </row>
    <row r="62" spans="2:6" hidden="1">
      <c r="B62" s="346"/>
      <c r="C62" s="417"/>
      <c r="D62" s="353" t="s">
        <v>66</v>
      </c>
      <c r="E62" s="411"/>
      <c r="F62" s="350"/>
    </row>
    <row r="63" spans="2:6">
      <c r="B63" s="346"/>
      <c r="C63" s="354" t="s">
        <v>65</v>
      </c>
      <c r="D63" s="352"/>
      <c r="E63" s="349"/>
      <c r="F63" s="350"/>
    </row>
    <row r="64" spans="2:6">
      <c r="B64" s="346"/>
      <c r="C64" s="417"/>
      <c r="D64" s="348"/>
      <c r="E64" s="349"/>
      <c r="F64" s="350"/>
    </row>
    <row r="65" spans="2:44" ht="18.75">
      <c r="B65" s="419"/>
      <c r="C65" s="443" t="s">
        <v>64</v>
      </c>
      <c r="D65" s="421"/>
      <c r="E65" s="422"/>
      <c r="F65" s="423"/>
      <c r="I65" s="476"/>
      <c r="J65" s="8"/>
      <c r="K65" s="8"/>
      <c r="L65" s="8"/>
      <c r="M65" s="8"/>
    </row>
    <row r="66" spans="2:44" ht="330">
      <c r="B66" s="419"/>
      <c r="C66" s="444" t="s">
        <v>118</v>
      </c>
      <c r="D66" s="426" t="s">
        <v>722</v>
      </c>
      <c r="E66" s="422"/>
      <c r="F66" s="423"/>
      <c r="I66" s="476"/>
      <c r="J66" s="143"/>
      <c r="K66" s="143"/>
      <c r="L66" s="122"/>
      <c r="M66" s="274"/>
    </row>
    <row r="67" spans="2:44">
      <c r="B67" s="419"/>
      <c r="C67" s="418" t="s">
        <v>107</v>
      </c>
      <c r="D67" s="440" t="s">
        <v>106</v>
      </c>
      <c r="E67" s="422"/>
      <c r="F67" s="423"/>
      <c r="H67">
        <f>(1400000*0.5)*0.006</f>
        <v>4200</v>
      </c>
      <c r="I67" s="476">
        <f>H67/5</f>
        <v>840</v>
      </c>
      <c r="J67" s="166"/>
      <c r="K67" s="166">
        <f>49+58</f>
        <v>107</v>
      </c>
      <c r="L67" s="477"/>
      <c r="M67" s="8"/>
      <c r="N67">
        <f>107000*0.006</f>
        <v>642</v>
      </c>
      <c r="O67">
        <f>N67/3</f>
        <v>214</v>
      </c>
    </row>
    <row r="68" spans="2:44">
      <c r="B68" s="419"/>
      <c r="C68" s="418" t="s">
        <v>119</v>
      </c>
      <c r="D68" s="424">
        <f>SUM(I74:AR74)</f>
        <v>6942000</v>
      </c>
      <c r="E68" s="422"/>
      <c r="F68" s="423"/>
      <c r="I68" s="476"/>
      <c r="J68" s="279"/>
      <c r="K68" s="279"/>
      <c r="L68" s="279"/>
      <c r="M68" s="8"/>
    </row>
    <row r="69" spans="2:44">
      <c r="B69" s="419"/>
      <c r="C69" s="444"/>
      <c r="D69" s="421"/>
      <c r="E69" s="422"/>
      <c r="F69" s="423"/>
      <c r="I69" s="478" t="s">
        <v>3</v>
      </c>
      <c r="J69" s="478" t="s">
        <v>5</v>
      </c>
      <c r="K69" s="478" t="s">
        <v>6</v>
      </c>
      <c r="L69" s="478" t="s">
        <v>7</v>
      </c>
      <c r="M69" s="478" t="s">
        <v>8</v>
      </c>
      <c r="N69" s="479" t="s">
        <v>9</v>
      </c>
      <c r="O69" s="479" t="s">
        <v>10</v>
      </c>
      <c r="P69" s="479" t="s">
        <v>11</v>
      </c>
      <c r="Q69" s="479" t="s">
        <v>13</v>
      </c>
      <c r="R69" s="479" t="s">
        <v>14</v>
      </c>
      <c r="S69" s="479" t="s">
        <v>15</v>
      </c>
      <c r="T69" s="479" t="s">
        <v>16</v>
      </c>
      <c r="U69" s="479" t="s">
        <v>17</v>
      </c>
      <c r="V69" s="479" t="s">
        <v>18</v>
      </c>
      <c r="W69" s="479" t="s">
        <v>19</v>
      </c>
      <c r="X69" s="479" t="s">
        <v>20</v>
      </c>
      <c r="Y69" s="479" t="s">
        <v>21</v>
      </c>
      <c r="Z69" s="479" t="s">
        <v>22</v>
      </c>
      <c r="AA69" s="479" t="s">
        <v>23</v>
      </c>
      <c r="AB69" s="479" t="s">
        <v>24</v>
      </c>
      <c r="AC69" s="479" t="s">
        <v>25</v>
      </c>
      <c r="AD69" s="479" t="s">
        <v>26</v>
      </c>
      <c r="AE69" s="479" t="s">
        <v>27</v>
      </c>
      <c r="AF69" s="479" t="s">
        <v>28</v>
      </c>
      <c r="AG69" s="479" t="s">
        <v>29</v>
      </c>
      <c r="AH69" s="479" t="s">
        <v>46</v>
      </c>
      <c r="AI69" s="479" t="s">
        <v>47</v>
      </c>
      <c r="AJ69" s="479" t="s">
        <v>48</v>
      </c>
      <c r="AK69" s="479" t="s">
        <v>49</v>
      </c>
      <c r="AL69" s="479" t="s">
        <v>50</v>
      </c>
      <c r="AM69" s="479" t="s">
        <v>51</v>
      </c>
      <c r="AN69" s="479" t="s">
        <v>52</v>
      </c>
      <c r="AO69" s="479" t="s">
        <v>53</v>
      </c>
      <c r="AP69" s="487"/>
      <c r="AQ69" s="487"/>
      <c r="AR69" s="487"/>
    </row>
    <row r="70" spans="2:44" ht="30">
      <c r="B70" s="419"/>
      <c r="C70" s="418" t="s">
        <v>223</v>
      </c>
      <c r="D70" s="426" t="s">
        <v>720</v>
      </c>
      <c r="E70" s="422"/>
      <c r="F70" s="423"/>
      <c r="H70" t="s">
        <v>667</v>
      </c>
      <c r="I70" s="481"/>
      <c r="J70" s="482"/>
      <c r="K70" s="482"/>
      <c r="L70" s="482">
        <v>70000</v>
      </c>
      <c r="M70" s="482">
        <v>70000</v>
      </c>
      <c r="N70" s="482">
        <v>70000</v>
      </c>
      <c r="O70" s="482">
        <v>70000</v>
      </c>
      <c r="P70" s="482">
        <v>70000</v>
      </c>
      <c r="Q70" s="482">
        <v>70000</v>
      </c>
      <c r="R70" s="482">
        <v>70000</v>
      </c>
      <c r="S70" s="482">
        <v>70000</v>
      </c>
      <c r="T70" s="482">
        <v>70000</v>
      </c>
      <c r="U70" s="482">
        <v>70000</v>
      </c>
      <c r="V70" s="482">
        <v>70000</v>
      </c>
      <c r="W70" s="482">
        <v>70000</v>
      </c>
      <c r="X70" s="482">
        <v>70000</v>
      </c>
      <c r="Y70" s="482">
        <v>70000</v>
      </c>
      <c r="Z70" s="482">
        <v>70000</v>
      </c>
      <c r="AA70" s="482">
        <v>70000</v>
      </c>
      <c r="AB70" s="482">
        <v>70000</v>
      </c>
      <c r="AC70" s="482">
        <v>70000</v>
      </c>
      <c r="AD70" s="482">
        <v>70000</v>
      </c>
      <c r="AE70" s="482">
        <v>70000</v>
      </c>
      <c r="AF70" s="482">
        <v>70000</v>
      </c>
      <c r="AG70" s="482">
        <v>70000</v>
      </c>
      <c r="AH70" s="482">
        <v>70000</v>
      </c>
      <c r="AI70" s="482">
        <v>70000</v>
      </c>
      <c r="AJ70" s="482">
        <v>70000</v>
      </c>
      <c r="AK70" s="482">
        <v>70000</v>
      </c>
      <c r="AL70" s="482">
        <v>70000</v>
      </c>
      <c r="AM70" s="482">
        <v>70000</v>
      </c>
      <c r="AN70" s="482">
        <v>70000</v>
      </c>
      <c r="AO70" s="482">
        <v>70000</v>
      </c>
      <c r="AP70" s="482"/>
      <c r="AQ70" s="482"/>
      <c r="AR70" s="482"/>
    </row>
    <row r="71" spans="2:44">
      <c r="B71" s="419"/>
      <c r="C71" s="444" t="s">
        <v>62</v>
      </c>
      <c r="D71" s="438" t="s">
        <v>723</v>
      </c>
      <c r="E71" s="422"/>
      <c r="F71" s="423"/>
      <c r="H71" t="s">
        <v>666</v>
      </c>
      <c r="I71" s="483">
        <v>214000</v>
      </c>
      <c r="J71" s="483">
        <v>214000</v>
      </c>
      <c r="K71" s="483">
        <v>214000</v>
      </c>
      <c r="L71" s="484"/>
      <c r="M71" s="482"/>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2"/>
      <c r="AQ71" s="482"/>
      <c r="AR71" s="482"/>
    </row>
    <row r="72" spans="2:44">
      <c r="B72" s="419"/>
      <c r="C72" s="444"/>
      <c r="D72" s="421"/>
      <c r="E72" s="422"/>
      <c r="F72" s="423"/>
      <c r="H72" t="s">
        <v>93</v>
      </c>
      <c r="I72" s="485">
        <v>0</v>
      </c>
      <c r="J72" s="485">
        <v>840000</v>
      </c>
      <c r="K72" s="485">
        <v>840000</v>
      </c>
      <c r="L72" s="485">
        <v>840000</v>
      </c>
      <c r="M72" s="485">
        <v>840000</v>
      </c>
      <c r="N72" s="485">
        <v>840000</v>
      </c>
      <c r="O72" s="485"/>
      <c r="P72" s="485"/>
      <c r="Q72" s="485"/>
      <c r="R72" s="485"/>
      <c r="S72" s="485"/>
      <c r="T72" s="485"/>
      <c r="U72" s="485"/>
      <c r="V72" s="485"/>
      <c r="W72" s="485"/>
      <c r="X72" s="485"/>
      <c r="Y72" s="485"/>
      <c r="Z72" s="485"/>
      <c r="AA72" s="485"/>
      <c r="AB72" s="485"/>
      <c r="AC72" s="485"/>
      <c r="AD72" s="485"/>
      <c r="AE72" s="485"/>
      <c r="AF72" s="485"/>
      <c r="AG72" s="485"/>
      <c r="AH72" s="485"/>
      <c r="AI72" s="485"/>
      <c r="AJ72" s="485"/>
      <c r="AK72" s="485"/>
      <c r="AL72" s="485"/>
      <c r="AM72" s="485"/>
      <c r="AN72" s="485"/>
      <c r="AO72" s="485"/>
      <c r="AP72" s="482"/>
      <c r="AQ72" s="482"/>
      <c r="AR72" s="482"/>
    </row>
    <row r="73" spans="2:44">
      <c r="B73" s="419"/>
      <c r="C73" s="444" t="s">
        <v>61</v>
      </c>
      <c r="D73" s="427">
        <v>0.5</v>
      </c>
      <c r="E73" s="422"/>
      <c r="F73" s="423"/>
      <c r="H73" t="s">
        <v>721</v>
      </c>
      <c r="I73" s="485"/>
      <c r="J73" s="485"/>
      <c r="K73" s="485">
        <v>0</v>
      </c>
      <c r="L73" s="485">
        <v>0</v>
      </c>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c r="AP73" s="482"/>
      <c r="AQ73" s="482"/>
      <c r="AR73" s="482"/>
    </row>
    <row r="74" spans="2:44" ht="15.75" thickBot="1">
      <c r="B74" s="419"/>
      <c r="C74" s="444"/>
      <c r="D74" s="433" t="s">
        <v>0</v>
      </c>
      <c r="E74" s="422"/>
      <c r="F74" s="423"/>
      <c r="H74" s="480"/>
      <c r="I74" s="486">
        <f>SUM(I70:I73)</f>
        <v>214000</v>
      </c>
      <c r="J74" s="486">
        <f t="shared" ref="J74:AO74" si="0">SUM(J70:J73)</f>
        <v>1054000</v>
      </c>
      <c r="K74" s="486">
        <f t="shared" si="0"/>
        <v>1054000</v>
      </c>
      <c r="L74" s="486">
        <f t="shared" si="0"/>
        <v>910000</v>
      </c>
      <c r="M74" s="486">
        <f t="shared" si="0"/>
        <v>910000</v>
      </c>
      <c r="N74" s="486">
        <f t="shared" si="0"/>
        <v>910000</v>
      </c>
      <c r="O74" s="486">
        <f t="shared" si="0"/>
        <v>70000</v>
      </c>
      <c r="P74" s="486">
        <f t="shared" si="0"/>
        <v>70000</v>
      </c>
      <c r="Q74" s="486">
        <f t="shared" si="0"/>
        <v>70000</v>
      </c>
      <c r="R74" s="486">
        <f t="shared" si="0"/>
        <v>70000</v>
      </c>
      <c r="S74" s="486">
        <f t="shared" si="0"/>
        <v>70000</v>
      </c>
      <c r="T74" s="486">
        <f t="shared" si="0"/>
        <v>70000</v>
      </c>
      <c r="U74" s="486">
        <f t="shared" si="0"/>
        <v>70000</v>
      </c>
      <c r="V74" s="486">
        <f t="shared" si="0"/>
        <v>70000</v>
      </c>
      <c r="W74" s="486">
        <f t="shared" si="0"/>
        <v>70000</v>
      </c>
      <c r="X74" s="486">
        <f t="shared" si="0"/>
        <v>70000</v>
      </c>
      <c r="Y74" s="486">
        <f t="shared" si="0"/>
        <v>70000</v>
      </c>
      <c r="Z74" s="486">
        <f t="shared" si="0"/>
        <v>70000</v>
      </c>
      <c r="AA74" s="486">
        <f t="shared" si="0"/>
        <v>70000</v>
      </c>
      <c r="AB74" s="486">
        <f t="shared" si="0"/>
        <v>70000</v>
      </c>
      <c r="AC74" s="486">
        <f t="shared" si="0"/>
        <v>70000</v>
      </c>
      <c r="AD74" s="486">
        <f t="shared" si="0"/>
        <v>70000</v>
      </c>
      <c r="AE74" s="486">
        <f t="shared" si="0"/>
        <v>70000</v>
      </c>
      <c r="AF74" s="486">
        <f t="shared" si="0"/>
        <v>70000</v>
      </c>
      <c r="AG74" s="486">
        <f t="shared" si="0"/>
        <v>70000</v>
      </c>
      <c r="AH74" s="486">
        <f t="shared" si="0"/>
        <v>70000</v>
      </c>
      <c r="AI74" s="486">
        <f t="shared" si="0"/>
        <v>70000</v>
      </c>
      <c r="AJ74" s="486">
        <f t="shared" si="0"/>
        <v>70000</v>
      </c>
      <c r="AK74" s="486">
        <f t="shared" si="0"/>
        <v>70000</v>
      </c>
      <c r="AL74" s="486">
        <f t="shared" si="0"/>
        <v>70000</v>
      </c>
      <c r="AM74" s="486">
        <f t="shared" si="0"/>
        <v>70000</v>
      </c>
      <c r="AN74" s="486">
        <f t="shared" si="0"/>
        <v>70000</v>
      </c>
      <c r="AO74" s="486">
        <f t="shared" si="0"/>
        <v>70000</v>
      </c>
      <c r="AP74" s="482"/>
      <c r="AQ74" s="482"/>
      <c r="AR74" s="482"/>
    </row>
    <row r="75" spans="2:44" ht="15.75" thickTop="1">
      <c r="B75" s="419"/>
      <c r="C75" s="446"/>
      <c r="D75" s="421"/>
      <c r="E75" s="422"/>
      <c r="F75" s="423"/>
    </row>
    <row r="76" spans="2:44" ht="15.75" thickBot="1">
      <c r="B76" s="429"/>
      <c r="C76" s="430"/>
      <c r="D76" s="431"/>
      <c r="E76" s="430"/>
      <c r="F76" s="432"/>
      <c r="G76" t="s">
        <v>399</v>
      </c>
    </row>
  </sheetData>
  <phoneticPr fontId="19" type="noConversion"/>
  <pageMargins left="0.7" right="0.7" top="0.75" bottom="0.75" header="0.3" footer="0.3"/>
  <pageSetup paperSize="9" scale="18" orientation="portrait" copies="2" r:id="rId1"/>
</worksheet>
</file>

<file path=xl/worksheets/sheet58.xml><?xml version="1.0" encoding="utf-8"?>
<worksheet xmlns="http://schemas.openxmlformats.org/spreadsheetml/2006/main" xmlns:r="http://schemas.openxmlformats.org/officeDocument/2006/relationships">
  <sheetPr>
    <pageSetUpPr fitToPage="1"/>
  </sheetPr>
  <dimension ref="B1:M76"/>
  <sheetViews>
    <sheetView topLeftCell="A7" zoomScale="75" zoomScaleNormal="75" workbookViewId="0">
      <selection activeCell="C44" sqref="C44"/>
    </sheetView>
  </sheetViews>
  <sheetFormatPr defaultRowHeight="15"/>
  <cols>
    <col min="1" max="2" width="3.7109375" customWidth="1"/>
    <col min="3" max="3" width="61.42578125" bestFit="1" customWidth="1"/>
    <col min="4" max="4" width="43.85546875" style="26" customWidth="1"/>
    <col min="5" max="5" width="4.7109375" customWidth="1"/>
    <col min="6" max="7" width="3.7109375" customWidth="1"/>
    <col min="9" max="9" width="11.7109375" bestFit="1" customWidth="1"/>
    <col min="10" max="11" width="15.7109375" bestFit="1" customWidth="1"/>
    <col min="12" max="13" width="16.28515625" bestFit="1" customWidth="1"/>
  </cols>
  <sheetData>
    <row r="1" spans="2:6" ht="18.75">
      <c r="B1" s="25" t="s">
        <v>60</v>
      </c>
    </row>
    <row r="2" spans="2:6" ht="18.75">
      <c r="B2" s="25" t="s">
        <v>347</v>
      </c>
    </row>
    <row r="3" spans="2:6" ht="18.75">
      <c r="B3" s="280" t="s">
        <v>404</v>
      </c>
    </row>
    <row r="4" spans="2:6" ht="19.5" thickBot="1">
      <c r="B4" s="120"/>
      <c r="C4" s="12"/>
      <c r="D4" s="121"/>
      <c r="E4" s="12"/>
      <c r="F4" s="12"/>
    </row>
    <row r="5" spans="2:6" ht="18.75">
      <c r="B5" s="361"/>
      <c r="C5" s="468" t="s">
        <v>104</v>
      </c>
      <c r="D5" s="363"/>
      <c r="E5" s="364"/>
      <c r="F5" s="365"/>
    </row>
    <row r="6" spans="2:6" s="32" customFormat="1" ht="18.75">
      <c r="B6" s="366"/>
      <c r="C6" s="489" t="s">
        <v>404</v>
      </c>
      <c r="D6" s="368"/>
      <c r="E6" s="369"/>
      <c r="F6" s="370"/>
    </row>
    <row r="7" spans="2:6" s="32" customFormat="1">
      <c r="B7" s="366"/>
      <c r="C7" s="388" t="s">
        <v>103</v>
      </c>
      <c r="D7" s="382"/>
      <c r="E7" s="369"/>
      <c r="F7" s="370"/>
    </row>
    <row r="8" spans="2:6" s="32" customFormat="1">
      <c r="B8" s="366"/>
      <c r="C8" s="388" t="s">
        <v>102</v>
      </c>
      <c r="D8" s="471" t="s">
        <v>403</v>
      </c>
      <c r="E8" s="369"/>
      <c r="F8" s="370"/>
    </row>
    <row r="9" spans="2:6" s="32" customFormat="1">
      <c r="B9" s="366"/>
      <c r="C9" s="367" t="s">
        <v>109</v>
      </c>
      <c r="D9" s="389">
        <v>40633</v>
      </c>
      <c r="E9" s="369"/>
      <c r="F9" s="370"/>
    </row>
    <row r="10" spans="2:6" s="32" customFormat="1">
      <c r="B10" s="366"/>
      <c r="C10" s="388" t="s">
        <v>101</v>
      </c>
      <c r="D10" s="389">
        <v>40816</v>
      </c>
      <c r="E10" s="369"/>
      <c r="F10" s="370"/>
    </row>
    <row r="11" spans="2:6" s="32" customFormat="1">
      <c r="B11" s="366"/>
      <c r="C11" s="388"/>
      <c r="D11" s="381"/>
      <c r="E11" s="369"/>
      <c r="F11" s="370"/>
    </row>
    <row r="12" spans="2:6">
      <c r="B12" s="361"/>
      <c r="C12" s="388" t="s">
        <v>100</v>
      </c>
      <c r="D12" s="383" t="s">
        <v>99</v>
      </c>
      <c r="E12" s="374"/>
      <c r="F12" s="365"/>
    </row>
    <row r="13" spans="2:6">
      <c r="B13" s="361"/>
      <c r="C13" s="364"/>
      <c r="D13" s="383" t="s">
        <v>98</v>
      </c>
      <c r="E13" s="374"/>
      <c r="F13" s="365"/>
    </row>
    <row r="14" spans="2:6">
      <c r="B14" s="361"/>
      <c r="C14" s="364"/>
      <c r="D14" s="383" t="s">
        <v>97</v>
      </c>
      <c r="E14" s="375"/>
      <c r="F14" s="365"/>
    </row>
    <row r="15" spans="2:6">
      <c r="B15" s="361"/>
      <c r="C15" s="364"/>
      <c r="D15" s="383" t="s">
        <v>45</v>
      </c>
      <c r="E15" s="374" t="s">
        <v>96</v>
      </c>
      <c r="F15" s="365"/>
    </row>
    <row r="16" spans="2:6">
      <c r="B16" s="361"/>
      <c r="C16" s="364"/>
      <c r="D16" s="383" t="s">
        <v>95</v>
      </c>
      <c r="E16" s="374"/>
      <c r="F16" s="365"/>
    </row>
    <row r="17" spans="2:6">
      <c r="B17" s="361"/>
      <c r="C17" s="364"/>
      <c r="D17" s="383" t="s">
        <v>66</v>
      </c>
      <c r="E17" s="374"/>
      <c r="F17" s="365"/>
    </row>
    <row r="18" spans="2:6">
      <c r="B18" s="361"/>
      <c r="C18" s="364"/>
      <c r="D18" s="380"/>
      <c r="E18" s="364"/>
      <c r="F18" s="365"/>
    </row>
    <row r="19" spans="2:6">
      <c r="B19" s="361"/>
      <c r="C19" s="376" t="s">
        <v>65</v>
      </c>
      <c r="D19" s="382"/>
      <c r="E19" s="364"/>
      <c r="F19" s="365"/>
    </row>
    <row r="20" spans="2:6">
      <c r="B20" s="361"/>
      <c r="C20" s="377"/>
      <c r="D20" s="380"/>
      <c r="E20" s="364"/>
      <c r="F20" s="365"/>
    </row>
    <row r="21" spans="2:6">
      <c r="B21" s="361"/>
      <c r="C21" s="388" t="s">
        <v>94</v>
      </c>
      <c r="D21" s="382" t="s">
        <v>66</v>
      </c>
      <c r="E21" s="364"/>
      <c r="F21" s="365"/>
    </row>
    <row r="22" spans="2:6" hidden="1">
      <c r="B22" s="361"/>
      <c r="C22" s="388"/>
      <c r="D22" s="382"/>
      <c r="E22" s="364"/>
      <c r="F22" s="365"/>
    </row>
    <row r="23" spans="2:6" hidden="1">
      <c r="B23" s="361"/>
      <c r="C23" s="388"/>
      <c r="D23" s="371" t="s">
        <v>93</v>
      </c>
      <c r="E23" s="364"/>
      <c r="F23" s="365"/>
    </row>
    <row r="24" spans="2:6" hidden="1">
      <c r="B24" s="361"/>
      <c r="C24" s="388"/>
      <c r="D24" s="371" t="s">
        <v>58</v>
      </c>
      <c r="E24" s="364"/>
      <c r="F24" s="365"/>
    </row>
    <row r="25" spans="2:6" hidden="1">
      <c r="B25" s="361"/>
      <c r="C25" s="388"/>
      <c r="D25" s="371" t="s">
        <v>92</v>
      </c>
      <c r="E25" s="364"/>
      <c r="F25" s="365"/>
    </row>
    <row r="26" spans="2:6" hidden="1">
      <c r="B26" s="361"/>
      <c r="C26" s="388"/>
      <c r="D26" s="371" t="s">
        <v>91</v>
      </c>
      <c r="E26" s="364"/>
      <c r="F26" s="365"/>
    </row>
    <row r="27" spans="2:6" hidden="1">
      <c r="B27" s="361"/>
      <c r="C27" s="388"/>
      <c r="D27" s="371" t="s">
        <v>90</v>
      </c>
      <c r="E27" s="364"/>
      <c r="F27" s="365"/>
    </row>
    <row r="28" spans="2:6" hidden="1">
      <c r="B28" s="361"/>
      <c r="C28" s="388"/>
      <c r="D28" s="371" t="s">
        <v>89</v>
      </c>
      <c r="E28" s="364"/>
      <c r="F28" s="365"/>
    </row>
    <row r="29" spans="2:6" hidden="1">
      <c r="B29" s="361"/>
      <c r="C29" s="388"/>
      <c r="D29" s="371" t="s">
        <v>88</v>
      </c>
      <c r="E29" s="364"/>
      <c r="F29" s="365"/>
    </row>
    <row r="30" spans="2:6" hidden="1">
      <c r="B30" s="361"/>
      <c r="C30" s="388"/>
      <c r="D30" s="371" t="s">
        <v>87</v>
      </c>
      <c r="E30" s="364"/>
      <c r="F30" s="365"/>
    </row>
    <row r="31" spans="2:6" hidden="1">
      <c r="B31" s="361"/>
      <c r="C31" s="388"/>
      <c r="D31" s="371" t="s">
        <v>86</v>
      </c>
      <c r="E31" s="364"/>
      <c r="F31" s="365"/>
    </row>
    <row r="32" spans="2:6" hidden="1">
      <c r="B32" s="361"/>
      <c r="C32" s="388"/>
      <c r="D32" s="371" t="s">
        <v>85</v>
      </c>
      <c r="E32" s="364"/>
      <c r="F32" s="365"/>
    </row>
    <row r="33" spans="2:6" hidden="1">
      <c r="B33" s="361"/>
      <c r="C33" s="388"/>
      <c r="D33" s="371" t="s">
        <v>84</v>
      </c>
      <c r="E33" s="364"/>
      <c r="F33" s="365"/>
    </row>
    <row r="34" spans="2:6" hidden="1">
      <c r="B34" s="361"/>
      <c r="C34" s="388"/>
      <c r="D34" s="371" t="s">
        <v>83</v>
      </c>
      <c r="E34" s="364"/>
      <c r="F34" s="365"/>
    </row>
    <row r="35" spans="2:6" hidden="1">
      <c r="B35" s="361"/>
      <c r="C35" s="388"/>
      <c r="D35" s="371" t="s">
        <v>82</v>
      </c>
      <c r="E35" s="364"/>
      <c r="F35" s="365"/>
    </row>
    <row r="36" spans="2:6" hidden="1">
      <c r="B36" s="361"/>
      <c r="C36" s="388"/>
      <c r="D36" s="371" t="s">
        <v>81</v>
      </c>
      <c r="E36" s="364"/>
      <c r="F36" s="365"/>
    </row>
    <row r="37" spans="2:6" hidden="1">
      <c r="B37" s="361"/>
      <c r="C37" s="388"/>
      <c r="D37" s="378" t="s">
        <v>66</v>
      </c>
      <c r="E37" s="364"/>
      <c r="F37" s="365"/>
    </row>
    <row r="38" spans="2:6">
      <c r="B38" s="361"/>
      <c r="C38" s="388"/>
      <c r="D38" s="380"/>
      <c r="E38" s="364"/>
      <c r="F38" s="365"/>
    </row>
    <row r="39" spans="2:6">
      <c r="B39" s="361"/>
      <c r="C39" s="376" t="s">
        <v>65</v>
      </c>
      <c r="D39" s="382" t="s">
        <v>401</v>
      </c>
      <c r="E39" s="364"/>
      <c r="F39" s="365"/>
    </row>
    <row r="40" spans="2:6">
      <c r="B40" s="361"/>
      <c r="C40" s="377"/>
      <c r="D40" s="380"/>
      <c r="E40" s="364"/>
      <c r="F40" s="365"/>
    </row>
    <row r="41" spans="2:6" ht="18.75">
      <c r="B41" s="392"/>
      <c r="C41" s="405" t="s">
        <v>80</v>
      </c>
      <c r="D41" s="404"/>
      <c r="E41" s="395"/>
      <c r="F41" s="396"/>
    </row>
    <row r="42" spans="2:6" ht="31.5" customHeight="1">
      <c r="B42" s="392"/>
      <c r="C42" s="406" t="s">
        <v>79</v>
      </c>
      <c r="D42" s="399" t="s">
        <v>693</v>
      </c>
      <c r="E42" s="395"/>
      <c r="F42" s="396"/>
    </row>
    <row r="43" spans="2:6" ht="23.25" customHeight="1">
      <c r="B43" s="392"/>
      <c r="C43" s="406" t="s">
        <v>78</v>
      </c>
      <c r="D43" s="399" t="s">
        <v>693</v>
      </c>
      <c r="E43" s="395"/>
      <c r="F43" s="396"/>
    </row>
    <row r="44" spans="2:6" ht="46.5" customHeight="1">
      <c r="B44" s="392"/>
      <c r="C44" s="407" t="s">
        <v>77</v>
      </c>
      <c r="D44" s="399" t="s">
        <v>693</v>
      </c>
      <c r="E44" s="395"/>
      <c r="F44" s="396"/>
    </row>
    <row r="45" spans="2:6" ht="30">
      <c r="B45" s="392"/>
      <c r="C45" s="400" t="s">
        <v>76</v>
      </c>
      <c r="D45" s="399" t="s">
        <v>278</v>
      </c>
      <c r="E45" s="401"/>
      <c r="F45" s="396"/>
    </row>
    <row r="46" spans="2:6" hidden="1">
      <c r="B46" s="392"/>
      <c r="C46" s="400"/>
      <c r="D46" s="402" t="s">
        <v>209</v>
      </c>
      <c r="E46" s="395"/>
      <c r="F46" s="396"/>
    </row>
    <row r="47" spans="2:6" hidden="1">
      <c r="B47" s="392"/>
      <c r="C47" s="400"/>
      <c r="D47" s="402" t="s">
        <v>277</v>
      </c>
      <c r="E47" s="395"/>
      <c r="F47" s="396"/>
    </row>
    <row r="48" spans="2:6" hidden="1">
      <c r="B48" s="392"/>
      <c r="C48" s="400"/>
      <c r="D48" s="402" t="s">
        <v>276</v>
      </c>
      <c r="E48" s="395"/>
      <c r="F48" s="396"/>
    </row>
    <row r="49" spans="2:6" hidden="1">
      <c r="B49" s="392"/>
      <c r="C49" s="400"/>
      <c r="D49" s="402" t="s">
        <v>278</v>
      </c>
      <c r="E49" s="395"/>
      <c r="F49" s="396"/>
    </row>
    <row r="50" spans="2:6">
      <c r="B50" s="392"/>
      <c r="C50" s="408"/>
      <c r="D50" s="404"/>
      <c r="E50" s="395"/>
      <c r="F50" s="396"/>
    </row>
    <row r="51" spans="2:6" ht="18.75">
      <c r="B51" s="346"/>
      <c r="C51" s="416" t="s">
        <v>75</v>
      </c>
      <c r="D51" s="412"/>
      <c r="E51" s="349"/>
      <c r="F51" s="350"/>
    </row>
    <row r="52" spans="2:6">
      <c r="B52" s="346"/>
      <c r="C52" s="417" t="s">
        <v>74</v>
      </c>
      <c r="D52" s="413" t="s">
        <v>72</v>
      </c>
      <c r="E52" s="349"/>
      <c r="F52" s="350"/>
    </row>
    <row r="53" spans="2:6" hidden="1">
      <c r="B53" s="346"/>
      <c r="C53" s="355"/>
      <c r="D53" s="414"/>
      <c r="E53" s="349"/>
      <c r="F53" s="350"/>
    </row>
    <row r="54" spans="2:6" hidden="1">
      <c r="B54" s="346"/>
      <c r="C54" s="355"/>
      <c r="D54" s="413" t="s">
        <v>73</v>
      </c>
      <c r="E54" s="349"/>
      <c r="F54" s="350"/>
    </row>
    <row r="55" spans="2:6" hidden="1">
      <c r="B55" s="346"/>
      <c r="C55" s="355"/>
      <c r="D55" s="413" t="s">
        <v>72</v>
      </c>
      <c r="E55" s="349"/>
      <c r="F55" s="350"/>
    </row>
    <row r="56" spans="2:6" hidden="1">
      <c r="B56" s="346"/>
      <c r="C56" s="355"/>
      <c r="D56" s="413" t="s">
        <v>71</v>
      </c>
      <c r="E56" s="349"/>
      <c r="F56" s="350"/>
    </row>
    <row r="57" spans="2:6">
      <c r="B57" s="346"/>
      <c r="C57" s="417"/>
      <c r="D57" s="412"/>
      <c r="E57" s="349"/>
      <c r="F57" s="350"/>
    </row>
    <row r="58" spans="2:6">
      <c r="B58" s="346"/>
      <c r="C58" s="417" t="s">
        <v>70</v>
      </c>
      <c r="D58" s="413" t="s">
        <v>69</v>
      </c>
      <c r="E58" s="349"/>
      <c r="F58" s="350"/>
    </row>
    <row r="59" spans="2:6" hidden="1">
      <c r="B59" s="346"/>
      <c r="C59" s="417"/>
      <c r="D59" s="415" t="s">
        <v>69</v>
      </c>
      <c r="E59" s="411"/>
      <c r="F59" s="350"/>
    </row>
    <row r="60" spans="2:6" hidden="1">
      <c r="B60" s="346"/>
      <c r="C60" s="417"/>
      <c r="D60" s="415" t="s">
        <v>68</v>
      </c>
      <c r="E60" s="411"/>
      <c r="F60" s="350"/>
    </row>
    <row r="61" spans="2:6" hidden="1">
      <c r="B61" s="346"/>
      <c r="C61" s="417"/>
      <c r="D61" s="415" t="s">
        <v>67</v>
      </c>
      <c r="E61" s="411"/>
      <c r="F61" s="350"/>
    </row>
    <row r="62" spans="2:6" hidden="1">
      <c r="B62" s="346"/>
      <c r="C62" s="417"/>
      <c r="D62" s="415" t="s">
        <v>66</v>
      </c>
      <c r="E62" s="411"/>
      <c r="F62" s="350"/>
    </row>
    <row r="63" spans="2:6">
      <c r="B63" s="346"/>
      <c r="C63" s="354" t="s">
        <v>65</v>
      </c>
      <c r="D63" s="413"/>
      <c r="E63" s="349"/>
      <c r="F63" s="350"/>
    </row>
    <row r="64" spans="2:6">
      <c r="B64" s="346"/>
      <c r="C64" s="417"/>
      <c r="D64" s="412"/>
      <c r="E64" s="349"/>
      <c r="F64" s="350"/>
    </row>
    <row r="65" spans="2:13" ht="18.75">
      <c r="B65" s="419"/>
      <c r="C65" s="443" t="s">
        <v>64</v>
      </c>
      <c r="D65" s="434"/>
      <c r="E65" s="422"/>
      <c r="F65" s="423"/>
      <c r="I65" s="123"/>
      <c r="J65" s="8"/>
      <c r="K65" s="8"/>
      <c r="L65" s="8"/>
      <c r="M65" s="8"/>
    </row>
    <row r="66" spans="2:13">
      <c r="B66" s="419"/>
      <c r="C66" s="444" t="s">
        <v>118</v>
      </c>
      <c r="D66" s="424">
        <v>550000000</v>
      </c>
      <c r="E66" s="422"/>
      <c r="F66" s="423"/>
      <c r="I66" s="123"/>
      <c r="J66" s="143"/>
      <c r="K66" s="143"/>
      <c r="L66" s="122"/>
      <c r="M66" s="274"/>
    </row>
    <row r="67" spans="2:13">
      <c r="B67" s="419"/>
      <c r="C67" s="418" t="s">
        <v>107</v>
      </c>
      <c r="D67" s="427"/>
      <c r="E67" s="422"/>
      <c r="F67" s="423"/>
      <c r="I67" s="123"/>
      <c r="J67" s="166"/>
      <c r="K67" s="166"/>
      <c r="L67" s="66"/>
      <c r="M67" s="8"/>
    </row>
    <row r="68" spans="2:13">
      <c r="B68" s="419"/>
      <c r="C68" s="418" t="s">
        <v>119</v>
      </c>
      <c r="D68" s="424">
        <v>203000000</v>
      </c>
      <c r="E68" s="422"/>
      <c r="F68" s="423"/>
      <c r="I68" s="123"/>
      <c r="J68" s="279"/>
      <c r="K68" s="279"/>
      <c r="L68" s="279"/>
      <c r="M68" s="8"/>
    </row>
    <row r="69" spans="2:13">
      <c r="B69" s="419"/>
      <c r="C69" s="444"/>
      <c r="D69" s="433"/>
      <c r="E69" s="422"/>
      <c r="F69" s="423"/>
      <c r="I69" s="8"/>
      <c r="J69" s="8"/>
      <c r="K69" s="8"/>
      <c r="L69" s="8"/>
      <c r="M69" s="8"/>
    </row>
    <row r="70" spans="2:13">
      <c r="B70" s="419"/>
      <c r="C70" s="418" t="s">
        <v>223</v>
      </c>
      <c r="D70" s="426" t="s">
        <v>555</v>
      </c>
      <c r="E70" s="422"/>
      <c r="F70" s="423"/>
      <c r="I70" s="83"/>
      <c r="J70" s="8"/>
      <c r="K70" s="8"/>
      <c r="L70" s="8"/>
      <c r="M70" s="8"/>
    </row>
    <row r="71" spans="2:13" ht="36" customHeight="1">
      <c r="B71" s="419"/>
      <c r="C71" s="444" t="s">
        <v>62</v>
      </c>
      <c r="D71" s="426" t="s">
        <v>741</v>
      </c>
      <c r="E71" s="422"/>
      <c r="F71" s="423"/>
      <c r="I71" s="123"/>
      <c r="J71" s="143"/>
      <c r="K71" s="143"/>
      <c r="L71" s="122"/>
      <c r="M71" s="8"/>
    </row>
    <row r="72" spans="2:13">
      <c r="B72" s="419"/>
      <c r="C72" s="444"/>
      <c r="D72" s="433"/>
      <c r="E72" s="422"/>
      <c r="F72" s="423"/>
    </row>
    <row r="73" spans="2:13">
      <c r="B73" s="419"/>
      <c r="C73" s="444" t="s">
        <v>61</v>
      </c>
      <c r="D73" s="427">
        <v>0.33</v>
      </c>
      <c r="E73" s="422"/>
      <c r="F73" s="423"/>
    </row>
    <row r="74" spans="2:13">
      <c r="B74" s="419"/>
      <c r="C74" s="444"/>
      <c r="D74" s="433" t="s">
        <v>0</v>
      </c>
      <c r="E74" s="422"/>
      <c r="F74" s="423"/>
    </row>
    <row r="75" spans="2:13">
      <c r="B75" s="419"/>
      <c r="C75" s="446"/>
      <c r="D75" s="421"/>
      <c r="E75" s="422"/>
      <c r="F75" s="423"/>
    </row>
    <row r="76" spans="2:13" ht="15.75" thickBot="1">
      <c r="B76" s="429"/>
      <c r="C76" s="430"/>
      <c r="D76" s="431"/>
      <c r="E76" s="430"/>
      <c r="F76" s="432"/>
      <c r="G76" t="s">
        <v>399</v>
      </c>
    </row>
  </sheetData>
  <dataValidations count="7">
    <dataValidation type="list" allowBlank="1" showInputMessage="1" showErrorMessage="1" sqref="D25">
      <formula1>$D$28:$D$32</formula1>
    </dataValidation>
    <dataValidation type="list" allowBlank="1" showInputMessage="1" showErrorMessage="1" sqref="D32">
      <formula1>$D$35:$D$38</formula1>
    </dataValidation>
    <dataValidation type="list" allowBlank="1" showInputMessage="1" showErrorMessage="1" sqref="D38">
      <formula1>$D$41:$D$45</formula1>
    </dataValidation>
    <dataValidation type="list" allowBlank="1" showInputMessage="1" showErrorMessage="1" sqref="D45">
      <formula1>$D$48:$D$51</formula1>
    </dataValidation>
    <dataValidation type="list" allowBlank="1" showInputMessage="1" showErrorMessage="1" sqref="D21">
      <formula1>$D$25:$D$39</formula1>
    </dataValidation>
    <dataValidation type="list" allowBlank="1" showInputMessage="1" showErrorMessage="1" sqref="D52">
      <formula1>$D$56:$D$58</formula1>
    </dataValidation>
    <dataValidation type="list" allowBlank="1" showInputMessage="1" showErrorMessage="1" sqref="D58">
      <formula1>$D$61:$D$64</formula1>
    </dataValidation>
  </dataValidations>
  <pageMargins left="0.7" right="0.7" top="0.75" bottom="0.75" header="0.3" footer="0.3"/>
  <pageSetup paperSize="9" scale="29" orientation="portrait" copies="2" r:id="rId1"/>
</worksheet>
</file>

<file path=xl/worksheets/sheet59.xml><?xml version="1.0" encoding="utf-8"?>
<worksheet xmlns="http://schemas.openxmlformats.org/spreadsheetml/2006/main" xmlns:r="http://schemas.openxmlformats.org/officeDocument/2006/relationships">
  <sheetPr>
    <pageSetUpPr fitToPage="1"/>
  </sheetPr>
  <dimension ref="B1:AR78"/>
  <sheetViews>
    <sheetView topLeftCell="A66" zoomScale="75" zoomScaleNormal="75" workbookViewId="0">
      <selection activeCell="B1" sqref="B1:F78"/>
    </sheetView>
  </sheetViews>
  <sheetFormatPr defaultRowHeight="15"/>
  <cols>
    <col min="1" max="2" width="3.7109375" customWidth="1"/>
    <col min="3" max="3" width="61.42578125" bestFit="1" customWidth="1"/>
    <col min="4" max="4" width="43.85546875" style="26" customWidth="1"/>
    <col min="5" max="5" width="4.7109375" customWidth="1"/>
    <col min="6" max="7" width="3.7109375" customWidth="1"/>
    <col min="8" max="8" width="11.5703125" bestFit="1" customWidth="1"/>
    <col min="9" max="9" width="9.42578125" customWidth="1"/>
    <col min="10" max="10" width="9.28515625" customWidth="1"/>
    <col min="11" max="11" width="10.140625" customWidth="1"/>
    <col min="12" max="12" width="9.42578125" customWidth="1"/>
    <col min="13" max="13" width="11" customWidth="1"/>
    <col min="15" max="44" width="9.85546875" bestFit="1" customWidth="1"/>
  </cols>
  <sheetData>
    <row r="1" spans="2:44" ht="18.75">
      <c r="B1" s="280" t="s">
        <v>60</v>
      </c>
    </row>
    <row r="2" spans="2:44" ht="18.75">
      <c r="B2" s="280" t="s">
        <v>347</v>
      </c>
    </row>
    <row r="3" spans="2:44" ht="18.75">
      <c r="B3" s="280" t="s">
        <v>656</v>
      </c>
    </row>
    <row r="4" spans="2:44" ht="19.5" thickBot="1">
      <c r="B4" s="280"/>
      <c r="C4" s="50"/>
    </row>
    <row r="5" spans="2:44" ht="18.75">
      <c r="B5" s="356"/>
      <c r="C5" s="386" t="s">
        <v>105</v>
      </c>
      <c r="D5" s="358"/>
      <c r="E5" s="359"/>
      <c r="F5" s="360"/>
    </row>
    <row r="6" spans="2:44" s="32" customFormat="1" ht="18.75">
      <c r="B6" s="361"/>
      <c r="C6" s="498" t="s">
        <v>290</v>
      </c>
      <c r="D6" s="363"/>
      <c r="E6" s="364"/>
      <c r="F6" s="365"/>
      <c r="G6"/>
      <c r="H6"/>
      <c r="I6"/>
      <c r="J6"/>
      <c r="K6"/>
      <c r="L6"/>
      <c r="M6"/>
      <c r="N6"/>
      <c r="O6"/>
      <c r="P6"/>
      <c r="Q6"/>
      <c r="R6"/>
      <c r="S6"/>
      <c r="T6"/>
      <c r="U6"/>
      <c r="V6"/>
      <c r="W6"/>
      <c r="X6"/>
      <c r="Y6"/>
      <c r="Z6"/>
      <c r="AA6"/>
      <c r="AB6"/>
      <c r="AC6"/>
      <c r="AD6"/>
      <c r="AE6"/>
      <c r="AF6"/>
      <c r="AG6"/>
      <c r="AH6"/>
      <c r="AI6"/>
      <c r="AJ6"/>
      <c r="AK6"/>
      <c r="AL6"/>
      <c r="AM6"/>
      <c r="AN6"/>
      <c r="AO6"/>
      <c r="AP6"/>
      <c r="AQ6"/>
      <c r="AR6"/>
    </row>
    <row r="7" spans="2:44" s="32" customFormat="1" ht="18.75">
      <c r="B7" s="361"/>
      <c r="C7" s="498" t="s">
        <v>104</v>
      </c>
      <c r="D7" s="363"/>
      <c r="E7" s="364"/>
      <c r="F7" s="365"/>
      <c r="G7"/>
      <c r="H7"/>
      <c r="I7"/>
      <c r="J7"/>
      <c r="K7"/>
      <c r="L7"/>
      <c r="M7"/>
      <c r="N7"/>
      <c r="O7"/>
      <c r="P7"/>
      <c r="Q7"/>
      <c r="R7"/>
      <c r="S7"/>
      <c r="T7"/>
      <c r="U7"/>
      <c r="V7"/>
      <c r="W7"/>
      <c r="X7"/>
      <c r="Y7"/>
      <c r="Z7"/>
      <c r="AA7"/>
      <c r="AB7"/>
      <c r="AC7"/>
      <c r="AD7"/>
      <c r="AE7"/>
      <c r="AF7"/>
      <c r="AG7"/>
      <c r="AH7"/>
      <c r="AI7"/>
      <c r="AJ7"/>
      <c r="AK7"/>
      <c r="AL7"/>
      <c r="AM7"/>
      <c r="AN7"/>
      <c r="AO7"/>
      <c r="AP7"/>
      <c r="AQ7"/>
      <c r="AR7"/>
    </row>
    <row r="8" spans="2:44" s="32" customFormat="1">
      <c r="B8" s="366"/>
      <c r="C8" s="388"/>
      <c r="D8" s="368"/>
      <c r="E8" s="369"/>
      <c r="F8" s="370"/>
    </row>
    <row r="9" spans="2:44" s="32" customFormat="1">
      <c r="B9" s="366"/>
      <c r="C9" s="388" t="s">
        <v>103</v>
      </c>
      <c r="D9" s="371"/>
      <c r="E9" s="369"/>
      <c r="F9" s="370"/>
    </row>
    <row r="10" spans="2:44" s="32" customFormat="1">
      <c r="B10" s="366"/>
      <c r="C10" s="388" t="s">
        <v>102</v>
      </c>
      <c r="D10" s="470" t="s">
        <v>638</v>
      </c>
      <c r="E10" s="369"/>
      <c r="F10" s="370"/>
    </row>
    <row r="11" spans="2:44" s="32" customFormat="1">
      <c r="B11" s="366"/>
      <c r="C11" s="388" t="s">
        <v>109</v>
      </c>
      <c r="D11" s="373">
        <v>40235</v>
      </c>
      <c r="E11" s="369"/>
      <c r="F11" s="370"/>
    </row>
    <row r="12" spans="2:44">
      <c r="B12" s="366"/>
      <c r="C12" s="388" t="s">
        <v>101</v>
      </c>
      <c r="D12" s="373">
        <v>40816</v>
      </c>
      <c r="E12" s="369"/>
      <c r="F12" s="370"/>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row>
    <row r="13" spans="2:44">
      <c r="B13" s="366"/>
      <c r="C13" s="388"/>
      <c r="D13" s="368"/>
      <c r="E13" s="369"/>
      <c r="F13" s="370"/>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row>
    <row r="14" spans="2:44">
      <c r="B14" s="361"/>
      <c r="C14" s="388" t="s">
        <v>100</v>
      </c>
      <c r="D14" s="374" t="s">
        <v>99</v>
      </c>
      <c r="E14" s="374"/>
      <c r="F14" s="365"/>
    </row>
    <row r="15" spans="2:44">
      <c r="B15" s="361"/>
      <c r="C15" s="364"/>
      <c r="D15" s="374" t="s">
        <v>98</v>
      </c>
      <c r="E15" s="374"/>
      <c r="F15" s="365"/>
    </row>
    <row r="16" spans="2:44">
      <c r="B16" s="361"/>
      <c r="C16" s="364"/>
      <c r="D16" s="374" t="s">
        <v>97</v>
      </c>
      <c r="E16" s="374"/>
      <c r="F16" s="365"/>
    </row>
    <row r="17" spans="2:6">
      <c r="B17" s="361"/>
      <c r="C17" s="364"/>
      <c r="D17" s="374" t="s">
        <v>45</v>
      </c>
      <c r="E17" s="375" t="s">
        <v>96</v>
      </c>
      <c r="F17" s="365"/>
    </row>
    <row r="18" spans="2:6">
      <c r="B18" s="361"/>
      <c r="C18" s="364"/>
      <c r="D18" s="374" t="s">
        <v>95</v>
      </c>
      <c r="E18" s="374"/>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hidden="1">
      <c r="B22" s="361"/>
      <c r="C22" s="377"/>
      <c r="D22" s="363"/>
      <c r="E22" s="364"/>
      <c r="F22" s="365"/>
    </row>
    <row r="23" spans="2:6" hidden="1">
      <c r="B23" s="361"/>
      <c r="C23" s="388" t="s">
        <v>94</v>
      </c>
      <c r="D23" s="371" t="s">
        <v>66</v>
      </c>
      <c r="E23" s="364"/>
      <c r="F23" s="365"/>
    </row>
    <row r="24" spans="2:6" hidden="1">
      <c r="B24" s="361"/>
      <c r="C24" s="388"/>
      <c r="D24" s="371"/>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c r="B38" s="361"/>
      <c r="C38" s="388"/>
      <c r="D38" s="371" t="s">
        <v>81</v>
      </c>
      <c r="E38" s="364"/>
      <c r="F38" s="365"/>
    </row>
    <row r="39" spans="2:6">
      <c r="B39" s="361"/>
      <c r="C39" s="388"/>
      <c r="D39" s="378" t="s">
        <v>66</v>
      </c>
      <c r="E39" s="364"/>
      <c r="F39" s="365"/>
    </row>
    <row r="40" spans="2:6">
      <c r="B40" s="361"/>
      <c r="C40" s="388"/>
      <c r="D40" s="363"/>
      <c r="E40" s="364"/>
      <c r="F40" s="365"/>
    </row>
    <row r="41" spans="2:6">
      <c r="B41" s="361"/>
      <c r="C41" s="376" t="s">
        <v>65</v>
      </c>
      <c r="D41" s="371" t="s">
        <v>657</v>
      </c>
      <c r="E41" s="364"/>
      <c r="F41" s="365"/>
    </row>
    <row r="42" spans="2:6" ht="17.25" customHeight="1">
      <c r="B42" s="361"/>
      <c r="C42" s="377"/>
      <c r="D42" s="363"/>
      <c r="E42" s="364"/>
      <c r="F42" s="365"/>
    </row>
    <row r="43" spans="2:6" ht="20.25" customHeight="1">
      <c r="B43" s="392"/>
      <c r="C43" s="405" t="s">
        <v>80</v>
      </c>
      <c r="D43" s="394"/>
      <c r="E43" s="395"/>
      <c r="F43" s="396"/>
    </row>
    <row r="44" spans="2:6" ht="68.25" customHeight="1">
      <c r="B44" s="392"/>
      <c r="C44" s="406" t="s">
        <v>79</v>
      </c>
      <c r="D44" s="397" t="s">
        <v>658</v>
      </c>
      <c r="E44" s="395"/>
      <c r="F44" s="396"/>
    </row>
    <row r="45" spans="2:6" ht="87.75" customHeight="1">
      <c r="B45" s="392"/>
      <c r="C45" s="406" t="s">
        <v>78</v>
      </c>
      <c r="D45" s="397" t="s">
        <v>659</v>
      </c>
      <c r="E45" s="395"/>
      <c r="F45" s="396"/>
    </row>
    <row r="46" spans="2:6" ht="30">
      <c r="B46" s="392"/>
      <c r="C46" s="407" t="s">
        <v>77</v>
      </c>
      <c r="D46" s="397" t="s">
        <v>395</v>
      </c>
      <c r="E46" s="395"/>
      <c r="F46" s="396"/>
    </row>
    <row r="47" spans="2:6" ht="30">
      <c r="B47" s="392"/>
      <c r="C47" s="400" t="s">
        <v>76</v>
      </c>
      <c r="D47" s="397" t="s">
        <v>276</v>
      </c>
      <c r="E47" s="401"/>
      <c r="F47" s="396"/>
    </row>
    <row r="48" spans="2:6" hidden="1">
      <c r="B48" s="392"/>
      <c r="C48" s="400"/>
      <c r="D48" s="397" t="s">
        <v>209</v>
      </c>
      <c r="E48" s="395"/>
      <c r="F48" s="396"/>
    </row>
    <row r="49" spans="2:6" hidden="1">
      <c r="B49" s="392"/>
      <c r="C49" s="400"/>
      <c r="D49" s="397" t="s">
        <v>277</v>
      </c>
      <c r="E49" s="395"/>
      <c r="F49" s="396"/>
    </row>
    <row r="50" spans="2:6" ht="23.25" hidden="1" customHeight="1">
      <c r="B50" s="392"/>
      <c r="C50" s="400"/>
      <c r="D50" s="397" t="s">
        <v>276</v>
      </c>
      <c r="E50" s="395"/>
      <c r="F50" s="396"/>
    </row>
    <row r="51" spans="2:6" ht="24" hidden="1" customHeight="1">
      <c r="B51" s="392"/>
      <c r="C51" s="400"/>
      <c r="D51" s="399" t="s">
        <v>724</v>
      </c>
      <c r="E51" s="395"/>
      <c r="F51" s="396"/>
    </row>
    <row r="52" spans="2:6">
      <c r="B52" s="392"/>
      <c r="C52" s="408"/>
      <c r="D52" s="394"/>
      <c r="E52" s="395"/>
      <c r="F52" s="396"/>
    </row>
    <row r="53" spans="2:6" ht="18.75">
      <c r="B53" s="346"/>
      <c r="C53" s="416" t="s">
        <v>75</v>
      </c>
      <c r="D53" s="348"/>
      <c r="E53" s="349"/>
      <c r="F53" s="350"/>
    </row>
    <row r="54" spans="2:6">
      <c r="B54" s="346"/>
      <c r="C54" s="417" t="s">
        <v>74</v>
      </c>
      <c r="D54" s="352" t="s">
        <v>71</v>
      </c>
      <c r="E54" s="349"/>
      <c r="F54" s="350"/>
    </row>
    <row r="55" spans="2:6" hidden="1">
      <c r="B55" s="346"/>
      <c r="C55" s="355"/>
      <c r="D55" s="409"/>
      <c r="E55" s="349"/>
      <c r="F55" s="350"/>
    </row>
    <row r="56" spans="2:6" hidden="1">
      <c r="B56" s="346"/>
      <c r="C56" s="355"/>
      <c r="D56" s="410" t="s">
        <v>73</v>
      </c>
      <c r="E56" s="349"/>
      <c r="F56" s="350"/>
    </row>
    <row r="57" spans="2:6" hidden="1">
      <c r="B57" s="346"/>
      <c r="C57" s="355"/>
      <c r="D57" s="410" t="s">
        <v>72</v>
      </c>
      <c r="E57" s="349"/>
      <c r="F57" s="350"/>
    </row>
    <row r="58" spans="2:6" hidden="1">
      <c r="B58" s="346"/>
      <c r="C58" s="355"/>
      <c r="D58" s="410" t="s">
        <v>71</v>
      </c>
      <c r="E58" s="349"/>
      <c r="F58" s="350"/>
    </row>
    <row r="59" spans="2:6">
      <c r="B59" s="346"/>
      <c r="C59" s="417"/>
      <c r="D59" s="348"/>
      <c r="E59" s="349"/>
      <c r="F59" s="350"/>
    </row>
    <row r="60" spans="2:6">
      <c r="B60" s="346"/>
      <c r="C60" s="417" t="s">
        <v>70</v>
      </c>
      <c r="D60" s="352" t="s">
        <v>69</v>
      </c>
      <c r="E60" s="349"/>
      <c r="F60" s="350"/>
    </row>
    <row r="61" spans="2:6" hidden="1">
      <c r="B61" s="346"/>
      <c r="C61" s="417"/>
      <c r="D61" s="353" t="s">
        <v>69</v>
      </c>
      <c r="E61" s="411"/>
      <c r="F61" s="350"/>
    </row>
    <row r="62" spans="2:6" hidden="1">
      <c r="B62" s="346"/>
      <c r="C62" s="417"/>
      <c r="D62" s="353" t="s">
        <v>68</v>
      </c>
      <c r="E62" s="411"/>
      <c r="F62" s="350"/>
    </row>
    <row r="63" spans="2:6" hidden="1">
      <c r="B63" s="346"/>
      <c r="C63" s="417"/>
      <c r="D63" s="353" t="s">
        <v>67</v>
      </c>
      <c r="E63" s="411"/>
      <c r="F63" s="350"/>
    </row>
    <row r="64" spans="2:6" hidden="1">
      <c r="B64" s="346"/>
      <c r="C64" s="417"/>
      <c r="D64" s="353" t="s">
        <v>66</v>
      </c>
      <c r="E64" s="411"/>
      <c r="F64" s="350"/>
    </row>
    <row r="65" spans="2:44">
      <c r="B65" s="346"/>
      <c r="C65" s="354" t="s">
        <v>65</v>
      </c>
      <c r="D65" s="352"/>
      <c r="E65" s="349"/>
      <c r="F65" s="350"/>
    </row>
    <row r="66" spans="2:44">
      <c r="B66" s="346"/>
      <c r="C66" s="417"/>
      <c r="D66" s="348"/>
      <c r="E66" s="349"/>
      <c r="F66" s="350"/>
    </row>
    <row r="67" spans="2:44" ht="18.75">
      <c r="B67" s="419"/>
      <c r="C67" s="443" t="s">
        <v>64</v>
      </c>
      <c r="D67" s="421"/>
      <c r="E67" s="422"/>
      <c r="F67" s="423"/>
    </row>
    <row r="68" spans="2:44" ht="45">
      <c r="B68" s="419"/>
      <c r="C68" s="444" t="s">
        <v>118</v>
      </c>
      <c r="D68" s="441" t="s">
        <v>725</v>
      </c>
      <c r="E68" s="422"/>
      <c r="F68" s="423"/>
    </row>
    <row r="69" spans="2:44" ht="66" customHeight="1">
      <c r="B69" s="419"/>
      <c r="C69" s="444" t="s">
        <v>107</v>
      </c>
      <c r="D69" s="449" t="s">
        <v>726</v>
      </c>
      <c r="E69" s="422"/>
      <c r="F69" s="423"/>
    </row>
    <row r="70" spans="2:44" ht="24" customHeight="1">
      <c r="B70" s="419"/>
      <c r="C70" s="444" t="s">
        <v>119</v>
      </c>
      <c r="D70" s="441">
        <f>SUM(I76:AR76)</f>
        <v>9687510</v>
      </c>
      <c r="E70" s="422"/>
      <c r="F70" s="423"/>
    </row>
    <row r="71" spans="2:44" ht="36" customHeight="1">
      <c r="B71" s="419"/>
      <c r="C71" s="444"/>
      <c r="D71" s="421"/>
      <c r="E71" s="422"/>
      <c r="F71" s="423"/>
      <c r="H71" s="145"/>
      <c r="I71" s="478" t="s">
        <v>3</v>
      </c>
      <c r="J71" s="478" t="s">
        <v>5</v>
      </c>
      <c r="K71" s="478" t="s">
        <v>6</v>
      </c>
      <c r="L71" s="478" t="s">
        <v>7</v>
      </c>
      <c r="M71" s="478" t="s">
        <v>8</v>
      </c>
      <c r="N71" s="479" t="s">
        <v>9</v>
      </c>
      <c r="O71" s="479" t="s">
        <v>10</v>
      </c>
      <c r="P71" s="479" t="s">
        <v>11</v>
      </c>
      <c r="Q71" s="479" t="s">
        <v>13</v>
      </c>
      <c r="R71" s="479" t="s">
        <v>14</v>
      </c>
      <c r="S71" s="479" t="s">
        <v>15</v>
      </c>
      <c r="T71" s="479" t="s">
        <v>16</v>
      </c>
      <c r="U71" s="479" t="s">
        <v>17</v>
      </c>
      <c r="V71" s="479" t="s">
        <v>18</v>
      </c>
      <c r="W71" s="479" t="s">
        <v>19</v>
      </c>
      <c r="X71" s="479" t="s">
        <v>20</v>
      </c>
      <c r="Y71" s="479" t="s">
        <v>21</v>
      </c>
      <c r="Z71" s="479" t="s">
        <v>22</v>
      </c>
      <c r="AA71" s="479" t="s">
        <v>23</v>
      </c>
      <c r="AB71" s="479" t="s">
        <v>24</v>
      </c>
      <c r="AC71" s="479" t="s">
        <v>25</v>
      </c>
      <c r="AD71" s="479" t="s">
        <v>26</v>
      </c>
      <c r="AE71" s="479" t="s">
        <v>27</v>
      </c>
      <c r="AF71" s="479" t="s">
        <v>28</v>
      </c>
      <c r="AG71" s="479" t="s">
        <v>29</v>
      </c>
      <c r="AH71" s="479" t="s">
        <v>46</v>
      </c>
      <c r="AI71" s="479" t="s">
        <v>47</v>
      </c>
      <c r="AJ71" s="479" t="s">
        <v>48</v>
      </c>
      <c r="AK71" s="479" t="s">
        <v>49</v>
      </c>
      <c r="AL71" s="479" t="s">
        <v>50</v>
      </c>
      <c r="AM71" s="479" t="s">
        <v>51</v>
      </c>
      <c r="AN71" s="479" t="s">
        <v>52</v>
      </c>
      <c r="AO71" s="479" t="s">
        <v>53</v>
      </c>
      <c r="AP71" s="479" t="s">
        <v>54</v>
      </c>
      <c r="AQ71" s="479" t="s">
        <v>55</v>
      </c>
      <c r="AR71" s="479" t="s">
        <v>56</v>
      </c>
    </row>
    <row r="72" spans="2:44">
      <c r="B72" s="419"/>
      <c r="C72" s="444" t="s">
        <v>223</v>
      </c>
      <c r="D72" s="426" t="s">
        <v>660</v>
      </c>
      <c r="E72" s="422"/>
      <c r="F72" s="423"/>
      <c r="H72" s="551">
        <f>SUM(O72:AR72)</f>
        <v>9687510</v>
      </c>
      <c r="I72" s="481"/>
      <c r="J72" s="482"/>
      <c r="K72" s="482"/>
      <c r="L72" s="482"/>
      <c r="M72" s="482"/>
      <c r="N72" s="482"/>
      <c r="O72" s="482">
        <v>322917</v>
      </c>
      <c r="P72" s="482">
        <v>322917</v>
      </c>
      <c r="Q72" s="482">
        <v>322917</v>
      </c>
      <c r="R72" s="482">
        <v>322917</v>
      </c>
      <c r="S72" s="482">
        <v>322917</v>
      </c>
      <c r="T72" s="482">
        <v>322917</v>
      </c>
      <c r="U72" s="482">
        <v>322917</v>
      </c>
      <c r="V72" s="482">
        <v>322917</v>
      </c>
      <c r="W72" s="482">
        <v>322917</v>
      </c>
      <c r="X72" s="482">
        <v>322917</v>
      </c>
      <c r="Y72" s="482">
        <v>322917</v>
      </c>
      <c r="Z72" s="482">
        <v>322917</v>
      </c>
      <c r="AA72" s="482">
        <v>322917</v>
      </c>
      <c r="AB72" s="482">
        <v>322917</v>
      </c>
      <c r="AC72" s="482">
        <v>322917</v>
      </c>
      <c r="AD72" s="482">
        <v>322917</v>
      </c>
      <c r="AE72" s="482">
        <v>322917</v>
      </c>
      <c r="AF72" s="482">
        <v>322917</v>
      </c>
      <c r="AG72" s="482">
        <v>322917</v>
      </c>
      <c r="AH72" s="482">
        <v>322917</v>
      </c>
      <c r="AI72" s="482">
        <v>322917</v>
      </c>
      <c r="AJ72" s="482">
        <v>322917</v>
      </c>
      <c r="AK72" s="482">
        <v>322917</v>
      </c>
      <c r="AL72" s="482">
        <v>322917</v>
      </c>
      <c r="AM72" s="482">
        <v>322917</v>
      </c>
      <c r="AN72" s="482">
        <v>322917</v>
      </c>
      <c r="AO72" s="482">
        <v>322917</v>
      </c>
      <c r="AP72" s="482">
        <v>322917</v>
      </c>
      <c r="AQ72" s="482">
        <v>322917</v>
      </c>
      <c r="AR72" s="482">
        <v>322917</v>
      </c>
    </row>
    <row r="73" spans="2:44" ht="30">
      <c r="B73" s="419"/>
      <c r="C73" s="444" t="s">
        <v>62</v>
      </c>
      <c r="D73" s="426" t="s">
        <v>661</v>
      </c>
      <c r="E73" s="422"/>
      <c r="F73" s="423"/>
      <c r="H73" s="551"/>
      <c r="I73" s="483"/>
      <c r="J73" s="483"/>
      <c r="K73" s="483"/>
      <c r="L73" s="484"/>
      <c r="M73" s="482"/>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row>
    <row r="74" spans="2:44">
      <c r="B74" s="419"/>
      <c r="C74" s="444"/>
      <c r="D74" s="421"/>
      <c r="E74" s="422"/>
      <c r="F74" s="423"/>
      <c r="H74" s="485"/>
      <c r="I74" s="485"/>
      <c r="J74" s="485"/>
      <c r="K74" s="485"/>
      <c r="L74" s="485"/>
      <c r="M74" s="485"/>
      <c r="N74" s="485"/>
      <c r="O74" s="485"/>
      <c r="P74" s="485"/>
      <c r="Q74" s="485"/>
      <c r="R74" s="485"/>
      <c r="S74" s="485"/>
      <c r="T74" s="485"/>
      <c r="U74" s="485"/>
      <c r="V74" s="485"/>
      <c r="W74" s="485"/>
      <c r="X74" s="485"/>
      <c r="Y74" s="485"/>
      <c r="Z74" s="485"/>
      <c r="AA74" s="485"/>
      <c r="AB74" s="485"/>
      <c r="AC74" s="485"/>
      <c r="AD74" s="485"/>
      <c r="AE74" s="485"/>
      <c r="AF74" s="485"/>
      <c r="AG74" s="485"/>
      <c r="AH74" s="485"/>
      <c r="AI74" s="485"/>
      <c r="AJ74" s="485"/>
      <c r="AK74" s="485"/>
      <c r="AL74" s="485"/>
      <c r="AM74" s="485"/>
      <c r="AN74" s="485"/>
      <c r="AO74" s="485"/>
    </row>
    <row r="75" spans="2:44">
      <c r="B75" s="419"/>
      <c r="C75" s="444" t="s">
        <v>61</v>
      </c>
      <c r="D75" s="427">
        <v>0.5</v>
      </c>
      <c r="E75" s="422"/>
      <c r="F75" s="423"/>
      <c r="H75" s="551"/>
      <c r="I75" s="485"/>
      <c r="J75" s="485"/>
      <c r="K75" s="485"/>
      <c r="L75" s="485">
        <f t="shared" ref="L75:P75" si="0">$H$75/5</f>
        <v>0</v>
      </c>
      <c r="M75" s="485">
        <f t="shared" si="0"/>
        <v>0</v>
      </c>
      <c r="N75" s="485">
        <f t="shared" si="0"/>
        <v>0</v>
      </c>
      <c r="O75" s="485">
        <f t="shared" si="0"/>
        <v>0</v>
      </c>
      <c r="P75" s="485">
        <f t="shared" si="0"/>
        <v>0</v>
      </c>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row>
    <row r="76" spans="2:44" ht="15.75" thickBot="1">
      <c r="B76" s="419"/>
      <c r="C76" s="444"/>
      <c r="D76" s="433" t="s">
        <v>0</v>
      </c>
      <c r="E76" s="422"/>
      <c r="F76" s="423"/>
      <c r="H76" s="480"/>
      <c r="I76" s="486">
        <f>SUM(I72:I75)</f>
        <v>0</v>
      </c>
      <c r="J76" s="486">
        <f t="shared" ref="J76:AR76" si="1">SUM(J72:J75)</f>
        <v>0</v>
      </c>
      <c r="K76" s="486">
        <f t="shared" si="1"/>
        <v>0</v>
      </c>
      <c r="L76" s="486">
        <f t="shared" si="1"/>
        <v>0</v>
      </c>
      <c r="M76" s="486">
        <f t="shared" si="1"/>
        <v>0</v>
      </c>
      <c r="N76" s="486">
        <f t="shared" si="1"/>
        <v>0</v>
      </c>
      <c r="O76" s="486">
        <f t="shared" si="1"/>
        <v>322917</v>
      </c>
      <c r="P76" s="486">
        <f t="shared" si="1"/>
        <v>322917</v>
      </c>
      <c r="Q76" s="486">
        <f t="shared" si="1"/>
        <v>322917</v>
      </c>
      <c r="R76" s="486">
        <f t="shared" si="1"/>
        <v>322917</v>
      </c>
      <c r="S76" s="486">
        <f t="shared" si="1"/>
        <v>322917</v>
      </c>
      <c r="T76" s="486">
        <f t="shared" si="1"/>
        <v>322917</v>
      </c>
      <c r="U76" s="486">
        <f t="shared" si="1"/>
        <v>322917</v>
      </c>
      <c r="V76" s="486">
        <f t="shared" si="1"/>
        <v>322917</v>
      </c>
      <c r="W76" s="486">
        <f t="shared" si="1"/>
        <v>322917</v>
      </c>
      <c r="X76" s="486">
        <f t="shared" si="1"/>
        <v>322917</v>
      </c>
      <c r="Y76" s="486">
        <f t="shared" si="1"/>
        <v>322917</v>
      </c>
      <c r="Z76" s="486">
        <f t="shared" si="1"/>
        <v>322917</v>
      </c>
      <c r="AA76" s="486">
        <f t="shared" si="1"/>
        <v>322917</v>
      </c>
      <c r="AB76" s="486">
        <f t="shared" si="1"/>
        <v>322917</v>
      </c>
      <c r="AC76" s="486">
        <f t="shared" si="1"/>
        <v>322917</v>
      </c>
      <c r="AD76" s="486">
        <f t="shared" si="1"/>
        <v>322917</v>
      </c>
      <c r="AE76" s="486">
        <f t="shared" si="1"/>
        <v>322917</v>
      </c>
      <c r="AF76" s="486">
        <f t="shared" si="1"/>
        <v>322917</v>
      </c>
      <c r="AG76" s="486">
        <f t="shared" si="1"/>
        <v>322917</v>
      </c>
      <c r="AH76" s="486">
        <f t="shared" si="1"/>
        <v>322917</v>
      </c>
      <c r="AI76" s="486">
        <f t="shared" si="1"/>
        <v>322917</v>
      </c>
      <c r="AJ76" s="486">
        <f t="shared" si="1"/>
        <v>322917</v>
      </c>
      <c r="AK76" s="486">
        <f t="shared" si="1"/>
        <v>322917</v>
      </c>
      <c r="AL76" s="486">
        <f t="shared" si="1"/>
        <v>322917</v>
      </c>
      <c r="AM76" s="486">
        <f t="shared" si="1"/>
        <v>322917</v>
      </c>
      <c r="AN76" s="486">
        <f t="shared" si="1"/>
        <v>322917</v>
      </c>
      <c r="AO76" s="486">
        <f t="shared" si="1"/>
        <v>322917</v>
      </c>
      <c r="AP76" s="486">
        <f t="shared" si="1"/>
        <v>322917</v>
      </c>
      <c r="AQ76" s="486">
        <f t="shared" si="1"/>
        <v>322917</v>
      </c>
      <c r="AR76" s="486">
        <f t="shared" si="1"/>
        <v>322917</v>
      </c>
    </row>
    <row r="77" spans="2:44" ht="15.75" thickTop="1">
      <c r="B77" s="419"/>
      <c r="C77" s="446"/>
      <c r="D77" s="421"/>
      <c r="E77" s="422"/>
      <c r="F77" s="423"/>
    </row>
    <row r="78" spans="2:44" ht="15.75" thickBot="1">
      <c r="B78" s="429"/>
      <c r="C78" s="430"/>
      <c r="D78" s="431"/>
      <c r="E78" s="430"/>
      <c r="F78" s="432"/>
    </row>
  </sheetData>
  <dataValidations count="1">
    <dataValidation type="list" allowBlank="1" showInputMessage="1" showErrorMessage="1" sqref="D51 D47">
      <formula1>$D$48:$D$51</formula1>
    </dataValidation>
  </dataValidations>
  <pageMargins left="0.7" right="0.7" top="0.75" bottom="0.75" header="0.3" footer="0.3"/>
  <pageSetup paperSize="9" scale="17" orientation="portrait" copies="2" r:id="rId1"/>
</worksheet>
</file>

<file path=xl/worksheets/sheet6.xml><?xml version="1.0" encoding="utf-8"?>
<worksheet xmlns="http://schemas.openxmlformats.org/spreadsheetml/2006/main" xmlns:r="http://schemas.openxmlformats.org/officeDocument/2006/relationships">
  <sheetPr>
    <pageSetUpPr fitToPage="1"/>
  </sheetPr>
  <dimension ref="A1:AR390"/>
  <sheetViews>
    <sheetView zoomScale="75" zoomScaleNormal="75" workbookViewId="0">
      <pane xSplit="3" ySplit="11" topLeftCell="D303" activePane="bottomRight" state="frozen"/>
      <selection activeCell="L52" sqref="L52"/>
      <selection pane="topRight" activeCell="L52" sqref="L52"/>
      <selection pane="bottomLeft" activeCell="L52" sqref="L52"/>
      <selection pane="bottomRight" activeCell="F11" sqref="F11"/>
    </sheetView>
  </sheetViews>
  <sheetFormatPr defaultRowHeight="15"/>
  <cols>
    <col min="1" max="1" width="2.85546875" customWidth="1"/>
    <col min="2" max="2" width="25.5703125" customWidth="1"/>
    <col min="3" max="3" width="15.28515625" bestFit="1" customWidth="1"/>
    <col min="4" max="4" width="15.28515625" style="1" customWidth="1"/>
    <col min="5" max="5" width="15.28515625" customWidth="1"/>
    <col min="6" max="6" width="15.42578125" customWidth="1"/>
    <col min="7" max="7" width="14.42578125" customWidth="1"/>
    <col min="8" max="8" width="14.140625" customWidth="1"/>
    <col min="9" max="11" width="12.7109375" bestFit="1" customWidth="1"/>
    <col min="12" max="14" width="14.42578125" bestFit="1" customWidth="1"/>
    <col min="15" max="15" width="12.7109375" bestFit="1" customWidth="1"/>
    <col min="16" max="16" width="11.42578125" bestFit="1" customWidth="1"/>
  </cols>
  <sheetData>
    <row r="1" spans="1:16" ht="19.5" thickBot="1">
      <c r="B1" s="25" t="s">
        <v>60</v>
      </c>
      <c r="J1" s="726" t="s">
        <v>3</v>
      </c>
      <c r="L1" s="726" t="s">
        <v>5</v>
      </c>
      <c r="N1" s="726" t="s">
        <v>5</v>
      </c>
      <c r="P1" s="726" t="s">
        <v>5</v>
      </c>
    </row>
    <row r="2" spans="1:16" ht="19.5" thickBot="1">
      <c r="B2" s="25" t="s">
        <v>347</v>
      </c>
      <c r="E2" s="262"/>
      <c r="F2" s="198" t="s">
        <v>3</v>
      </c>
      <c r="G2" s="1" t="s">
        <v>5</v>
      </c>
      <c r="H2" s="542" t="s">
        <v>458</v>
      </c>
      <c r="J2" s="1037" t="s">
        <v>861</v>
      </c>
      <c r="L2" s="1037" t="s">
        <v>863</v>
      </c>
      <c r="N2" s="1037" t="s">
        <v>862</v>
      </c>
      <c r="P2" s="1037" t="s">
        <v>599</v>
      </c>
    </row>
    <row r="3" spans="1:16" ht="19.5" thickBot="1">
      <c r="B3" s="25" t="s">
        <v>112</v>
      </c>
      <c r="E3" s="164" t="s">
        <v>349</v>
      </c>
      <c r="F3" s="1022">
        <f>E11/1000000</f>
        <v>134.11049425048114</v>
      </c>
      <c r="G3" s="541">
        <f>F11/1000000</f>
        <v>113.45004817036288</v>
      </c>
      <c r="H3" s="543">
        <f>F3+G3</f>
        <v>247.560542420844</v>
      </c>
      <c r="I3" s="82"/>
      <c r="J3" s="734">
        <v>114.39</v>
      </c>
      <c r="K3" s="82"/>
      <c r="L3" s="544">
        <f>H3-J3</f>
        <v>133.17054242084401</v>
      </c>
      <c r="M3" s="145"/>
      <c r="N3" s="735">
        <v>4</v>
      </c>
      <c r="O3" s="145"/>
      <c r="P3" s="543">
        <f>L3-N3</f>
        <v>129.17054242084401</v>
      </c>
    </row>
    <row r="4" spans="1:16" s="39" customFormat="1" ht="18.75">
      <c r="B4" s="40" t="s">
        <v>316</v>
      </c>
      <c r="D4" s="661"/>
      <c r="E4" s="196"/>
      <c r="F4" s="181"/>
    </row>
    <row r="5" spans="1:16" ht="18.75">
      <c r="B5" s="25"/>
      <c r="N5" s="145"/>
    </row>
    <row r="6" spans="1:16">
      <c r="B6" s="36" t="s">
        <v>114</v>
      </c>
    </row>
    <row r="7" spans="1:16" s="1" customFormat="1" ht="15.75" thickBot="1">
      <c r="B7" s="48" t="s">
        <v>59</v>
      </c>
      <c r="C7" s="49">
        <v>3.5000000000000003E-2</v>
      </c>
      <c r="D7" s="835"/>
      <c r="E7" s="2" t="s">
        <v>3</v>
      </c>
      <c r="F7" s="2" t="s">
        <v>5</v>
      </c>
      <c r="G7" s="2" t="s">
        <v>6</v>
      </c>
      <c r="H7" s="2" t="s">
        <v>7</v>
      </c>
      <c r="I7" s="2" t="s">
        <v>8</v>
      </c>
      <c r="J7" s="2" t="s">
        <v>9</v>
      </c>
      <c r="K7" s="2" t="s">
        <v>10</v>
      </c>
      <c r="L7" s="2" t="s">
        <v>11</v>
      </c>
      <c r="M7" s="2" t="s">
        <v>13</v>
      </c>
      <c r="N7" s="2" t="s">
        <v>14</v>
      </c>
      <c r="O7" s="2" t="s">
        <v>15</v>
      </c>
    </row>
    <row r="8" spans="1:16" s="1" customFormat="1" ht="15.75" thickBot="1">
      <c r="B8" s="41" t="s">
        <v>35</v>
      </c>
      <c r="C8" s="137"/>
      <c r="D8" s="137"/>
      <c r="E8" s="142">
        <f>E$15+E$22+E$29+E$36+E$43+E$50+E$57+E$64+E$71+E$78+E$85+E$92+E$99+E$106+E$113+E$120+E$127+E$134+E$141+E$148+E$155+E$162+E$169+E$176+E$183+E$190+E$197+E$204+E$211+E$218+E$225+E$232+E$239+E$246+E$253+E$260+E$267+E$274+E$281+E$288+E$295+E$302+E$309+E$316+E$323+E$330+E$337+E$344+E$351+E$358+E$365+E$372+E$379+E$386</f>
        <v>884117.77500000002</v>
      </c>
      <c r="F8" s="142">
        <f t="shared" ref="F8:O8" si="0">F$15+F$22+F$29+F$36+F$43+F$50+F$57+F$64+F$71+F$78+F$85+F$92+F$99+F$106+F$113+F$120+F$127+F$134+F$141+F$148+F$155+F$162+F$169+F$176+F$183+F$190+F$197+F$204+F$211+F$218+F$225+F$232+F$239+F$246+F$253+F$260+F$267+F$274+F$281+F$288+F$295+F$302+F$309+F$316+F$323+F$330+F$337+F$344+F$351+F$358+F$365+F$372+F$379+F$386</f>
        <v>5473500.7706602383</v>
      </c>
      <c r="G8" s="142">
        <f t="shared" si="0"/>
        <v>24055953.57325149</v>
      </c>
      <c r="H8" s="142">
        <f t="shared" si="0"/>
        <v>64981508.171688989</v>
      </c>
      <c r="I8" s="142">
        <f t="shared" si="0"/>
        <v>53647867.316220246</v>
      </c>
      <c r="J8" s="142">
        <f t="shared" si="0"/>
        <v>74635741.62741816</v>
      </c>
      <c r="K8" s="142">
        <f t="shared" si="0"/>
        <v>70448435.113355666</v>
      </c>
      <c r="L8" s="142">
        <f t="shared" si="0"/>
        <v>73741497.549032748</v>
      </c>
      <c r="M8" s="142">
        <f t="shared" si="0"/>
        <v>66101224.544791669</v>
      </c>
      <c r="N8" s="142">
        <f t="shared" si="0"/>
        <v>48730839.141666666</v>
      </c>
      <c r="O8" s="142">
        <f t="shared" si="0"/>
        <v>36578091.879166663</v>
      </c>
    </row>
    <row r="9" spans="1:16" s="17" customFormat="1" ht="15.75" thickBot="1">
      <c r="B9" s="42" t="s">
        <v>33</v>
      </c>
      <c r="C9" s="141">
        <f>C16+C23+C30+C37+C44+C51+C58+C65+C72+C79+C86+C93+C100+C107+C114+C121+C128+C135+C142+C149+C156+C163+C170+C177+C184+C191+C198+C205+C212+C219+C226+C233+C240+C247+C254+C261+C268+C275+C282+C289+C296+C303+C310+C317+C324+C331+C338+C345+C352+C359+C366+C373+C380+C387</f>
        <v>438798045.36277795</v>
      </c>
      <c r="D9" s="827"/>
      <c r="E9" s="140"/>
      <c r="F9" s="43"/>
      <c r="G9" s="43"/>
      <c r="H9" s="43"/>
      <c r="I9" s="43"/>
      <c r="J9" s="43"/>
      <c r="K9" s="43"/>
      <c r="L9" s="43"/>
      <c r="M9" s="43"/>
      <c r="N9" s="43"/>
      <c r="O9" s="43"/>
    </row>
    <row r="10" spans="1:16" s="45" customFormat="1" ht="15.75" thickBot="1">
      <c r="B10" s="42"/>
      <c r="C10" s="138" t="str">
        <f>IF(SUM(E11:O11)&lt;&gt;C9,"CHECK"," ")</f>
        <v>CHECK</v>
      </c>
      <c r="D10" s="138"/>
      <c r="E10" s="140"/>
      <c r="F10" s="43">
        <f>SUM(E11:L11)</f>
        <v>438798020.17078519</v>
      </c>
      <c r="G10" s="43">
        <f>C9-F10</f>
        <v>25.19199275970459</v>
      </c>
      <c r="H10" s="43"/>
      <c r="I10" s="43"/>
      <c r="J10" s="43"/>
      <c r="K10" s="43"/>
      <c r="L10" s="43"/>
      <c r="M10" s="43"/>
      <c r="N10" s="43"/>
      <c r="O10" s="43"/>
    </row>
    <row r="11" spans="1:16" s="35" customFormat="1" ht="15.75" thickBot="1">
      <c r="B11" s="46" t="s">
        <v>34</v>
      </c>
      <c r="C11" s="47"/>
      <c r="D11" s="47"/>
      <c r="E11" s="142">
        <f>E$18+E$25+E$32+E$39+E$46+E$53+E$60+E$67+E$74+E$81+E$88+E$95+E$102+E$109+E$116+E$123+E$130+E$137+E$144+E$151+E$158+E$165+E$172+E$179+E$186+E$193+E$200+E$207+E$214+E$221+E$228+E$235+E$242+E$249+E$256+E$263+E$270+E$277+E$284+E$291+E$298+E$305+E$312+E$319+E$326+E$333+E$340+E$347+E$354+E$361+E$368+E$375+E$382+E$389</f>
        <v>134110494.25048114</v>
      </c>
      <c r="F11" s="142">
        <f>F$18+F$25+F$32+F$39+F$46+F$53+F$60+F$67+F$74+F$81+F$88+F$95+F$102+F$109+F$116+F$123+F$130+F$137+F$144+F$151+F$158+F$165+F$172+F$179+F$186+F$193+F$200+F$207+F$214+F$221+F$228+F$235+F$242+F$249+F$256+F$263+F$270+F$277+F$284+F$291+F$298+F$305+F$312+F$319+F$326+F$333+F$340+F$347+F$354+F$361+F$368+F$375+F$382+F$389</f>
        <v>113450048.17036287</v>
      </c>
      <c r="G11" s="142">
        <f t="shared" ref="G11:O11" si="1">G$18+G$25+G$32+G$39+G$46+G$53+G$60+G$67+G$74+G$81+G$88+G$95+G$102+G$109+G$116+G$123+G$130+G$137+G$144+G$151+G$158+G$165+G$172+G$179+G$186+G$193+G$200+G$207+G$214+G$221+G$228+G$235+G$242+G$249+G$256+G$263+G$270+G$277+G$284+G$291+G$298+G$305+G$312+G$319+G$326+G$333+G$340+G$347+G$354+G$361+G$368+G$375+G$382+G$389</f>
        <v>92281956.239057988</v>
      </c>
      <c r="H11" s="142">
        <f t="shared" si="1"/>
        <v>54111359.834157243</v>
      </c>
      <c r="I11" s="142">
        <f t="shared" si="1"/>
        <v>16584569.953545939</v>
      </c>
      <c r="J11" s="142">
        <f t="shared" si="1"/>
        <v>14129795.861590041</v>
      </c>
      <c r="K11" s="142">
        <f t="shared" si="1"/>
        <v>14129795.861590041</v>
      </c>
      <c r="L11" s="142">
        <f t="shared" si="1"/>
        <v>0</v>
      </c>
      <c r="M11" s="142">
        <f t="shared" si="1"/>
        <v>0</v>
      </c>
      <c r="N11" s="142">
        <f t="shared" si="1"/>
        <v>0</v>
      </c>
      <c r="O11" s="142">
        <f t="shared" si="1"/>
        <v>0</v>
      </c>
    </row>
    <row r="12" spans="1:16" s="1" customFormat="1" ht="15.75" thickBot="1">
      <c r="B12" s="18"/>
      <c r="C12" s="139"/>
      <c r="D12" s="139"/>
      <c r="E12" s="221"/>
      <c r="F12" s="172"/>
      <c r="G12" s="172"/>
      <c r="H12" s="172"/>
      <c r="I12" s="172"/>
      <c r="J12" s="172"/>
      <c r="K12" s="172"/>
      <c r="L12" s="172"/>
      <c r="M12" s="172"/>
      <c r="N12" s="172"/>
      <c r="O12" s="172"/>
    </row>
    <row r="13" spans="1:16">
      <c r="A13" s="131"/>
      <c r="B13" s="4" t="s">
        <v>12</v>
      </c>
      <c r="C13" s="133" t="str">
        <f>Summary!B15</f>
        <v>A1</v>
      </c>
      <c r="D13" s="828"/>
      <c r="E13" s="156" t="str">
        <f>Summary!C15</f>
        <v>Key Stage Reviews - PUK KSR Costs Avoided</v>
      </c>
      <c r="F13" s="5"/>
      <c r="G13" s="5"/>
      <c r="H13" s="5"/>
      <c r="I13" s="5"/>
      <c r="J13" s="5"/>
      <c r="K13" s="5"/>
      <c r="L13" s="5"/>
      <c r="M13" s="5"/>
      <c r="N13" s="5"/>
      <c r="O13" s="5"/>
    </row>
    <row r="14" spans="1:16">
      <c r="A14" s="131"/>
      <c r="B14" s="7" t="s">
        <v>189</v>
      </c>
      <c r="C14" s="134" t="str">
        <f>'A1 PUK KSR Fees'!D47</f>
        <v>A - High</v>
      </c>
      <c r="D14" s="829"/>
      <c r="E14" s="176">
        <f>VLOOKUP(C14,'Confidence Factors'!$B$6:$D$9,3)</f>
        <v>1</v>
      </c>
      <c r="F14" s="8"/>
      <c r="G14" s="8"/>
      <c r="H14" s="8"/>
      <c r="I14" s="8"/>
      <c r="J14" s="8"/>
      <c r="K14" s="8"/>
      <c r="L14" s="8"/>
      <c r="M14" s="8"/>
      <c r="N14" s="8"/>
      <c r="O14" s="8"/>
    </row>
    <row r="15" spans="1:16">
      <c r="A15" s="131"/>
      <c r="B15" s="7" t="s">
        <v>30</v>
      </c>
      <c r="C15" s="128">
        <f>SUM(E15:O15)</f>
        <v>204996</v>
      </c>
      <c r="D15" s="836"/>
      <c r="E15" s="177">
        <f>'A1 PUK KSR Fees'!H73*'A1 PUK KSR Fees'!D75*'Calcs - Scen 2'!E14</f>
        <v>76996</v>
      </c>
      <c r="F15" s="3">
        <f>'A1 PUK KSR Fees'!I73*'A1 PUK KSR Fees'!D75*'Calcs - Scen 2'!E14</f>
        <v>128000</v>
      </c>
      <c r="G15" s="3">
        <v>0</v>
      </c>
      <c r="H15" s="3">
        <v>0</v>
      </c>
      <c r="I15" s="3">
        <v>0</v>
      </c>
      <c r="J15" s="3">
        <v>0</v>
      </c>
      <c r="K15" s="3">
        <v>0</v>
      </c>
      <c r="L15" s="3">
        <v>0</v>
      </c>
      <c r="M15" s="3">
        <v>0</v>
      </c>
      <c r="N15" s="3">
        <v>0</v>
      </c>
      <c r="O15" s="3">
        <v>0</v>
      </c>
    </row>
    <row r="16" spans="1:16">
      <c r="A16" s="131"/>
      <c r="B16" s="7" t="s">
        <v>31</v>
      </c>
      <c r="C16" s="129">
        <f>NPV($C$7,G15:O15)+E15+F15</f>
        <v>204996</v>
      </c>
      <c r="D16" s="837"/>
      <c r="E16" s="7"/>
      <c r="F16" s="8"/>
      <c r="G16" s="8"/>
      <c r="H16" s="8"/>
      <c r="I16" s="8"/>
      <c r="J16" s="8"/>
      <c r="K16" s="8"/>
      <c r="L16" s="8"/>
      <c r="M16" s="8"/>
      <c r="N16" s="8"/>
      <c r="O16" s="8"/>
    </row>
    <row r="17" spans="1:15">
      <c r="A17" s="131"/>
      <c r="B17" s="7" t="s">
        <v>4</v>
      </c>
      <c r="C17" s="130" t="str">
        <f>IF(SUM(E17:O17)&gt;1,"CHECK"," ")</f>
        <v xml:space="preserve"> </v>
      </c>
      <c r="D17" s="270"/>
      <c r="E17" s="178">
        <v>0.38</v>
      </c>
      <c r="F17" s="15">
        <v>0.62</v>
      </c>
      <c r="G17" s="15"/>
      <c r="H17" s="15"/>
      <c r="I17" s="15"/>
      <c r="J17" s="15"/>
      <c r="K17" s="15"/>
      <c r="L17" s="15"/>
      <c r="M17" s="15"/>
      <c r="N17" s="15"/>
      <c r="O17" s="15"/>
    </row>
    <row r="18" spans="1:15" ht="15.75" thickBot="1">
      <c r="A18" s="131"/>
      <c r="B18" s="11" t="s">
        <v>32</v>
      </c>
      <c r="C18" s="51"/>
      <c r="D18" s="838" t="s">
        <v>45</v>
      </c>
      <c r="E18" s="179">
        <f>IF(E17&gt;0,(E17*$C16),0)</f>
        <v>77898.48</v>
      </c>
      <c r="F18" s="615">
        <f t="shared" ref="F18:O18" si="2">IF(F17&gt;0,(F17*$C16),0)</f>
        <v>127097.52</v>
      </c>
      <c r="G18" s="13">
        <f t="shared" si="2"/>
        <v>0</v>
      </c>
      <c r="H18" s="13">
        <f t="shared" si="2"/>
        <v>0</v>
      </c>
      <c r="I18" s="13">
        <f t="shared" si="2"/>
        <v>0</v>
      </c>
      <c r="J18" s="13">
        <f t="shared" si="2"/>
        <v>0</v>
      </c>
      <c r="K18" s="13">
        <f t="shared" si="2"/>
        <v>0</v>
      </c>
      <c r="L18" s="13">
        <f t="shared" si="2"/>
        <v>0</v>
      </c>
      <c r="M18" s="13">
        <f t="shared" si="2"/>
        <v>0</v>
      </c>
      <c r="N18" s="13">
        <f t="shared" si="2"/>
        <v>0</v>
      </c>
      <c r="O18" s="13">
        <f t="shared" si="2"/>
        <v>0</v>
      </c>
    </row>
    <row r="19" spans="1:15" ht="15.75" thickBot="1">
      <c r="A19" s="131"/>
      <c r="B19" s="7"/>
      <c r="C19" s="10"/>
      <c r="D19" s="139"/>
      <c r="E19" s="221"/>
      <c r="F19" s="172"/>
      <c r="G19" s="172"/>
      <c r="H19" s="172"/>
      <c r="I19" s="172"/>
      <c r="J19" s="172"/>
      <c r="K19" s="172"/>
      <c r="L19" s="172"/>
      <c r="M19" s="172"/>
      <c r="N19" s="172"/>
      <c r="O19" s="172"/>
    </row>
    <row r="20" spans="1:15">
      <c r="A20" s="131"/>
      <c r="B20" s="4" t="s">
        <v>12</v>
      </c>
      <c r="C20" s="133" t="str">
        <f>Summary!B16</f>
        <v>A2</v>
      </c>
      <c r="D20" s="828"/>
      <c r="E20" s="156" t="str">
        <f>Summary!C16</f>
        <v>Waste - Gateway Review Costs Avoided</v>
      </c>
      <c r="F20" s="5"/>
      <c r="G20" s="5"/>
      <c r="H20" s="5"/>
      <c r="I20" s="5"/>
      <c r="J20" s="5"/>
      <c r="K20" s="5"/>
      <c r="L20" s="5"/>
      <c r="M20" s="5"/>
      <c r="N20" s="5"/>
      <c r="O20" s="5"/>
    </row>
    <row r="21" spans="1:15">
      <c r="A21" s="131"/>
      <c r="B21" s="7" t="s">
        <v>189</v>
      </c>
      <c r="C21" s="134" t="str">
        <f>'A2 Waste Validation Fees'!D47</f>
        <v>A - High</v>
      </c>
      <c r="D21" s="829"/>
      <c r="E21" s="176">
        <f>VLOOKUP(C21,'Confidence Factors'!$B$6:$D$9,3)</f>
        <v>1</v>
      </c>
      <c r="F21" s="8"/>
      <c r="G21" s="8"/>
      <c r="H21" s="8"/>
      <c r="I21" s="8"/>
      <c r="J21" s="8"/>
      <c r="K21" s="8"/>
      <c r="L21" s="8"/>
      <c r="M21" s="8"/>
      <c r="N21" s="8"/>
      <c r="O21" s="8"/>
    </row>
    <row r="22" spans="1:15">
      <c r="A22" s="131"/>
      <c r="B22" s="7" t="s">
        <v>30</v>
      </c>
      <c r="C22" s="128">
        <f>SUM(E22:O22)</f>
        <v>45000</v>
      </c>
      <c r="D22" s="836"/>
      <c r="E22" s="177">
        <f>15000*'A2 Waste Validation Fees'!D75*'Calcs - Scen 2'!E21</f>
        <v>15000</v>
      </c>
      <c r="F22" s="454">
        <f>30000*'A2 Waste Validation Fees'!D75*'Calcs - Scen 2'!E21</f>
        <v>30000</v>
      </c>
      <c r="G22" s="3">
        <v>0</v>
      </c>
      <c r="H22" s="3">
        <v>0</v>
      </c>
      <c r="I22" s="3">
        <v>0</v>
      </c>
      <c r="J22" s="3">
        <v>0</v>
      </c>
      <c r="K22" s="3">
        <v>0</v>
      </c>
      <c r="L22" s="3">
        <v>0</v>
      </c>
      <c r="M22" s="3">
        <v>0</v>
      </c>
      <c r="N22" s="3">
        <v>0</v>
      </c>
      <c r="O22" s="3">
        <v>0</v>
      </c>
    </row>
    <row r="23" spans="1:15">
      <c r="A23" s="131"/>
      <c r="B23" s="7" t="s">
        <v>31</v>
      </c>
      <c r="C23" s="129">
        <f>NPV($C$7,G22:O22)+E22+F22</f>
        <v>45000</v>
      </c>
      <c r="D23" s="837"/>
      <c r="E23" s="7"/>
      <c r="F23" s="8"/>
      <c r="G23" s="8"/>
      <c r="H23" s="8"/>
      <c r="I23" s="8"/>
      <c r="J23" s="8"/>
      <c r="K23" s="8"/>
      <c r="L23" s="8"/>
      <c r="M23" s="8"/>
      <c r="N23" s="8"/>
      <c r="O23" s="8"/>
    </row>
    <row r="24" spans="1:15">
      <c r="A24" s="131"/>
      <c r="B24" s="7" t="s">
        <v>4</v>
      </c>
      <c r="C24" s="130" t="str">
        <f>IF(SUM(E24:O24)&gt;1,"CHECK"," ")</f>
        <v xml:space="preserve"> </v>
      </c>
      <c r="D24" s="270"/>
      <c r="E24" s="178">
        <v>0.33</v>
      </c>
      <c r="F24" s="15">
        <v>0.67</v>
      </c>
      <c r="G24" s="15"/>
      <c r="H24" s="15"/>
      <c r="I24" s="15"/>
      <c r="J24" s="15"/>
      <c r="K24" s="15"/>
      <c r="L24" s="15"/>
      <c r="M24" s="15"/>
      <c r="N24" s="15"/>
      <c r="O24" s="15"/>
    </row>
    <row r="25" spans="1:15" ht="15.75" thickBot="1">
      <c r="A25" s="131"/>
      <c r="B25" s="11" t="s">
        <v>32</v>
      </c>
      <c r="C25" s="51"/>
      <c r="D25" s="838" t="s">
        <v>45</v>
      </c>
      <c r="E25" s="179">
        <f t="shared" ref="E25:O25" si="3">IF(E24&gt;0,(E24*$C23),0)</f>
        <v>14850</v>
      </c>
      <c r="F25" s="20">
        <f t="shared" si="3"/>
        <v>30150</v>
      </c>
      <c r="G25" s="20">
        <f t="shared" si="3"/>
        <v>0</v>
      </c>
      <c r="H25" s="20">
        <f t="shared" si="3"/>
        <v>0</v>
      </c>
      <c r="I25" s="20">
        <f t="shared" si="3"/>
        <v>0</v>
      </c>
      <c r="J25" s="20">
        <f t="shared" si="3"/>
        <v>0</v>
      </c>
      <c r="K25" s="20">
        <f t="shared" si="3"/>
        <v>0</v>
      </c>
      <c r="L25" s="20">
        <f t="shared" si="3"/>
        <v>0</v>
      </c>
      <c r="M25" s="20">
        <f t="shared" si="3"/>
        <v>0</v>
      </c>
      <c r="N25" s="20">
        <f t="shared" si="3"/>
        <v>0</v>
      </c>
      <c r="O25" s="20">
        <f t="shared" si="3"/>
        <v>0</v>
      </c>
    </row>
    <row r="26" spans="1:15" ht="15.75" thickBot="1">
      <c r="A26" s="131"/>
      <c r="B26" s="7"/>
      <c r="C26" s="10"/>
      <c r="D26" s="139"/>
      <c r="E26" s="221"/>
      <c r="F26" s="172"/>
      <c r="G26" s="172"/>
      <c r="H26" s="172"/>
      <c r="I26" s="172"/>
      <c r="J26" s="172"/>
      <c r="K26" s="172"/>
      <c r="L26" s="172"/>
      <c r="M26" s="172"/>
      <c r="N26" s="172"/>
      <c r="O26" s="172"/>
    </row>
    <row r="27" spans="1:15">
      <c r="A27" s="131"/>
      <c r="B27" s="4" t="s">
        <v>12</v>
      </c>
      <c r="C27" s="133" t="str">
        <f>Summary!B17</f>
        <v>A3</v>
      </c>
      <c r="D27" s="828"/>
      <c r="E27" s="156" t="str">
        <f>Summary!C17</f>
        <v>Waste - Data Capture and Market Engagement</v>
      </c>
      <c r="F27" s="5"/>
      <c r="G27" s="5"/>
      <c r="H27" s="5"/>
      <c r="I27" s="5"/>
      <c r="J27" s="5"/>
      <c r="K27" s="5"/>
      <c r="L27" s="5"/>
      <c r="M27" s="5"/>
      <c r="N27" s="5"/>
      <c r="O27" s="5"/>
    </row>
    <row r="28" spans="1:15">
      <c r="A28" s="131"/>
      <c r="B28" s="7" t="s">
        <v>189</v>
      </c>
      <c r="C28" s="134" t="str">
        <f>'A3 Waste Data Capture'!D47</f>
        <v>A - High</v>
      </c>
      <c r="D28" s="829"/>
      <c r="E28" s="176">
        <f>VLOOKUP(C28,'Confidence Factors'!$B$6:$D$9,3)</f>
        <v>1</v>
      </c>
      <c r="F28" s="8"/>
      <c r="G28" s="8"/>
      <c r="H28" s="8"/>
      <c r="I28" s="8"/>
      <c r="J28" s="8"/>
      <c r="K28" s="8"/>
      <c r="L28" s="8"/>
      <c r="M28" s="8"/>
      <c r="N28" s="8"/>
      <c r="O28" s="8"/>
    </row>
    <row r="29" spans="1:15">
      <c r="A29" s="131"/>
      <c r="B29" s="7" t="s">
        <v>30</v>
      </c>
      <c r="C29" s="128">
        <f>SUM(E29:O29)</f>
        <v>63200</v>
      </c>
      <c r="D29" s="836"/>
      <c r="E29" s="177">
        <f>(0.79*63200)*'A3 Waste Data Capture'!D75*'Calcs - Scen 2'!E28</f>
        <v>49928</v>
      </c>
      <c r="F29" s="3">
        <f>(0.21*63200)*'A3 Waste Data Capture'!D75*'Calcs - Scen 2'!E28</f>
        <v>13272</v>
      </c>
      <c r="G29" s="3">
        <v>0</v>
      </c>
      <c r="H29" s="3">
        <v>0</v>
      </c>
      <c r="I29" s="3">
        <v>0</v>
      </c>
      <c r="J29" s="3">
        <v>0</v>
      </c>
      <c r="K29" s="3">
        <v>0</v>
      </c>
      <c r="L29" s="3">
        <v>0</v>
      </c>
      <c r="M29" s="3">
        <v>0</v>
      </c>
      <c r="N29" s="3">
        <v>0</v>
      </c>
      <c r="O29" s="3">
        <v>0</v>
      </c>
    </row>
    <row r="30" spans="1:15">
      <c r="A30" s="131"/>
      <c r="B30" s="7" t="s">
        <v>31</v>
      </c>
      <c r="C30" s="129">
        <f>NPV($C$7,G29:O29)+E29+F29</f>
        <v>63200</v>
      </c>
      <c r="D30" s="837"/>
      <c r="E30" s="7"/>
      <c r="F30" s="8"/>
      <c r="G30" s="8"/>
      <c r="H30" s="8"/>
      <c r="I30" s="8"/>
      <c r="J30" s="8"/>
      <c r="K30" s="8"/>
      <c r="L30" s="8"/>
      <c r="M30" s="8"/>
      <c r="N30" s="8"/>
      <c r="O30" s="8"/>
    </row>
    <row r="31" spans="1:15">
      <c r="A31" s="131"/>
      <c r="B31" s="7" t="s">
        <v>4</v>
      </c>
      <c r="C31" s="130" t="str">
        <f>IF(SUM(E31:O31)&gt;1,"CHECK"," ")</f>
        <v xml:space="preserve"> </v>
      </c>
      <c r="D31" s="270"/>
      <c r="E31" s="178">
        <v>0.79</v>
      </c>
      <c r="F31" s="15">
        <v>0.21</v>
      </c>
      <c r="G31" s="15"/>
      <c r="H31" s="15"/>
      <c r="I31" s="15"/>
      <c r="J31" s="15"/>
      <c r="K31" s="15"/>
      <c r="L31" s="15"/>
      <c r="M31" s="15"/>
      <c r="N31" s="15"/>
      <c r="O31" s="15"/>
    </row>
    <row r="32" spans="1:15" ht="15.75" thickBot="1">
      <c r="A32" s="131"/>
      <c r="B32" s="11" t="s">
        <v>32</v>
      </c>
      <c r="C32" s="51"/>
      <c r="D32" s="838" t="s">
        <v>842</v>
      </c>
      <c r="E32" s="179">
        <f>IF(E31&gt;0,(E31*$C30),0)</f>
        <v>49928</v>
      </c>
      <c r="F32" s="20">
        <f t="shared" ref="F32:O32" si="4">IF(F31&gt;0,(F31*$C30),0)</f>
        <v>13272</v>
      </c>
      <c r="G32" s="20">
        <f t="shared" si="4"/>
        <v>0</v>
      </c>
      <c r="H32" s="20">
        <f t="shared" si="4"/>
        <v>0</v>
      </c>
      <c r="I32" s="20">
        <f t="shared" si="4"/>
        <v>0</v>
      </c>
      <c r="J32" s="20">
        <f t="shared" si="4"/>
        <v>0</v>
      </c>
      <c r="K32" s="20">
        <f t="shared" si="4"/>
        <v>0</v>
      </c>
      <c r="L32" s="20">
        <f t="shared" si="4"/>
        <v>0</v>
      </c>
      <c r="M32" s="20">
        <f t="shared" si="4"/>
        <v>0</v>
      </c>
      <c r="N32" s="20">
        <f t="shared" si="4"/>
        <v>0</v>
      </c>
      <c r="O32" s="20">
        <f t="shared" si="4"/>
        <v>0</v>
      </c>
    </row>
    <row r="33" spans="1:15" ht="15.75" thickBot="1">
      <c r="A33" s="131"/>
      <c r="B33" s="7"/>
      <c r="C33" s="10"/>
      <c r="D33" s="139"/>
      <c r="E33" s="221"/>
      <c r="F33" s="172"/>
      <c r="G33" s="172"/>
      <c r="H33" s="172"/>
      <c r="I33" s="172"/>
      <c r="J33" s="172"/>
      <c r="K33" s="172"/>
      <c r="L33" s="172"/>
      <c r="M33" s="172"/>
      <c r="N33" s="172"/>
      <c r="O33" s="172"/>
    </row>
    <row r="34" spans="1:15">
      <c r="A34" s="131"/>
      <c r="B34" s="4" t="s">
        <v>12</v>
      </c>
      <c r="C34" s="133" t="str">
        <f>Summary!B18</f>
        <v>A4</v>
      </c>
      <c r="D34" s="828"/>
      <c r="E34" s="156" t="str">
        <f>Summary!C18</f>
        <v>Waste - Programme Support</v>
      </c>
      <c r="F34" s="5"/>
      <c r="G34" s="5"/>
      <c r="H34" s="5"/>
      <c r="I34" s="5"/>
      <c r="J34" s="5"/>
      <c r="K34" s="5"/>
      <c r="L34" s="5"/>
      <c r="M34" s="5"/>
      <c r="N34" s="5"/>
      <c r="O34" s="5"/>
    </row>
    <row r="35" spans="1:15">
      <c r="A35" s="131"/>
      <c r="B35" s="7" t="s">
        <v>189</v>
      </c>
      <c r="C35" s="134" t="str">
        <f>'A4 Waste Prog Support'!D47</f>
        <v>A - High</v>
      </c>
      <c r="D35" s="829"/>
      <c r="E35" s="176">
        <f>VLOOKUP(C35,'Confidence Factors'!$B$6:$D$9,3)</f>
        <v>1</v>
      </c>
      <c r="F35" s="8"/>
      <c r="G35" s="8"/>
      <c r="H35" s="8"/>
      <c r="I35" s="8"/>
      <c r="J35" s="8"/>
      <c r="K35" s="8"/>
      <c r="L35" s="8"/>
      <c r="M35" s="8"/>
      <c r="N35" s="8"/>
      <c r="O35" s="8"/>
    </row>
    <row r="36" spans="1:15">
      <c r="A36" s="131"/>
      <c r="B36" s="7" t="s">
        <v>30</v>
      </c>
      <c r="C36" s="128">
        <f>SUM(E36:O36)</f>
        <v>150000</v>
      </c>
      <c r="D36" s="836"/>
      <c r="E36" s="177">
        <f>50000*'A4 Waste Prog Support'!D75*'Calcs - Scen 2'!E35</f>
        <v>50000</v>
      </c>
      <c r="F36" s="454">
        <f>100000*'A4 Waste Prog Support'!D75*'Calcs - Scen 2'!E35</f>
        <v>100000</v>
      </c>
      <c r="G36" s="3">
        <v>0</v>
      </c>
      <c r="H36" s="3">
        <v>0</v>
      </c>
      <c r="I36" s="3">
        <v>0</v>
      </c>
      <c r="J36" s="3">
        <v>0</v>
      </c>
      <c r="K36" s="3">
        <v>0</v>
      </c>
      <c r="L36" s="3">
        <v>0</v>
      </c>
      <c r="M36" s="3">
        <v>0</v>
      </c>
      <c r="N36" s="3">
        <v>0</v>
      </c>
      <c r="O36" s="3">
        <v>0</v>
      </c>
    </row>
    <row r="37" spans="1:15">
      <c r="A37" s="131"/>
      <c r="B37" s="7" t="s">
        <v>31</v>
      </c>
      <c r="C37" s="129">
        <f>NPV($C$7,G36:O36)+E36+F36</f>
        <v>150000</v>
      </c>
      <c r="D37" s="837"/>
      <c r="E37" s="7"/>
      <c r="F37" s="8"/>
      <c r="G37" s="8"/>
      <c r="H37" s="8"/>
      <c r="I37" s="8"/>
      <c r="J37" s="8"/>
      <c r="K37" s="8"/>
      <c r="L37" s="8"/>
      <c r="M37" s="8"/>
      <c r="N37" s="8"/>
      <c r="O37" s="8"/>
    </row>
    <row r="38" spans="1:15">
      <c r="A38" s="131"/>
      <c r="B38" s="7" t="s">
        <v>4</v>
      </c>
      <c r="C38" s="130" t="str">
        <f>IF(SUM(E38:O38)&gt;1,"CHECK"," ")</f>
        <v xml:space="preserve"> </v>
      </c>
      <c r="D38" s="270"/>
      <c r="E38" s="178">
        <v>0.33</v>
      </c>
      <c r="F38" s="15">
        <v>0.67</v>
      </c>
      <c r="G38" s="15"/>
      <c r="H38" s="15"/>
      <c r="I38" s="15"/>
      <c r="J38" s="15"/>
      <c r="K38" s="15"/>
      <c r="L38" s="15"/>
      <c r="M38" s="15"/>
      <c r="N38" s="15"/>
      <c r="O38" s="15"/>
    </row>
    <row r="39" spans="1:15" ht="15.75" thickBot="1">
      <c r="A39" s="131"/>
      <c r="B39" s="11" t="s">
        <v>32</v>
      </c>
      <c r="C39" s="51"/>
      <c r="D39" s="838" t="s">
        <v>842</v>
      </c>
      <c r="E39" s="179">
        <f>IF(E38&gt;0,(E38*$C37),0)</f>
        <v>49500</v>
      </c>
      <c r="F39" s="20">
        <f t="shared" ref="F39:O39" si="5">IF(F38&gt;0,(F38*$C37),0)</f>
        <v>100500</v>
      </c>
      <c r="G39" s="20">
        <f t="shared" si="5"/>
        <v>0</v>
      </c>
      <c r="H39" s="20">
        <f t="shared" si="5"/>
        <v>0</v>
      </c>
      <c r="I39" s="20">
        <f t="shared" si="5"/>
        <v>0</v>
      </c>
      <c r="J39" s="20">
        <f t="shared" si="5"/>
        <v>0</v>
      </c>
      <c r="K39" s="20">
        <f t="shared" si="5"/>
        <v>0</v>
      </c>
      <c r="L39" s="20">
        <f t="shared" si="5"/>
        <v>0</v>
      </c>
      <c r="M39" s="20">
        <f t="shared" si="5"/>
        <v>0</v>
      </c>
      <c r="N39" s="20">
        <f t="shared" si="5"/>
        <v>0</v>
      </c>
      <c r="O39" s="20">
        <f t="shared" si="5"/>
        <v>0</v>
      </c>
    </row>
    <row r="40" spans="1:15" ht="15.75" thickBot="1">
      <c r="A40" s="39"/>
      <c r="B40" s="7"/>
      <c r="C40" s="10"/>
      <c r="D40" s="139"/>
      <c r="E40" s="221"/>
      <c r="F40" s="172"/>
      <c r="G40" s="172"/>
      <c r="H40" s="172"/>
      <c r="I40" s="172"/>
      <c r="J40" s="172"/>
      <c r="K40" s="172"/>
      <c r="L40" s="172"/>
      <c r="M40" s="172"/>
      <c r="N40" s="172"/>
      <c r="O40" s="172"/>
    </row>
    <row r="41" spans="1:15">
      <c r="A41" s="39"/>
      <c r="B41" s="77" t="s">
        <v>12</v>
      </c>
      <c r="C41" s="133" t="str">
        <f>Summary!B19</f>
        <v>A5</v>
      </c>
      <c r="D41" s="828"/>
      <c r="E41" s="156" t="str">
        <f>Summary!C19</f>
        <v>Waste - Procurement Cost Benefits - Avoided Support Costs</v>
      </c>
      <c r="F41" s="5"/>
      <c r="G41" s="5"/>
      <c r="H41" s="5"/>
      <c r="I41" s="5"/>
      <c r="J41" s="5"/>
      <c r="K41" s="5"/>
      <c r="L41" s="5"/>
      <c r="M41" s="5"/>
      <c r="N41" s="5"/>
      <c r="O41" s="5"/>
    </row>
    <row r="42" spans="1:15">
      <c r="A42" s="39"/>
      <c r="B42" s="7" t="s">
        <v>189</v>
      </c>
      <c r="C42" s="134" t="str">
        <f>'A5 Waste Proc Cost Benefits '!D47</f>
        <v>A - High</v>
      </c>
      <c r="D42" s="829"/>
      <c r="E42" s="176">
        <f>VLOOKUP(C42,'Confidence Factors'!$B$6:$D$9,3)</f>
        <v>1</v>
      </c>
      <c r="F42" s="8"/>
      <c r="G42" s="8"/>
      <c r="H42" s="8"/>
      <c r="I42" s="8"/>
      <c r="J42" s="8"/>
      <c r="K42" s="8"/>
      <c r="L42" s="8"/>
      <c r="M42" s="8"/>
      <c r="N42" s="8"/>
      <c r="O42" s="8"/>
    </row>
    <row r="43" spans="1:15">
      <c r="A43" s="39"/>
      <c r="B43" s="78" t="s">
        <v>30</v>
      </c>
      <c r="C43" s="128">
        <f>SUM(E43:O43)</f>
        <v>594000</v>
      </c>
      <c r="D43" s="836"/>
      <c r="E43" s="177">
        <f>162000*'A5 Waste Proc Cost Benefits '!D75*'Calcs - Scen 2'!E42</f>
        <v>162000</v>
      </c>
      <c r="F43" s="19">
        <f>432000*'A5 Waste Proc Cost Benefits '!D75*'Calcs - Scen 2'!E42</f>
        <v>432000</v>
      </c>
      <c r="G43" s="19">
        <v>0</v>
      </c>
      <c r="H43" s="19">
        <v>0</v>
      </c>
      <c r="I43" s="19">
        <v>0</v>
      </c>
      <c r="J43" s="19">
        <v>0</v>
      </c>
      <c r="K43" s="19">
        <v>0</v>
      </c>
      <c r="L43" s="19">
        <v>0</v>
      </c>
      <c r="M43" s="19">
        <v>0</v>
      </c>
      <c r="N43" s="19">
        <v>0</v>
      </c>
      <c r="O43" s="19">
        <v>0</v>
      </c>
    </row>
    <row r="44" spans="1:15">
      <c r="A44" s="39"/>
      <c r="B44" s="78" t="s">
        <v>31</v>
      </c>
      <c r="C44" s="129">
        <f>NPV($C$7,G43:O43)+E43+F43</f>
        <v>594000</v>
      </c>
      <c r="D44" s="837"/>
      <c r="E44" s="7"/>
      <c r="F44" s="8"/>
      <c r="G44" s="8"/>
      <c r="H44" s="8"/>
      <c r="I44" s="8"/>
      <c r="J44" s="8"/>
      <c r="K44" s="8"/>
      <c r="L44" s="8"/>
      <c r="M44" s="8"/>
      <c r="N44" s="8"/>
      <c r="O44" s="8"/>
    </row>
    <row r="45" spans="1:15">
      <c r="A45" s="39"/>
      <c r="B45" s="78" t="s">
        <v>4</v>
      </c>
      <c r="C45" s="130" t="str">
        <f>IF(SUM(E45:O45)&gt;1,"CHECK"," ")</f>
        <v xml:space="preserve"> </v>
      </c>
      <c r="D45" s="270"/>
      <c r="E45" s="178">
        <v>0.33</v>
      </c>
      <c r="F45" s="15">
        <v>0.67</v>
      </c>
      <c r="G45" s="15"/>
      <c r="H45" s="15"/>
      <c r="I45" s="15"/>
      <c r="J45" s="15"/>
      <c r="K45" s="15"/>
      <c r="L45" s="15"/>
      <c r="M45" s="15"/>
      <c r="N45" s="15"/>
      <c r="O45" s="15"/>
    </row>
    <row r="46" spans="1:15" ht="15.75" thickBot="1">
      <c r="A46" s="39"/>
      <c r="B46" s="79" t="s">
        <v>32</v>
      </c>
      <c r="C46" s="51"/>
      <c r="D46" s="838" t="s">
        <v>842</v>
      </c>
      <c r="E46" s="179">
        <f t="shared" ref="E46:O46" si="6">IF(E45&gt;0,(E45*$C44),0)</f>
        <v>196020</v>
      </c>
      <c r="F46" s="20">
        <f t="shared" si="6"/>
        <v>397980</v>
      </c>
      <c r="G46" s="20">
        <f t="shared" si="6"/>
        <v>0</v>
      </c>
      <c r="H46" s="20">
        <f t="shared" si="6"/>
        <v>0</v>
      </c>
      <c r="I46" s="20">
        <f t="shared" si="6"/>
        <v>0</v>
      </c>
      <c r="J46" s="20">
        <f t="shared" si="6"/>
        <v>0</v>
      </c>
      <c r="K46" s="20">
        <f t="shared" si="6"/>
        <v>0</v>
      </c>
      <c r="L46" s="20">
        <f t="shared" si="6"/>
        <v>0</v>
      </c>
      <c r="M46" s="20">
        <f t="shared" si="6"/>
        <v>0</v>
      </c>
      <c r="N46" s="20">
        <f t="shared" si="6"/>
        <v>0</v>
      </c>
      <c r="O46" s="20">
        <f t="shared" si="6"/>
        <v>0</v>
      </c>
    </row>
    <row r="47" spans="1:15" ht="15.75" thickBot="1">
      <c r="A47" s="131"/>
      <c r="B47" s="7"/>
      <c r="C47" s="10"/>
      <c r="D47" s="139"/>
      <c r="E47" s="221"/>
      <c r="F47" s="172"/>
      <c r="G47" s="172"/>
      <c r="H47" s="172"/>
      <c r="I47" s="172"/>
      <c r="J47" s="172"/>
      <c r="K47" s="172"/>
      <c r="L47" s="172"/>
      <c r="M47" s="172"/>
      <c r="N47" s="172"/>
      <c r="O47" s="172"/>
    </row>
    <row r="48" spans="1:15">
      <c r="A48" s="39"/>
      <c r="B48" s="4" t="s">
        <v>12</v>
      </c>
      <c r="C48" s="133" t="str">
        <f>Summary!B20</f>
        <v>A6</v>
      </c>
      <c r="D48" s="828"/>
      <c r="E48" s="156" t="str">
        <f>Summary!C20</f>
        <v>ESA 95 - Consultancy Costs Avoided</v>
      </c>
      <c r="F48" s="5"/>
      <c r="G48" s="5"/>
      <c r="H48" s="5"/>
      <c r="I48" s="5"/>
      <c r="J48" s="5"/>
      <c r="K48" s="5"/>
      <c r="L48" s="5"/>
      <c r="M48" s="5"/>
      <c r="N48" s="5"/>
      <c r="O48" s="5"/>
    </row>
    <row r="49" spans="1:15">
      <c r="A49" s="39"/>
      <c r="B49" s="7" t="s">
        <v>189</v>
      </c>
      <c r="C49" s="134" t="str">
        <f>'A6 ESA95 Consult Fees'!D47</f>
        <v>A - High</v>
      </c>
      <c r="D49" s="829"/>
      <c r="E49" s="176">
        <f>VLOOKUP(C49,'Confidence Factors'!$B$6:$D$9,3)</f>
        <v>1</v>
      </c>
      <c r="F49" s="8"/>
      <c r="G49" s="8"/>
      <c r="H49" s="8"/>
      <c r="I49" s="8"/>
      <c r="J49" s="8"/>
      <c r="K49" s="8"/>
      <c r="L49" s="8"/>
      <c r="M49" s="8"/>
      <c r="N49" s="8"/>
      <c r="O49" s="8"/>
    </row>
    <row r="50" spans="1:15">
      <c r="A50" s="39"/>
      <c r="B50" s="7" t="s">
        <v>30</v>
      </c>
      <c r="C50" s="128">
        <f>SUM(E50:O50)</f>
        <v>53249.774752499994</v>
      </c>
      <c r="D50" s="836"/>
      <c r="E50" s="177">
        <f>(('A6 ESA95 Consult Fees'!D70)*0.4507)*'A6 ESA95 Consult Fees'!D75*'Calcs - Scen 2'!E49</f>
        <v>23999.774999999998</v>
      </c>
      <c r="F50" s="454">
        <f>(('A6 ESA95 Consult Fees'!D70)*0.54929577)*'A6 ESA95 Consult Fees'!D75*'Calcs - Scen 2'!E49</f>
        <v>29249.999752499996</v>
      </c>
      <c r="G50" s="3">
        <v>0</v>
      </c>
      <c r="H50" s="3">
        <v>0</v>
      </c>
      <c r="I50" s="3">
        <v>0</v>
      </c>
      <c r="J50" s="3">
        <v>0</v>
      </c>
      <c r="K50" s="3">
        <v>0</v>
      </c>
      <c r="L50" s="3">
        <v>0</v>
      </c>
      <c r="M50" s="3">
        <v>0</v>
      </c>
      <c r="N50" s="3">
        <v>0</v>
      </c>
      <c r="O50" s="3">
        <v>0</v>
      </c>
    </row>
    <row r="51" spans="1:15">
      <c r="A51" s="39"/>
      <c r="B51" s="7" t="s">
        <v>31</v>
      </c>
      <c r="C51" s="129">
        <f>NPV($C$7,G50:O50)+E50+F50</f>
        <v>53249.774752499994</v>
      </c>
      <c r="D51" s="837"/>
      <c r="E51" s="7"/>
      <c r="F51" s="8"/>
      <c r="G51" s="8"/>
      <c r="H51" s="8"/>
      <c r="I51" s="8"/>
      <c r="J51" s="8"/>
      <c r="K51" s="8"/>
      <c r="L51" s="8"/>
      <c r="M51" s="8"/>
      <c r="N51" s="8"/>
      <c r="O51" s="8"/>
    </row>
    <row r="52" spans="1:15">
      <c r="A52" s="39"/>
      <c r="B52" s="7" t="s">
        <v>4</v>
      </c>
      <c r="C52" s="130" t="str">
        <f>IF(SUM(E52:O52)&gt;1,"CHECK"," ")</f>
        <v xml:space="preserve"> </v>
      </c>
      <c r="D52" s="270"/>
      <c r="E52" s="178">
        <v>0.45</v>
      </c>
      <c r="F52" s="15">
        <v>0.55000000000000004</v>
      </c>
      <c r="G52" s="15"/>
      <c r="H52" s="15"/>
      <c r="I52" s="15"/>
      <c r="J52" s="15"/>
      <c r="K52" s="15"/>
      <c r="L52" s="15"/>
      <c r="M52" s="15"/>
      <c r="N52" s="15"/>
      <c r="O52" s="15"/>
    </row>
    <row r="53" spans="1:15" ht="15.75" thickBot="1">
      <c r="A53" s="39"/>
      <c r="B53" s="11" t="s">
        <v>32</v>
      </c>
      <c r="C53" s="51"/>
      <c r="D53" s="838" t="s">
        <v>847</v>
      </c>
      <c r="E53" s="179">
        <f>IF(E52&gt;0,(E52*$C51),0)</f>
        <v>23962.398638624996</v>
      </c>
      <c r="F53" s="20">
        <f t="shared" ref="F53:O53" si="7">IF(F52&gt;0,(F52*$C51),0)</f>
        <v>29287.376113874998</v>
      </c>
      <c r="G53" s="20">
        <f t="shared" si="7"/>
        <v>0</v>
      </c>
      <c r="H53" s="20">
        <f t="shared" si="7"/>
        <v>0</v>
      </c>
      <c r="I53" s="20">
        <f t="shared" si="7"/>
        <v>0</v>
      </c>
      <c r="J53" s="20">
        <f t="shared" si="7"/>
        <v>0</v>
      </c>
      <c r="K53" s="20">
        <f t="shared" si="7"/>
        <v>0</v>
      </c>
      <c r="L53" s="20">
        <f t="shared" si="7"/>
        <v>0</v>
      </c>
      <c r="M53" s="20">
        <f t="shared" si="7"/>
        <v>0</v>
      </c>
      <c r="N53" s="20">
        <f t="shared" si="7"/>
        <v>0</v>
      </c>
      <c r="O53" s="20">
        <f t="shared" si="7"/>
        <v>0</v>
      </c>
    </row>
    <row r="54" spans="1:15" ht="15.75" thickBot="1">
      <c r="A54" s="39"/>
      <c r="B54" s="7"/>
      <c r="C54" s="10"/>
      <c r="D54" s="139"/>
      <c r="E54" s="221"/>
      <c r="F54" s="172"/>
      <c r="G54" s="172"/>
      <c r="H54" s="172"/>
      <c r="I54" s="172"/>
      <c r="J54" s="172"/>
      <c r="K54" s="172"/>
      <c r="L54" s="172"/>
      <c r="M54" s="172"/>
      <c r="N54" s="172"/>
      <c r="O54" s="172"/>
    </row>
    <row r="55" spans="1:15">
      <c r="A55" s="39"/>
      <c r="B55" s="4" t="s">
        <v>12</v>
      </c>
      <c r="C55" s="133" t="str">
        <f>Summary!B21</f>
        <v>A7</v>
      </c>
      <c r="D55" s="828"/>
      <c r="E55" s="156" t="str">
        <f>Summary!C21</f>
        <v>TIF - Consultancy Costs Avoided</v>
      </c>
      <c r="F55" s="5"/>
      <c r="G55" s="5"/>
      <c r="H55" s="5"/>
      <c r="I55" s="5"/>
      <c r="J55" s="5"/>
      <c r="K55" s="5"/>
      <c r="L55" s="5"/>
      <c r="M55" s="5"/>
      <c r="N55" s="5"/>
      <c r="O55" s="5"/>
    </row>
    <row r="56" spans="1:15">
      <c r="A56" s="39"/>
      <c r="B56" s="7" t="s">
        <v>189</v>
      </c>
      <c r="C56" s="134" t="str">
        <f>'A7 TIF Consult Fees'!D47</f>
        <v>A - High</v>
      </c>
      <c r="D56" s="829"/>
      <c r="E56" s="176">
        <f>VLOOKUP(C56,'Confidence Factors'!$B$6:$D$9,3)</f>
        <v>1</v>
      </c>
      <c r="F56" s="8"/>
      <c r="G56" s="8"/>
      <c r="H56" s="8"/>
      <c r="I56" s="8"/>
      <c r="J56" s="8"/>
      <c r="K56" s="8"/>
      <c r="L56" s="8"/>
      <c r="M56" s="8"/>
      <c r="N56" s="8"/>
      <c r="O56" s="8"/>
    </row>
    <row r="57" spans="1:15">
      <c r="A57" s="39"/>
      <c r="B57" s="7" t="s">
        <v>30</v>
      </c>
      <c r="C57" s="128">
        <f>SUM(E57:O57)</f>
        <v>174469</v>
      </c>
      <c r="D57" s="836"/>
      <c r="E57" s="177">
        <f>47344*'A7 TIF Consult Fees'!D75*'Calcs - Scen 2'!E56</f>
        <v>47344</v>
      </c>
      <c r="F57" s="177">
        <f>('A7 TIF Consult Fees'!D70*'A7 TIF Consult Fees'!D75*'Calcs - Scen 2'!E56)-E57</f>
        <v>127125</v>
      </c>
      <c r="G57" s="3">
        <v>0</v>
      </c>
      <c r="H57" s="3">
        <v>0</v>
      </c>
      <c r="I57" s="3">
        <v>0</v>
      </c>
      <c r="J57" s="3">
        <v>0</v>
      </c>
      <c r="K57" s="3">
        <v>0</v>
      </c>
      <c r="L57" s="3">
        <v>0</v>
      </c>
      <c r="M57" s="3">
        <v>0</v>
      </c>
      <c r="N57" s="3">
        <v>0</v>
      </c>
      <c r="O57" s="3">
        <v>0</v>
      </c>
    </row>
    <row r="58" spans="1:15">
      <c r="A58" s="39"/>
      <c r="B58" s="7" t="s">
        <v>31</v>
      </c>
      <c r="C58" s="129">
        <f>NPV($C$7,G57:O57)+E57+F57</f>
        <v>174469</v>
      </c>
      <c r="D58" s="837"/>
      <c r="E58" s="7"/>
      <c r="F58" s="8"/>
      <c r="G58" s="8"/>
      <c r="H58" s="8"/>
      <c r="I58" s="8"/>
      <c r="J58" s="8"/>
      <c r="K58" s="8"/>
      <c r="L58" s="8"/>
      <c r="M58" s="8"/>
      <c r="N58" s="8"/>
      <c r="O58" s="8"/>
    </row>
    <row r="59" spans="1:15">
      <c r="A59" s="39"/>
      <c r="B59" s="7" t="s">
        <v>4</v>
      </c>
      <c r="C59" s="130" t="str">
        <f>IF(SUM(E59:O59)&gt;1,"CHECK"," ")</f>
        <v xml:space="preserve"> </v>
      </c>
      <c r="D59" s="270"/>
      <c r="E59" s="178">
        <v>0.28000000000000003</v>
      </c>
      <c r="F59" s="15">
        <v>0.72</v>
      </c>
      <c r="G59" s="15"/>
      <c r="H59" s="15"/>
      <c r="I59" s="15"/>
      <c r="J59" s="15"/>
      <c r="K59" s="15"/>
      <c r="L59" s="15"/>
      <c r="M59" s="15"/>
      <c r="N59" s="15"/>
      <c r="O59" s="15"/>
    </row>
    <row r="60" spans="1:15" ht="15.75" thickBot="1">
      <c r="A60" s="39"/>
      <c r="B60" s="11" t="s">
        <v>32</v>
      </c>
      <c r="C60" s="51"/>
      <c r="D60" s="838" t="s">
        <v>90</v>
      </c>
      <c r="E60" s="179">
        <f>IF(E59&gt;0,(E59*$C58),0)</f>
        <v>48851.320000000007</v>
      </c>
      <c r="F60" s="20">
        <f t="shared" ref="F60:O60" si="8">IF(F59&gt;0,(F59*$C58),0)</f>
        <v>125617.68</v>
      </c>
      <c r="G60" s="20">
        <f t="shared" si="8"/>
        <v>0</v>
      </c>
      <c r="H60" s="20">
        <f t="shared" si="8"/>
        <v>0</v>
      </c>
      <c r="I60" s="20">
        <f t="shared" si="8"/>
        <v>0</v>
      </c>
      <c r="J60" s="20">
        <f t="shared" si="8"/>
        <v>0</v>
      </c>
      <c r="K60" s="20">
        <f t="shared" si="8"/>
        <v>0</v>
      </c>
      <c r="L60" s="20">
        <f t="shared" si="8"/>
        <v>0</v>
      </c>
      <c r="M60" s="20">
        <f t="shared" si="8"/>
        <v>0</v>
      </c>
      <c r="N60" s="20">
        <f t="shared" si="8"/>
        <v>0</v>
      </c>
      <c r="O60" s="20">
        <f t="shared" si="8"/>
        <v>0</v>
      </c>
    </row>
    <row r="61" spans="1:15" ht="15.75" thickBot="1">
      <c r="A61" s="39"/>
      <c r="B61" s="7"/>
      <c r="C61" s="10"/>
      <c r="D61" s="139"/>
      <c r="E61" s="221"/>
      <c r="F61" s="172"/>
      <c r="G61" s="172"/>
      <c r="H61" s="172"/>
      <c r="I61" s="172"/>
      <c r="J61" s="172"/>
      <c r="K61" s="172"/>
      <c r="L61" s="172"/>
      <c r="M61" s="172"/>
      <c r="N61" s="172"/>
      <c r="O61" s="172"/>
    </row>
    <row r="62" spans="1:15">
      <c r="A62" s="39"/>
      <c r="B62" s="4" t="s">
        <v>12</v>
      </c>
      <c r="C62" s="133" t="str">
        <f>Summary!B22</f>
        <v>A8</v>
      </c>
      <c r="D62" s="828"/>
      <c r="E62" s="156" t="str">
        <f>Summary!C22</f>
        <v>NHT - Consultancy Costs Avoided</v>
      </c>
      <c r="F62" s="5"/>
      <c r="G62" s="5"/>
      <c r="H62" s="5"/>
      <c r="I62" s="5"/>
      <c r="J62" s="5"/>
      <c r="K62" s="5"/>
      <c r="L62" s="5"/>
      <c r="M62" s="5"/>
      <c r="N62" s="5"/>
      <c r="O62" s="5"/>
    </row>
    <row r="63" spans="1:15">
      <c r="A63" s="39"/>
      <c r="B63" s="7" t="s">
        <v>189</v>
      </c>
      <c r="C63" s="134" t="str">
        <f>'A8 NHT Consult Fees'!D47</f>
        <v>A - High</v>
      </c>
      <c r="D63" s="829"/>
      <c r="E63" s="176">
        <f>VLOOKUP(C63,'Confidence Factors'!$B$6:$D$9,3)</f>
        <v>1</v>
      </c>
      <c r="F63" s="8"/>
      <c r="G63" s="8"/>
      <c r="H63" s="8"/>
      <c r="I63" s="8"/>
      <c r="J63" s="8"/>
      <c r="K63" s="8"/>
      <c r="L63" s="8"/>
      <c r="M63" s="8"/>
      <c r="N63" s="8"/>
      <c r="O63" s="8"/>
    </row>
    <row r="64" spans="1:15">
      <c r="A64" s="39"/>
      <c r="B64" s="7" t="s">
        <v>30</v>
      </c>
      <c r="C64" s="128">
        <f>SUM(E64:O64)</f>
        <v>851400</v>
      </c>
      <c r="D64" s="836"/>
      <c r="E64" s="177">
        <f>378600*'A8 NHT Consult Fees'!D75*'Calcs - Scen 2'!E63</f>
        <v>378600</v>
      </c>
      <c r="F64" s="3">
        <f>472800*'A8 NHT Consult Fees'!D75*'Calcs - Scen 2'!E63</f>
        <v>472800</v>
      </c>
      <c r="G64" s="3">
        <v>0</v>
      </c>
      <c r="H64" s="3">
        <v>0</v>
      </c>
      <c r="I64" s="3">
        <v>0</v>
      </c>
      <c r="J64" s="3">
        <v>0</v>
      </c>
      <c r="K64" s="3">
        <v>0</v>
      </c>
      <c r="L64" s="3">
        <v>0</v>
      </c>
      <c r="M64" s="3">
        <v>0</v>
      </c>
      <c r="N64" s="3">
        <v>0</v>
      </c>
      <c r="O64" s="3">
        <v>0</v>
      </c>
    </row>
    <row r="65" spans="1:15">
      <c r="A65" s="39"/>
      <c r="B65" s="7" t="s">
        <v>31</v>
      </c>
      <c r="C65" s="129">
        <f>NPV($C$7,G64:O64)+E64+F64</f>
        <v>851400</v>
      </c>
      <c r="D65" s="837"/>
      <c r="E65" s="7"/>
      <c r="F65" s="8"/>
      <c r="G65" s="8"/>
      <c r="H65" s="8"/>
      <c r="I65" s="8"/>
      <c r="J65" s="8"/>
      <c r="K65" s="8"/>
      <c r="L65" s="8"/>
      <c r="M65" s="8"/>
      <c r="N65" s="8"/>
      <c r="O65" s="8"/>
    </row>
    <row r="66" spans="1:15">
      <c r="A66" s="39"/>
      <c r="B66" s="7" t="s">
        <v>4</v>
      </c>
      <c r="C66" s="130" t="str">
        <f>IF(SUM(E66:O66)&gt;1,"CHECK"," ")</f>
        <v xml:space="preserve"> </v>
      </c>
      <c r="D66" s="270"/>
      <c r="E66" s="178">
        <v>0.44</v>
      </c>
      <c r="F66" s="15">
        <v>0.56000000000000005</v>
      </c>
      <c r="G66" s="15"/>
      <c r="H66" s="15"/>
      <c r="I66" s="15"/>
      <c r="J66" s="15"/>
      <c r="K66" s="15"/>
      <c r="L66" s="15"/>
      <c r="M66" s="15"/>
      <c r="N66" s="15"/>
      <c r="O66" s="15"/>
    </row>
    <row r="67" spans="1:15" ht="15.75" thickBot="1">
      <c r="A67" s="39"/>
      <c r="B67" s="11" t="s">
        <v>32</v>
      </c>
      <c r="C67" s="51"/>
      <c r="D67" s="838" t="s">
        <v>81</v>
      </c>
      <c r="E67" s="179">
        <f>IF(E66&gt;0,(E66*$C65),0)</f>
        <v>374616</v>
      </c>
      <c r="F67" s="20">
        <f t="shared" ref="F67:O67" si="9">IF(F66&gt;0,(F66*$C65),0)</f>
        <v>476784.00000000006</v>
      </c>
      <c r="G67" s="20">
        <f t="shared" si="9"/>
        <v>0</v>
      </c>
      <c r="H67" s="20">
        <f t="shared" si="9"/>
        <v>0</v>
      </c>
      <c r="I67" s="20">
        <f t="shared" si="9"/>
        <v>0</v>
      </c>
      <c r="J67" s="20">
        <f t="shared" si="9"/>
        <v>0</v>
      </c>
      <c r="K67" s="20">
        <f t="shared" si="9"/>
        <v>0</v>
      </c>
      <c r="L67" s="20">
        <f t="shared" si="9"/>
        <v>0</v>
      </c>
      <c r="M67" s="20">
        <f t="shared" si="9"/>
        <v>0</v>
      </c>
      <c r="N67" s="20">
        <f t="shared" si="9"/>
        <v>0</v>
      </c>
      <c r="O67" s="20">
        <f t="shared" si="9"/>
        <v>0</v>
      </c>
    </row>
    <row r="68" spans="1:15" ht="15.75" thickBot="1">
      <c r="A68" s="39"/>
      <c r="B68" s="7"/>
      <c r="C68" s="10"/>
      <c r="D68" s="139"/>
      <c r="E68" s="463"/>
      <c r="F68" s="464"/>
      <c r="G68" s="464"/>
      <c r="H68" s="464"/>
      <c r="I68" s="464"/>
      <c r="J68" s="464"/>
      <c r="K68" s="464"/>
      <c r="L68" s="464"/>
      <c r="M68" s="464"/>
      <c r="N68" s="464"/>
      <c r="O68" s="464"/>
    </row>
    <row r="69" spans="1:15">
      <c r="A69" s="39"/>
      <c r="B69" s="4" t="s">
        <v>12</v>
      </c>
      <c r="C69" s="466" t="str">
        <f>Summary!B23</f>
        <v>A9</v>
      </c>
      <c r="D69" s="830"/>
      <c r="E69" s="156" t="str">
        <f>Summary!C23</f>
        <v>URC - Consultancy Costs Avoided</v>
      </c>
      <c r="F69" s="5"/>
      <c r="G69" s="5"/>
      <c r="H69" s="5"/>
      <c r="I69" s="5"/>
      <c r="J69" s="5"/>
      <c r="K69" s="5"/>
      <c r="L69" s="5"/>
      <c r="M69" s="5"/>
      <c r="N69" s="5"/>
      <c r="O69" s="5"/>
    </row>
    <row r="70" spans="1:15">
      <c r="A70" s="39"/>
      <c r="B70" s="7" t="s">
        <v>189</v>
      </c>
      <c r="C70" s="134" t="str">
        <f>'A9 URC Consult Fees'!D47</f>
        <v>A - High</v>
      </c>
      <c r="D70" s="829"/>
      <c r="E70" s="176">
        <f>VLOOKUP(C70,'Confidence Factors'!$B$6:$D$9,3)</f>
        <v>1</v>
      </c>
      <c r="F70" s="8"/>
      <c r="G70" s="8"/>
      <c r="H70" s="8"/>
      <c r="I70" s="8"/>
      <c r="J70" s="8"/>
      <c r="K70" s="8"/>
      <c r="L70" s="8"/>
      <c r="M70" s="8"/>
      <c r="N70" s="8"/>
      <c r="O70" s="8"/>
    </row>
    <row r="71" spans="1:15">
      <c r="A71" s="39"/>
      <c r="B71" s="7" t="s">
        <v>30</v>
      </c>
      <c r="C71" s="128">
        <f>SUM(E71:O71)</f>
        <v>16200</v>
      </c>
      <c r="D71" s="836"/>
      <c r="E71" s="177">
        <v>0</v>
      </c>
      <c r="F71" s="454">
        <f>'A9 URC Consult Fees'!D70*'A9 URC Consult Fees'!D75*'Calcs - Scen 2'!E70</f>
        <v>16200</v>
      </c>
      <c r="G71" s="3">
        <v>0</v>
      </c>
      <c r="H71" s="3">
        <v>0</v>
      </c>
      <c r="I71" s="3">
        <v>0</v>
      </c>
      <c r="J71" s="3">
        <v>0</v>
      </c>
      <c r="K71" s="3">
        <v>0</v>
      </c>
      <c r="L71" s="3">
        <v>0</v>
      </c>
      <c r="M71" s="3">
        <v>0</v>
      </c>
      <c r="N71" s="3">
        <v>0</v>
      </c>
      <c r="O71" s="3">
        <v>0</v>
      </c>
    </row>
    <row r="72" spans="1:15">
      <c r="A72" s="39"/>
      <c r="B72" s="7" t="s">
        <v>31</v>
      </c>
      <c r="C72" s="129">
        <f>NPV($C$7,G71:O71)+E71+F71</f>
        <v>16200</v>
      </c>
      <c r="D72" s="837"/>
      <c r="E72" s="7"/>
      <c r="F72" s="8"/>
      <c r="G72" s="8"/>
      <c r="H72" s="8"/>
      <c r="I72" s="8"/>
      <c r="J72" s="8"/>
      <c r="K72" s="8"/>
      <c r="L72" s="8"/>
      <c r="M72" s="8"/>
      <c r="N72" s="8"/>
      <c r="O72" s="8"/>
    </row>
    <row r="73" spans="1:15">
      <c r="A73" s="39"/>
      <c r="B73" s="7" t="s">
        <v>4</v>
      </c>
      <c r="C73" s="130" t="str">
        <f>IF(SUM(E73:O73)&gt;1,"CHECK"," ")</f>
        <v xml:space="preserve"> </v>
      </c>
      <c r="D73" s="270"/>
      <c r="E73" s="178">
        <v>0</v>
      </c>
      <c r="F73" s="15">
        <v>1</v>
      </c>
      <c r="G73" s="15"/>
      <c r="H73" s="15"/>
      <c r="I73" s="15"/>
      <c r="J73" s="15"/>
      <c r="K73" s="15"/>
      <c r="L73" s="15"/>
      <c r="M73" s="15"/>
      <c r="N73" s="15"/>
      <c r="O73" s="15"/>
    </row>
    <row r="74" spans="1:15" ht="15.75" thickBot="1">
      <c r="A74" s="39"/>
      <c r="B74" s="11" t="s">
        <v>32</v>
      </c>
      <c r="C74" s="51"/>
      <c r="D74" s="838" t="s">
        <v>66</v>
      </c>
      <c r="E74" s="179">
        <f>IF(E73&gt;0,(E73*$C72),0)</f>
        <v>0</v>
      </c>
      <c r="F74" s="20">
        <f t="shared" ref="F74:O74" si="10">IF(F73&gt;0,(F73*$C72),0)</f>
        <v>16200</v>
      </c>
      <c r="G74" s="20">
        <f t="shared" si="10"/>
        <v>0</v>
      </c>
      <c r="H74" s="20">
        <f t="shared" si="10"/>
        <v>0</v>
      </c>
      <c r="I74" s="20">
        <f t="shared" si="10"/>
        <v>0</v>
      </c>
      <c r="J74" s="20">
        <f t="shared" si="10"/>
        <v>0</v>
      </c>
      <c r="K74" s="20">
        <f t="shared" si="10"/>
        <v>0</v>
      </c>
      <c r="L74" s="20">
        <f t="shared" si="10"/>
        <v>0</v>
      </c>
      <c r="M74" s="20">
        <f t="shared" si="10"/>
        <v>0</v>
      </c>
      <c r="N74" s="20">
        <f t="shared" si="10"/>
        <v>0</v>
      </c>
      <c r="O74" s="20">
        <f t="shared" si="10"/>
        <v>0</v>
      </c>
    </row>
    <row r="75" spans="1:15" ht="15.75" thickBot="1">
      <c r="A75" s="39"/>
      <c r="B75" s="7"/>
      <c r="C75" s="10"/>
      <c r="D75" s="139"/>
      <c r="E75" s="463"/>
      <c r="F75" s="464"/>
      <c r="G75" s="464"/>
      <c r="H75" s="464"/>
      <c r="I75" s="464"/>
      <c r="J75" s="464"/>
      <c r="K75" s="464"/>
      <c r="L75" s="464"/>
      <c r="M75" s="464"/>
      <c r="N75" s="464"/>
      <c r="O75" s="464"/>
    </row>
    <row r="76" spans="1:15">
      <c r="A76" s="39"/>
      <c r="B76" s="4" t="s">
        <v>12</v>
      </c>
      <c r="C76" s="466" t="str">
        <f>Summary!B24</f>
        <v>A10</v>
      </c>
      <c r="D76" s="830"/>
      <c r="E76" s="156" t="str">
        <f>Summary!C24</f>
        <v>CMAL - Consultancy Costs Avoided</v>
      </c>
      <c r="F76" s="5"/>
      <c r="G76" s="5"/>
      <c r="H76" s="5"/>
      <c r="I76" s="5"/>
      <c r="J76" s="5"/>
      <c r="K76" s="5"/>
      <c r="L76" s="5"/>
      <c r="M76" s="5"/>
      <c r="N76" s="5"/>
      <c r="O76" s="5"/>
    </row>
    <row r="77" spans="1:15">
      <c r="A77" s="39"/>
      <c r="B77" s="7" t="s">
        <v>189</v>
      </c>
      <c r="C77" s="134" t="str">
        <f>'A10 CMAL Consult Fees '!D47</f>
        <v>A - High</v>
      </c>
      <c r="D77" s="829"/>
      <c r="E77" s="176">
        <f>VLOOKUP(C77,'Confidence Factors'!$B$6:$D$9,3)</f>
        <v>1</v>
      </c>
      <c r="F77" s="8"/>
      <c r="G77" s="8"/>
      <c r="H77" s="8"/>
      <c r="I77" s="8"/>
      <c r="J77" s="8"/>
      <c r="K77" s="8"/>
      <c r="L77" s="8"/>
      <c r="M77" s="8"/>
      <c r="N77" s="8"/>
      <c r="O77" s="8"/>
    </row>
    <row r="78" spans="1:15">
      <c r="A78" s="39"/>
      <c r="B78" s="7" t="s">
        <v>30</v>
      </c>
      <c r="C78" s="128">
        <f>SUM(E78:O78)</f>
        <v>100000</v>
      </c>
      <c r="D78" s="836"/>
      <c r="E78" s="177">
        <v>0</v>
      </c>
      <c r="F78" s="454">
        <f>'A10 CMAL Consult Fees '!D70*'A10 CMAL Consult Fees '!D75*'Calcs - Scen 2'!E77</f>
        <v>100000</v>
      </c>
      <c r="G78" s="3">
        <v>0</v>
      </c>
      <c r="H78" s="3">
        <v>0</v>
      </c>
      <c r="I78" s="3">
        <v>0</v>
      </c>
      <c r="J78" s="3">
        <v>0</v>
      </c>
      <c r="K78" s="3">
        <v>0</v>
      </c>
      <c r="L78" s="3">
        <v>0</v>
      </c>
      <c r="M78" s="3">
        <v>0</v>
      </c>
      <c r="N78" s="3">
        <v>0</v>
      </c>
      <c r="O78" s="3">
        <v>0</v>
      </c>
    </row>
    <row r="79" spans="1:15">
      <c r="A79" s="39"/>
      <c r="B79" s="7" t="s">
        <v>31</v>
      </c>
      <c r="C79" s="129">
        <f>NPV($C$7,G78:O78)+E78+F78</f>
        <v>100000</v>
      </c>
      <c r="D79" s="837"/>
      <c r="E79" s="7"/>
      <c r="F79" s="8"/>
      <c r="G79" s="8"/>
      <c r="H79" s="8"/>
      <c r="I79" s="8"/>
      <c r="J79" s="8"/>
      <c r="K79" s="8"/>
      <c r="L79" s="8"/>
      <c r="M79" s="8"/>
      <c r="N79" s="8"/>
      <c r="O79" s="8"/>
    </row>
    <row r="80" spans="1:15">
      <c r="A80" s="39"/>
      <c r="B80" s="7" t="s">
        <v>4</v>
      </c>
      <c r="C80" s="130" t="str">
        <f>IF(SUM(E80:O80)&gt;1,"CHECK"," ")</f>
        <v xml:space="preserve"> </v>
      </c>
      <c r="D80" s="270"/>
      <c r="E80" s="178">
        <v>0</v>
      </c>
      <c r="F80" s="15">
        <v>1</v>
      </c>
      <c r="G80" s="15"/>
      <c r="H80" s="15"/>
      <c r="I80" s="15"/>
      <c r="J80" s="15"/>
      <c r="K80" s="15"/>
      <c r="L80" s="15"/>
      <c r="M80" s="15"/>
      <c r="N80" s="15"/>
      <c r="O80" s="15"/>
    </row>
    <row r="81" spans="1:15" ht="15.75" thickBot="1">
      <c r="A81" s="39"/>
      <c r="B81" s="7"/>
      <c r="C81" s="10"/>
      <c r="D81" s="838" t="s">
        <v>45</v>
      </c>
      <c r="E81" s="179">
        <f>IF(E80&gt;0,(E80*$C79),0)</f>
        <v>0</v>
      </c>
      <c r="F81" s="20">
        <f t="shared" ref="F81:O81" si="11">IF(F80&gt;0,(F80*$C79),0)</f>
        <v>100000</v>
      </c>
      <c r="G81" s="20">
        <f t="shared" si="11"/>
        <v>0</v>
      </c>
      <c r="H81" s="20">
        <f t="shared" si="11"/>
        <v>0</v>
      </c>
      <c r="I81" s="20">
        <f t="shared" si="11"/>
        <v>0</v>
      </c>
      <c r="J81" s="20">
        <f t="shared" si="11"/>
        <v>0</v>
      </c>
      <c r="K81" s="20">
        <f t="shared" si="11"/>
        <v>0</v>
      </c>
      <c r="L81" s="20">
        <f t="shared" si="11"/>
        <v>0</v>
      </c>
      <c r="M81" s="20">
        <f t="shared" si="11"/>
        <v>0</v>
      </c>
      <c r="N81" s="20">
        <f t="shared" si="11"/>
        <v>0</v>
      </c>
      <c r="O81" s="20">
        <f t="shared" si="11"/>
        <v>0</v>
      </c>
    </row>
    <row r="82" spans="1:15" ht="15.75" thickBot="1">
      <c r="A82" s="39"/>
      <c r="B82" s="11"/>
      <c r="C82" s="51"/>
      <c r="D82" s="838"/>
      <c r="E82" s="463"/>
      <c r="F82" s="464"/>
      <c r="G82" s="464"/>
      <c r="H82" s="464"/>
      <c r="I82" s="464"/>
      <c r="J82" s="464"/>
      <c r="K82" s="464"/>
      <c r="L82" s="464"/>
      <c r="M82" s="464"/>
      <c r="N82" s="464"/>
      <c r="O82" s="464"/>
    </row>
    <row r="83" spans="1:15">
      <c r="A83" s="39"/>
      <c r="B83" s="4" t="s">
        <v>12</v>
      </c>
      <c r="C83" s="466" t="str">
        <f>Summary!B25</f>
        <v>A11</v>
      </c>
      <c r="D83" s="830"/>
      <c r="E83" s="156" t="str">
        <f>Summary!C25</f>
        <v>Collaborative Housing - Consultancy Costs Avoided</v>
      </c>
      <c r="F83" s="5"/>
      <c r="G83" s="5"/>
      <c r="H83" s="5"/>
      <c r="I83" s="5"/>
      <c r="J83" s="5"/>
      <c r="K83" s="5"/>
      <c r="L83" s="5"/>
      <c r="M83" s="5"/>
      <c r="N83" s="5"/>
      <c r="O83" s="5"/>
    </row>
    <row r="84" spans="1:15">
      <c r="A84" s="39"/>
      <c r="B84" s="7" t="s">
        <v>189</v>
      </c>
      <c r="C84" s="134" t="str">
        <f>'A11 CH Consult Fees'!D47</f>
        <v>A - High</v>
      </c>
      <c r="D84" s="829"/>
      <c r="E84" s="176">
        <f>VLOOKUP(C84,'Confidence Factors'!$B$6:$D$9,3)</f>
        <v>1</v>
      </c>
      <c r="F84" s="8"/>
      <c r="G84" s="8"/>
      <c r="H84" s="8"/>
      <c r="I84" s="8"/>
      <c r="J84" s="8"/>
      <c r="K84" s="8"/>
      <c r="L84" s="8"/>
      <c r="M84" s="8"/>
      <c r="N84" s="8"/>
      <c r="O84" s="8"/>
    </row>
    <row r="85" spans="1:15">
      <c r="A85" s="39"/>
      <c r="B85" s="7" t="s">
        <v>30</v>
      </c>
      <c r="C85" s="128">
        <f>SUM(E85:O85)</f>
        <v>149000</v>
      </c>
      <c r="D85" s="836"/>
      <c r="E85" s="177">
        <v>0</v>
      </c>
      <c r="F85" s="454">
        <f>'A11 CH Consult Fees'!D70*'A11 CH Consult Fees'!D75*'Calcs - Scen 2'!E84</f>
        <v>149000</v>
      </c>
      <c r="G85" s="3">
        <v>0</v>
      </c>
      <c r="H85" s="3">
        <v>0</v>
      </c>
      <c r="I85" s="3">
        <v>0</v>
      </c>
      <c r="J85" s="3">
        <v>0</v>
      </c>
      <c r="K85" s="3">
        <v>0</v>
      </c>
      <c r="L85" s="3">
        <v>0</v>
      </c>
      <c r="M85" s="3">
        <v>0</v>
      </c>
      <c r="N85" s="3">
        <v>0</v>
      </c>
      <c r="O85" s="3">
        <v>0</v>
      </c>
    </row>
    <row r="86" spans="1:15">
      <c r="A86" s="39"/>
      <c r="B86" s="7" t="s">
        <v>31</v>
      </c>
      <c r="C86" s="129">
        <f>NPV($C$7,G85:O85)+E85+F85</f>
        <v>149000</v>
      </c>
      <c r="D86" s="837"/>
      <c r="E86" s="7"/>
      <c r="F86" s="8"/>
      <c r="G86" s="8"/>
      <c r="H86" s="8"/>
      <c r="I86" s="8"/>
      <c r="J86" s="8"/>
      <c r="K86" s="8"/>
      <c r="L86" s="8"/>
      <c r="M86" s="8"/>
      <c r="N86" s="8"/>
      <c r="O86" s="8"/>
    </row>
    <row r="87" spans="1:15">
      <c r="A87" s="39"/>
      <c r="B87" s="7" t="s">
        <v>4</v>
      </c>
      <c r="C87" s="130" t="str">
        <f>IF(SUM(E87:O87)&gt;1,"CHECK"," ")</f>
        <v xml:space="preserve"> </v>
      </c>
      <c r="D87" s="270"/>
      <c r="E87" s="178">
        <v>0</v>
      </c>
      <c r="F87" s="15">
        <v>1</v>
      </c>
      <c r="G87" s="15"/>
      <c r="H87" s="15"/>
      <c r="I87" s="15"/>
      <c r="J87" s="15"/>
      <c r="K87" s="15"/>
      <c r="L87" s="15"/>
      <c r="M87" s="15"/>
      <c r="N87" s="15"/>
      <c r="O87" s="15"/>
    </row>
    <row r="88" spans="1:15" ht="15.75" thickBot="1">
      <c r="A88" s="39"/>
      <c r="B88" s="7"/>
      <c r="C88" s="10"/>
      <c r="D88" s="139" t="s">
        <v>81</v>
      </c>
      <c r="E88" s="179">
        <f>IF(E87&gt;0,(E87*$C86),0)</f>
        <v>0</v>
      </c>
      <c r="F88" s="20">
        <f t="shared" ref="F88:O88" si="12">IF(F87&gt;0,(F87*$C86),0)</f>
        <v>149000</v>
      </c>
      <c r="G88" s="20">
        <f t="shared" si="12"/>
        <v>0</v>
      </c>
      <c r="H88" s="20">
        <f t="shared" si="12"/>
        <v>0</v>
      </c>
      <c r="I88" s="20">
        <f t="shared" si="12"/>
        <v>0</v>
      </c>
      <c r="J88" s="20">
        <f t="shared" si="12"/>
        <v>0</v>
      </c>
      <c r="K88" s="20">
        <f t="shared" si="12"/>
        <v>0</v>
      </c>
      <c r="L88" s="20">
        <f t="shared" si="12"/>
        <v>0</v>
      </c>
      <c r="M88" s="20">
        <f t="shared" si="12"/>
        <v>0</v>
      </c>
      <c r="N88" s="20">
        <f t="shared" si="12"/>
        <v>0</v>
      </c>
      <c r="O88" s="20">
        <f t="shared" si="12"/>
        <v>0</v>
      </c>
    </row>
    <row r="89" spans="1:15" ht="15.75" thickBot="1">
      <c r="A89" s="39"/>
      <c r="B89" s="7"/>
      <c r="C89" s="10"/>
      <c r="D89" s="139"/>
      <c r="E89" s="463"/>
      <c r="F89" s="464"/>
      <c r="G89" s="464"/>
      <c r="H89" s="464"/>
      <c r="I89" s="464"/>
      <c r="J89" s="464"/>
      <c r="K89" s="464"/>
      <c r="L89" s="464"/>
      <c r="M89" s="464"/>
      <c r="N89" s="464"/>
      <c r="O89" s="464"/>
    </row>
    <row r="90" spans="1:15">
      <c r="A90" s="39"/>
      <c r="B90" s="4" t="s">
        <v>12</v>
      </c>
      <c r="C90" s="466" t="str">
        <f>Summary!B26</f>
        <v>A12</v>
      </c>
      <c r="D90" s="830"/>
      <c r="E90" s="156" t="str">
        <f>Summary!C26</f>
        <v>Waste - Avoided Abortive Advisory Costs Clyde Valley</v>
      </c>
      <c r="F90" s="5"/>
      <c r="G90" s="5"/>
      <c r="H90" s="5"/>
      <c r="I90" s="5"/>
      <c r="J90" s="5"/>
      <c r="K90" s="5"/>
      <c r="L90" s="5"/>
      <c r="M90" s="5"/>
      <c r="N90" s="5"/>
      <c r="O90" s="5"/>
    </row>
    <row r="91" spans="1:15">
      <c r="A91" s="39"/>
      <c r="B91" s="7" t="s">
        <v>189</v>
      </c>
      <c r="C91" s="134" t="str">
        <f>'A12 Waste Avoided Abort Cost CV'!D47</f>
        <v>A - High</v>
      </c>
      <c r="D91" s="829"/>
      <c r="E91" s="176">
        <f>VLOOKUP(C91,'Confidence Factors'!$B$6:$D$9,3)</f>
        <v>1</v>
      </c>
      <c r="F91" s="8"/>
      <c r="G91" s="8"/>
      <c r="H91" s="8"/>
      <c r="I91" s="8"/>
      <c r="J91" s="8"/>
      <c r="K91" s="8"/>
      <c r="L91" s="8"/>
      <c r="M91" s="8"/>
      <c r="N91" s="8"/>
      <c r="O91" s="8"/>
    </row>
    <row r="92" spans="1:15">
      <c r="A92" s="39"/>
      <c r="B92" s="7" t="s">
        <v>30</v>
      </c>
      <c r="C92" s="128">
        <f>SUM(E92:O92)</f>
        <v>77000</v>
      </c>
      <c r="D92" s="836"/>
      <c r="E92" s="177">
        <v>0</v>
      </c>
      <c r="F92" s="454">
        <f>'A12 Waste Avoided Abort Cost CV'!D70*'A12 Waste Avoided Abort Cost CV'!D75*'Calcs - Scen 2'!E91</f>
        <v>77000</v>
      </c>
      <c r="G92" s="3">
        <v>0</v>
      </c>
      <c r="H92" s="3">
        <v>0</v>
      </c>
      <c r="I92" s="3">
        <v>0</v>
      </c>
      <c r="J92" s="3">
        <v>0</v>
      </c>
      <c r="K92" s="3">
        <v>0</v>
      </c>
      <c r="L92" s="3">
        <v>0</v>
      </c>
      <c r="M92" s="3">
        <v>0</v>
      </c>
      <c r="N92" s="3">
        <v>0</v>
      </c>
      <c r="O92" s="3">
        <v>0</v>
      </c>
    </row>
    <row r="93" spans="1:15">
      <c r="A93" s="39"/>
      <c r="B93" s="7" t="s">
        <v>31</v>
      </c>
      <c r="C93" s="129">
        <f>NPV($C$7,G92:O92)+E92+F92</f>
        <v>77000</v>
      </c>
      <c r="D93" s="837"/>
      <c r="E93" s="7"/>
      <c r="F93" s="8"/>
      <c r="G93" s="8"/>
      <c r="H93" s="8"/>
      <c r="I93" s="8"/>
      <c r="J93" s="8"/>
      <c r="K93" s="8"/>
      <c r="L93" s="8"/>
      <c r="M93" s="8"/>
      <c r="N93" s="8"/>
      <c r="O93" s="8"/>
    </row>
    <row r="94" spans="1:15">
      <c r="A94" s="39"/>
      <c r="B94" s="7" t="s">
        <v>4</v>
      </c>
      <c r="C94" s="130" t="str">
        <f>IF(SUM(E94:O94)&gt;1,"CHECK"," ")</f>
        <v xml:space="preserve"> </v>
      </c>
      <c r="D94" s="270"/>
      <c r="E94" s="178">
        <v>0</v>
      </c>
      <c r="F94" s="15">
        <v>1</v>
      </c>
      <c r="G94" s="15"/>
      <c r="H94" s="15"/>
      <c r="I94" s="15"/>
      <c r="J94" s="15"/>
      <c r="K94" s="15"/>
      <c r="L94" s="15"/>
      <c r="M94" s="15"/>
      <c r="N94" s="15"/>
      <c r="O94" s="15"/>
    </row>
    <row r="95" spans="1:15" ht="15.75" thickBot="1">
      <c r="A95" s="39"/>
      <c r="B95" s="7"/>
      <c r="C95" s="10"/>
      <c r="D95" s="139" t="s">
        <v>842</v>
      </c>
      <c r="E95" s="179">
        <f>IF(E94&gt;0,(E94*$C93),0)</f>
        <v>0</v>
      </c>
      <c r="F95" s="20">
        <f t="shared" ref="F95:O95" si="13">IF(F94&gt;0,(F94*$C93),0)</f>
        <v>77000</v>
      </c>
      <c r="G95" s="20">
        <f t="shared" si="13"/>
        <v>0</v>
      </c>
      <c r="H95" s="20">
        <f t="shared" si="13"/>
        <v>0</v>
      </c>
      <c r="I95" s="20">
        <f t="shared" si="13"/>
        <v>0</v>
      </c>
      <c r="J95" s="20">
        <f t="shared" si="13"/>
        <v>0</v>
      </c>
      <c r="K95" s="20">
        <f t="shared" si="13"/>
        <v>0</v>
      </c>
      <c r="L95" s="20">
        <f t="shared" si="13"/>
        <v>0</v>
      </c>
      <c r="M95" s="20">
        <f t="shared" si="13"/>
        <v>0</v>
      </c>
      <c r="N95" s="20">
        <f t="shared" si="13"/>
        <v>0</v>
      </c>
      <c r="O95" s="20">
        <f t="shared" si="13"/>
        <v>0</v>
      </c>
    </row>
    <row r="96" spans="1:15" ht="15.75" thickBot="1">
      <c r="A96" s="39"/>
      <c r="B96" s="7"/>
      <c r="C96" s="10"/>
      <c r="D96" s="139"/>
      <c r="E96" s="463"/>
      <c r="F96" s="464"/>
      <c r="G96" s="464"/>
      <c r="H96" s="464"/>
      <c r="I96" s="464"/>
      <c r="J96" s="464"/>
      <c r="K96" s="464"/>
      <c r="L96" s="464"/>
      <c r="M96" s="464"/>
      <c r="N96" s="464"/>
      <c r="O96" s="464"/>
    </row>
    <row r="97" spans="1:15">
      <c r="A97" s="39"/>
      <c r="B97" s="4" t="s">
        <v>12</v>
      </c>
      <c r="C97" s="466" t="str">
        <f>'A13 Waste Avoid Advisor Non CV '!D10</f>
        <v>A13</v>
      </c>
      <c r="D97" s="830"/>
      <c r="E97" s="156" t="str">
        <f>Summary!C27</f>
        <v>Waste - Avoided Advisory Costs - Projects other than Clyde Valley</v>
      </c>
      <c r="F97" s="5"/>
      <c r="G97" s="5"/>
      <c r="H97" s="5"/>
      <c r="I97" s="5"/>
      <c r="J97" s="5"/>
      <c r="K97" s="5"/>
      <c r="L97" s="5"/>
      <c r="M97" s="5"/>
      <c r="N97" s="5"/>
      <c r="O97" s="5"/>
    </row>
    <row r="98" spans="1:15">
      <c r="A98" s="39"/>
      <c r="B98" s="7" t="s">
        <v>189</v>
      </c>
      <c r="C98" s="134" t="str">
        <f>'A13 Waste Avoid Advisor Non CV '!D47</f>
        <v>C - Good</v>
      </c>
      <c r="D98" s="829"/>
      <c r="E98" s="176">
        <f>VLOOKUP(C98,'Confidence Factors'!$B$6:$D$9,3)</f>
        <v>0.75</v>
      </c>
      <c r="F98" s="8"/>
      <c r="G98" s="8"/>
      <c r="H98" s="8"/>
      <c r="I98" s="8"/>
      <c r="J98" s="8"/>
      <c r="K98" s="8"/>
      <c r="L98" s="8"/>
      <c r="M98" s="8"/>
      <c r="N98" s="8"/>
      <c r="O98" s="8"/>
    </row>
    <row r="99" spans="1:15">
      <c r="A99" s="39"/>
      <c r="B99" s="7" t="s">
        <v>30</v>
      </c>
      <c r="C99" s="128">
        <f>SUM(E99:O99)</f>
        <v>231000</v>
      </c>
      <c r="D99" s="836"/>
      <c r="E99" s="177">
        <v>0</v>
      </c>
      <c r="F99" s="454">
        <f>'A12 Waste Avoided Abort Cost CV'!D77*'A12 Waste Avoided Abort Cost CV'!D82*'Calcs - Scen 2'!E98</f>
        <v>0</v>
      </c>
      <c r="G99" s="454">
        <f>'A13 Waste Avoid Advisor Non CV '!H74*'A13 Waste Avoid Advisor Non CV '!D75*'Calcs - Scen 2'!E98</f>
        <v>57750</v>
      </c>
      <c r="H99" s="3">
        <v>0</v>
      </c>
      <c r="I99" s="3">
        <f>'A13 Waste Avoid Advisor Non CV '!J74*'A13 Waste Avoid Advisor Non CV '!D75*'Calcs - Scen 2'!E98</f>
        <v>57750</v>
      </c>
      <c r="J99" s="3">
        <f>'A13 Waste Avoid Advisor Non CV '!K74*'A13 Waste Avoid Advisor Non CV '!D75*'Calcs - Scen 2'!E98</f>
        <v>115500</v>
      </c>
      <c r="K99" s="3">
        <v>0</v>
      </c>
      <c r="L99" s="3">
        <v>0</v>
      </c>
      <c r="M99" s="3">
        <v>0</v>
      </c>
      <c r="N99" s="3">
        <v>0</v>
      </c>
      <c r="O99" s="3">
        <v>0</v>
      </c>
    </row>
    <row r="100" spans="1:15">
      <c r="A100" s="39"/>
      <c r="B100" s="7" t="s">
        <v>31</v>
      </c>
      <c r="C100" s="129">
        <f>NPV($C$7,G99:O99)+E99+F99</f>
        <v>208535.87000078877</v>
      </c>
      <c r="D100" s="837"/>
      <c r="E100" s="7"/>
      <c r="F100" s="8"/>
      <c r="G100" s="8"/>
      <c r="H100" s="8"/>
      <c r="I100" s="8"/>
      <c r="J100" s="8"/>
      <c r="K100" s="8"/>
      <c r="L100" s="8"/>
      <c r="M100" s="8"/>
      <c r="N100" s="8"/>
      <c r="O100" s="8"/>
    </row>
    <row r="101" spans="1:15">
      <c r="A101" s="39"/>
      <c r="B101" s="7" t="s">
        <v>4</v>
      </c>
      <c r="C101" s="130" t="str">
        <f>IF(SUM(E101:O101)&gt;1,"CHECK"," ")</f>
        <v xml:space="preserve"> </v>
      </c>
      <c r="D101" s="270"/>
      <c r="E101" s="178">
        <v>0.2</v>
      </c>
      <c r="F101" s="15">
        <v>0.3</v>
      </c>
      <c r="G101" s="15">
        <v>0.3</v>
      </c>
      <c r="H101" s="15">
        <v>0.2</v>
      </c>
      <c r="I101" s="15"/>
      <c r="J101" s="15"/>
      <c r="K101" s="15"/>
      <c r="L101" s="15"/>
      <c r="M101" s="15"/>
      <c r="N101" s="15"/>
      <c r="O101" s="15"/>
    </row>
    <row r="102" spans="1:15" ht="15.75" thickBot="1">
      <c r="A102" s="39"/>
      <c r="B102" s="7"/>
      <c r="C102" s="10"/>
      <c r="D102" s="139" t="s">
        <v>842</v>
      </c>
      <c r="E102" s="179">
        <f>IF(E101&gt;0,(E101*$C100),0)</f>
        <v>41707.174000157756</v>
      </c>
      <c r="F102" s="20">
        <f t="shared" ref="F102:O102" si="14">IF(F101&gt;0,(F101*$C100),0)</f>
        <v>62560.761000236627</v>
      </c>
      <c r="G102" s="20">
        <f t="shared" si="14"/>
        <v>62560.761000236627</v>
      </c>
      <c r="H102" s="20">
        <f t="shared" si="14"/>
        <v>41707.174000157756</v>
      </c>
      <c r="I102" s="20">
        <f t="shared" si="14"/>
        <v>0</v>
      </c>
      <c r="J102" s="20">
        <f t="shared" si="14"/>
        <v>0</v>
      </c>
      <c r="K102" s="20">
        <f t="shared" si="14"/>
        <v>0</v>
      </c>
      <c r="L102" s="20">
        <f t="shared" si="14"/>
        <v>0</v>
      </c>
      <c r="M102" s="20">
        <f t="shared" si="14"/>
        <v>0</v>
      </c>
      <c r="N102" s="20">
        <f t="shared" si="14"/>
        <v>0</v>
      </c>
      <c r="O102" s="20">
        <f t="shared" si="14"/>
        <v>0</v>
      </c>
    </row>
    <row r="103" spans="1:15" ht="15.75" thickBot="1">
      <c r="A103" s="39"/>
      <c r="B103" s="7"/>
      <c r="C103" s="10"/>
      <c r="D103" s="139"/>
      <c r="E103" s="463"/>
      <c r="F103" s="464"/>
      <c r="G103" s="464"/>
      <c r="H103" s="464"/>
      <c r="I103" s="464"/>
      <c r="J103" s="464"/>
      <c r="K103" s="464"/>
      <c r="L103" s="464"/>
      <c r="M103" s="464"/>
      <c r="N103" s="464"/>
      <c r="O103" s="464"/>
    </row>
    <row r="104" spans="1:15">
      <c r="A104" s="39"/>
      <c r="B104" s="4" t="s">
        <v>12</v>
      </c>
      <c r="C104" s="466" t="str">
        <f>Summary!B28</f>
        <v>A14</v>
      </c>
      <c r="D104" s="830"/>
      <c r="E104" s="156" t="str">
        <f>Summary!C28</f>
        <v>Waste - Avoided Advisory Costs - Clyde Valley</v>
      </c>
      <c r="F104" s="5"/>
      <c r="G104" s="5"/>
      <c r="H104" s="5"/>
      <c r="I104" s="5"/>
      <c r="J104" s="5"/>
      <c r="K104" s="5"/>
      <c r="L104" s="5"/>
      <c r="M104" s="5"/>
      <c r="N104" s="5"/>
      <c r="O104" s="5"/>
    </row>
    <row r="105" spans="1:15">
      <c r="A105" s="39"/>
      <c r="B105" s="7" t="s">
        <v>189</v>
      </c>
      <c r="C105" s="134" t="str">
        <f>'A14 Waste Avoid Advisor CV '!D47</f>
        <v>D - Moderate</v>
      </c>
      <c r="D105" s="829"/>
      <c r="E105" s="176">
        <f>VLOOKUP(C105,'Confidence Factors'!$B$6:$D$9,3)</f>
        <v>0.55000000000000004</v>
      </c>
      <c r="F105" s="8"/>
      <c r="G105" s="8"/>
      <c r="H105" s="8"/>
      <c r="I105" s="8"/>
      <c r="J105" s="8"/>
      <c r="K105" s="8"/>
      <c r="L105" s="8"/>
      <c r="M105" s="8"/>
      <c r="N105" s="8"/>
      <c r="O105" s="8"/>
    </row>
    <row r="106" spans="1:15">
      <c r="A106" s="39"/>
      <c r="B106" s="7" t="s">
        <v>30</v>
      </c>
      <c r="C106" s="128">
        <f>SUM(E106:O106)</f>
        <v>28205.100000000002</v>
      </c>
      <c r="D106" s="836"/>
      <c r="E106" s="177">
        <v>0</v>
      </c>
      <c r="F106" s="454">
        <f>'A12 Waste Avoided Abort Cost CV'!D84*'A12 Waste Avoided Abort Cost CV'!D89*'Calcs - Scen 2'!E105</f>
        <v>0</v>
      </c>
      <c r="G106" s="454">
        <f>'A13 Waste Avoid Advisor Non CV '!H81*'A13 Waste Avoid Advisor Non CV '!D82*'Calcs - Scen 2'!E105</f>
        <v>0</v>
      </c>
      <c r="H106" s="3">
        <v>0</v>
      </c>
      <c r="I106" s="3">
        <f>'A13 Waste Avoid Advisor Non CV '!J81*'A13 Waste Avoid Advisor Non CV '!D82*'Calcs - Scen 2'!E105</f>
        <v>0</v>
      </c>
      <c r="J106" s="3">
        <f>'A14 Waste Avoid Advisor CV '!D70*'A14 Waste Avoid Advisor CV '!D75*'Calcs - Scen 2'!E105</f>
        <v>28205.100000000002</v>
      </c>
      <c r="K106" s="3">
        <v>0</v>
      </c>
      <c r="L106" s="3">
        <v>0</v>
      </c>
      <c r="M106" s="3">
        <v>0</v>
      </c>
      <c r="N106" s="3">
        <v>0</v>
      </c>
      <c r="O106" s="3">
        <v>0</v>
      </c>
    </row>
    <row r="107" spans="1:15">
      <c r="A107" s="39"/>
      <c r="B107" s="7" t="s">
        <v>31</v>
      </c>
      <c r="C107" s="129">
        <f>NPV($C$7,G106:O106)+E106+F106</f>
        <v>24579.115176461008</v>
      </c>
      <c r="D107" s="837"/>
      <c r="E107" s="7"/>
      <c r="F107" s="8"/>
      <c r="G107" s="8"/>
      <c r="H107" s="8"/>
      <c r="I107" s="8"/>
      <c r="J107" s="8"/>
      <c r="K107" s="8"/>
      <c r="L107" s="8"/>
      <c r="M107" s="8"/>
      <c r="N107" s="8"/>
      <c r="O107" s="8"/>
    </row>
    <row r="108" spans="1:15">
      <c r="A108" s="39"/>
      <c r="B108" s="7" t="s">
        <v>4</v>
      </c>
      <c r="C108" s="130" t="str">
        <f>IF(SUM(E108:O108)&gt;1,"CHECK"," ")</f>
        <v xml:space="preserve"> </v>
      </c>
      <c r="D108" s="270"/>
      <c r="E108" s="178">
        <v>0</v>
      </c>
      <c r="F108" s="15">
        <f>1/3</f>
        <v>0.33333333333333331</v>
      </c>
      <c r="G108" s="15">
        <f>1/3</f>
        <v>0.33333333333333331</v>
      </c>
      <c r="H108" s="15">
        <f>1/3</f>
        <v>0.33333333333333331</v>
      </c>
      <c r="I108" s="15"/>
      <c r="J108" s="15"/>
      <c r="K108" s="15"/>
      <c r="L108" s="15"/>
      <c r="M108" s="15"/>
      <c r="N108" s="15"/>
      <c r="O108" s="15"/>
    </row>
    <row r="109" spans="1:15" ht="15.75" thickBot="1">
      <c r="A109" s="39"/>
      <c r="B109" s="7"/>
      <c r="C109" s="10"/>
      <c r="D109" s="139" t="s">
        <v>842</v>
      </c>
      <c r="E109" s="179">
        <f>IF(E108&gt;0,(E108*$C107),0)</f>
        <v>0</v>
      </c>
      <c r="F109" s="20">
        <f t="shared" ref="F109:O109" si="15">IF(F108&gt;0,(F108*$C107),0)</f>
        <v>8193.0383921536686</v>
      </c>
      <c r="G109" s="20">
        <f t="shared" si="15"/>
        <v>8193.0383921536686</v>
      </c>
      <c r="H109" s="20">
        <f t="shared" si="15"/>
        <v>8193.0383921536686</v>
      </c>
      <c r="I109" s="20">
        <f t="shared" si="15"/>
        <v>0</v>
      </c>
      <c r="J109" s="20">
        <f t="shared" si="15"/>
        <v>0</v>
      </c>
      <c r="K109" s="20">
        <f t="shared" si="15"/>
        <v>0</v>
      </c>
      <c r="L109" s="20">
        <f t="shared" si="15"/>
        <v>0</v>
      </c>
      <c r="M109" s="20">
        <f t="shared" si="15"/>
        <v>0</v>
      </c>
      <c r="N109" s="20">
        <f t="shared" si="15"/>
        <v>0</v>
      </c>
      <c r="O109" s="20">
        <f t="shared" si="15"/>
        <v>0</v>
      </c>
    </row>
    <row r="110" spans="1:15" ht="15.75" thickBot="1">
      <c r="A110" s="39"/>
      <c r="B110" s="7"/>
      <c r="C110" s="10"/>
      <c r="D110" s="139"/>
      <c r="E110" s="463"/>
      <c r="F110" s="464"/>
      <c r="G110" s="464"/>
      <c r="H110" s="464"/>
      <c r="I110" s="464"/>
      <c r="J110" s="464"/>
      <c r="K110" s="464"/>
      <c r="L110" s="464"/>
      <c r="M110" s="464"/>
      <c r="N110" s="464"/>
      <c r="O110" s="464"/>
    </row>
    <row r="111" spans="1:15">
      <c r="A111" s="39"/>
      <c r="B111" s="4" t="s">
        <v>12</v>
      </c>
      <c r="C111" s="466" t="str">
        <f>Summary!B29</f>
        <v>A15</v>
      </c>
      <c r="D111" s="830"/>
      <c r="E111" s="156" t="str">
        <f>Summary!C29</f>
        <v xml:space="preserve">Waste - Avoided Disposal Costs - Clyde Valley </v>
      </c>
      <c r="F111" s="5"/>
      <c r="G111" s="5"/>
      <c r="H111" s="5"/>
      <c r="I111" s="5"/>
      <c r="J111" s="5"/>
      <c r="K111" s="5"/>
      <c r="L111" s="5"/>
      <c r="M111" s="5"/>
      <c r="N111" s="5"/>
      <c r="O111" s="5"/>
    </row>
    <row r="112" spans="1:15">
      <c r="A112" s="39"/>
      <c r="B112" s="7" t="s">
        <v>189</v>
      </c>
      <c r="C112" s="134" t="str">
        <f>'A15 Waste Avoid Disposal Non CV'!D47</f>
        <v>D - Moderate</v>
      </c>
      <c r="D112" s="829"/>
      <c r="E112" s="176">
        <f>VLOOKUP(C112,'Confidence Factors'!$B$6:$D$9,3)</f>
        <v>0.55000000000000004</v>
      </c>
      <c r="F112" s="8"/>
      <c r="G112" s="8"/>
      <c r="H112" s="8"/>
      <c r="I112" s="8"/>
      <c r="J112" s="8"/>
      <c r="K112" s="8"/>
      <c r="L112" s="8"/>
      <c r="M112" s="8"/>
      <c r="N112" s="8"/>
      <c r="O112" s="8"/>
    </row>
    <row r="113" spans="1:15">
      <c r="A113" s="39"/>
      <c r="B113" s="7" t="s">
        <v>30</v>
      </c>
      <c r="C113" s="128">
        <f>SUM(E113:O113)</f>
        <v>48076.875000000007</v>
      </c>
      <c r="D113" s="836"/>
      <c r="E113" s="177">
        <v>0</v>
      </c>
      <c r="F113" s="454">
        <f>'A12 Waste Avoided Abort Cost CV'!D91*'A12 Waste Avoided Abort Cost CV'!D96*'Calcs - Scen 2'!E112</f>
        <v>0</v>
      </c>
      <c r="G113" s="454">
        <f>'A13 Waste Avoid Advisor Non CV '!H88*'A13 Waste Avoid Advisor Non CV '!D89*'Calcs - Scen 2'!E112</f>
        <v>0</v>
      </c>
      <c r="H113" s="3">
        <v>0</v>
      </c>
      <c r="I113" s="3">
        <f>'A13 Waste Avoid Advisor Non CV '!J88*'A13 Waste Avoid Advisor Non CV '!D89*'Calcs - Scen 2'!E112</f>
        <v>0</v>
      </c>
      <c r="J113" s="3">
        <f>'A14 Waste Avoid Advisor CV '!D77*'A14 Waste Avoid Advisor CV '!D82*'Calcs - Scen 2'!E112</f>
        <v>0</v>
      </c>
      <c r="K113" s="3">
        <v>0</v>
      </c>
      <c r="L113" s="3">
        <v>0</v>
      </c>
      <c r="M113" s="3">
        <f>'A15 Waste Avoid Disposal Non CV'!D70*'A15 Waste Avoid Disposal Non CV'!D75*'Calcs - Scen 2'!E112</f>
        <v>48076.875000000007</v>
      </c>
      <c r="N113" s="3">
        <v>0</v>
      </c>
      <c r="O113" s="3">
        <v>0</v>
      </c>
    </row>
    <row r="114" spans="1:15">
      <c r="A114" s="39"/>
      <c r="B114" s="7" t="s">
        <v>31</v>
      </c>
      <c r="C114" s="129">
        <f>NPV($C$7,G113:O113)+E113+F113</f>
        <v>37787.989167925902</v>
      </c>
      <c r="D114" s="837"/>
      <c r="E114" s="7"/>
      <c r="F114" s="8"/>
      <c r="G114" s="8"/>
      <c r="H114" s="8"/>
      <c r="I114" s="8"/>
      <c r="J114" s="8"/>
      <c r="K114" s="8"/>
      <c r="L114" s="8"/>
      <c r="M114" s="8"/>
      <c r="N114" s="8"/>
      <c r="O114" s="8"/>
    </row>
    <row r="115" spans="1:15">
      <c r="A115" s="39"/>
      <c r="B115" s="7" t="s">
        <v>4</v>
      </c>
      <c r="C115" s="130" t="str">
        <f>IF(SUM(E115:O115)&gt;1,"CHECK"," ")</f>
        <v xml:space="preserve"> </v>
      </c>
      <c r="D115" s="270"/>
      <c r="E115" s="178">
        <v>0</v>
      </c>
      <c r="F115" s="15">
        <f>1/3</f>
        <v>0.33333333333333331</v>
      </c>
      <c r="G115" s="15">
        <v>0.33300000000000002</v>
      </c>
      <c r="H115" s="15">
        <v>0.33300000000000002</v>
      </c>
      <c r="I115" s="15"/>
      <c r="J115" s="15"/>
      <c r="K115" s="15"/>
      <c r="L115" s="15"/>
      <c r="M115" s="15"/>
      <c r="N115" s="15"/>
      <c r="O115" s="15"/>
    </row>
    <row r="116" spans="1:15" ht="15.75" thickBot="1">
      <c r="A116" s="39"/>
      <c r="B116" s="7"/>
      <c r="C116" s="10"/>
      <c r="D116" s="139" t="s">
        <v>842</v>
      </c>
      <c r="E116" s="179">
        <f>IF(E115&gt;0,(E115*$C114),0)</f>
        <v>0</v>
      </c>
      <c r="F116" s="20">
        <f t="shared" ref="F116:O116" si="16">IF(F115&gt;0,(F115*$C114),0)</f>
        <v>12595.996389308633</v>
      </c>
      <c r="G116" s="20">
        <f t="shared" si="16"/>
        <v>12583.400392919326</v>
      </c>
      <c r="H116" s="20">
        <f t="shared" si="16"/>
        <v>12583.400392919326</v>
      </c>
      <c r="I116" s="20">
        <f t="shared" si="16"/>
        <v>0</v>
      </c>
      <c r="J116" s="20">
        <f t="shared" si="16"/>
        <v>0</v>
      </c>
      <c r="K116" s="20">
        <f t="shared" si="16"/>
        <v>0</v>
      </c>
      <c r="L116" s="20">
        <f t="shared" si="16"/>
        <v>0</v>
      </c>
      <c r="M116" s="20">
        <f t="shared" si="16"/>
        <v>0</v>
      </c>
      <c r="N116" s="20">
        <f t="shared" si="16"/>
        <v>0</v>
      </c>
      <c r="O116" s="20">
        <f t="shared" si="16"/>
        <v>0</v>
      </c>
    </row>
    <row r="117" spans="1:15" ht="15.75" thickBot="1">
      <c r="A117" s="39"/>
      <c r="B117" s="7"/>
      <c r="C117" s="10"/>
      <c r="D117" s="139"/>
      <c r="E117" s="463"/>
      <c r="F117" s="464"/>
      <c r="G117" s="464"/>
      <c r="H117" s="464"/>
      <c r="I117" s="464"/>
      <c r="J117" s="464"/>
      <c r="K117" s="464"/>
      <c r="L117" s="464"/>
      <c r="M117" s="464"/>
      <c r="N117" s="464"/>
      <c r="O117" s="464"/>
    </row>
    <row r="118" spans="1:15">
      <c r="A118" s="39"/>
      <c r="B118" s="4" t="s">
        <v>12</v>
      </c>
      <c r="C118" s="466" t="str">
        <f>Summary!B30</f>
        <v>A16</v>
      </c>
      <c r="D118" s="830"/>
      <c r="E118" s="156" t="str">
        <f>Summary!C30</f>
        <v>Waste - Food Treatment Support</v>
      </c>
      <c r="F118" s="5"/>
      <c r="G118" s="5"/>
      <c r="H118" s="5"/>
      <c r="I118" s="5"/>
      <c r="J118" s="5"/>
      <c r="K118" s="5"/>
      <c r="L118" s="5"/>
      <c r="M118" s="5"/>
      <c r="N118" s="5"/>
      <c r="O118" s="5"/>
    </row>
    <row r="119" spans="1:15">
      <c r="A119" s="39"/>
      <c r="B119" s="7" t="s">
        <v>189</v>
      </c>
      <c r="C119" s="134" t="str">
        <f>'A16 Waste Food Treatment Suppor'!D47</f>
        <v>A - High</v>
      </c>
      <c r="D119" s="829"/>
      <c r="E119" s="176">
        <f>VLOOKUP(C119,'Confidence Factors'!$B$6:$D$9,3)</f>
        <v>1</v>
      </c>
      <c r="F119" s="8"/>
      <c r="G119" s="8"/>
      <c r="H119" s="8"/>
      <c r="I119" s="8"/>
      <c r="J119" s="8"/>
      <c r="K119" s="8"/>
      <c r="L119" s="8"/>
      <c r="M119" s="8"/>
      <c r="N119" s="8"/>
      <c r="O119" s="8"/>
    </row>
    <row r="120" spans="1:15">
      <c r="A120" s="39"/>
      <c r="B120" s="7" t="s">
        <v>30</v>
      </c>
      <c r="C120" s="128">
        <f>SUM(E120:O120)</f>
        <v>12000</v>
      </c>
      <c r="D120" s="836"/>
      <c r="E120" s="177">
        <v>0</v>
      </c>
      <c r="F120" s="454">
        <f>'A16 Waste Food Treatment Suppor'!D70*'A16 Waste Food Treatment Suppor'!D75*'Calcs - Scen 2'!E119</f>
        <v>12000</v>
      </c>
      <c r="G120" s="454"/>
      <c r="H120" s="454"/>
      <c r="I120" s="454"/>
      <c r="J120" s="454"/>
      <c r="K120" s="454"/>
      <c r="L120" s="454"/>
      <c r="M120" s="454"/>
      <c r="N120" s="454"/>
      <c r="O120" s="454"/>
    </row>
    <row r="121" spans="1:15">
      <c r="A121" s="39"/>
      <c r="B121" s="7" t="s">
        <v>31</v>
      </c>
      <c r="C121" s="129">
        <f>NPV($C$7,G120:O120)+E120+F120</f>
        <v>12000</v>
      </c>
      <c r="D121" s="837"/>
      <c r="E121" s="7"/>
      <c r="F121" s="8"/>
      <c r="G121" s="8"/>
      <c r="H121" s="8"/>
      <c r="I121" s="8"/>
      <c r="J121" s="8"/>
      <c r="K121" s="8"/>
      <c r="L121" s="8"/>
      <c r="M121" s="8"/>
      <c r="N121" s="8"/>
      <c r="O121" s="8"/>
    </row>
    <row r="122" spans="1:15">
      <c r="A122" s="39"/>
      <c r="B122" s="7" t="s">
        <v>4</v>
      </c>
      <c r="C122" s="130" t="str">
        <f>IF(SUM(E122:O122)&gt;1,"CHECK"," ")</f>
        <v xml:space="preserve"> </v>
      </c>
      <c r="D122" s="270"/>
      <c r="E122" s="178">
        <v>0</v>
      </c>
      <c r="F122" s="15">
        <v>1</v>
      </c>
      <c r="G122" s="15"/>
      <c r="H122" s="15"/>
      <c r="I122" s="15"/>
      <c r="J122" s="15"/>
      <c r="K122" s="15"/>
      <c r="L122" s="15"/>
      <c r="M122" s="15"/>
      <c r="N122" s="15"/>
      <c r="O122" s="15"/>
    </row>
    <row r="123" spans="1:15" ht="15.75" thickBot="1">
      <c r="A123" s="39"/>
      <c r="B123" s="7"/>
      <c r="C123" s="10"/>
      <c r="D123" s="139" t="s">
        <v>842</v>
      </c>
      <c r="E123" s="179">
        <f>IF(E122&gt;0,(E122*$C121),0)</f>
        <v>0</v>
      </c>
      <c r="F123" s="20">
        <f t="shared" ref="F123:O123" si="17">IF(F122&gt;0,(F122*$C121),0)</f>
        <v>12000</v>
      </c>
      <c r="G123" s="20">
        <f t="shared" si="17"/>
        <v>0</v>
      </c>
      <c r="H123" s="20">
        <f t="shared" si="17"/>
        <v>0</v>
      </c>
      <c r="I123" s="20">
        <f t="shared" si="17"/>
        <v>0</v>
      </c>
      <c r="J123" s="20">
        <f t="shared" si="17"/>
        <v>0</v>
      </c>
      <c r="K123" s="20">
        <f t="shared" si="17"/>
        <v>0</v>
      </c>
      <c r="L123" s="20">
        <f t="shared" si="17"/>
        <v>0</v>
      </c>
      <c r="M123" s="20">
        <f t="shared" si="17"/>
        <v>0</v>
      </c>
      <c r="N123" s="20">
        <f t="shared" si="17"/>
        <v>0</v>
      </c>
      <c r="O123" s="20">
        <f t="shared" si="17"/>
        <v>0</v>
      </c>
    </row>
    <row r="124" spans="1:15" ht="15.75" thickBot="1">
      <c r="A124" s="39"/>
      <c r="B124" s="7"/>
      <c r="C124" s="10"/>
      <c r="D124" s="139"/>
      <c r="E124" s="463"/>
      <c r="F124" s="464"/>
      <c r="G124" s="464"/>
      <c r="H124" s="464"/>
      <c r="I124" s="464"/>
      <c r="J124" s="464"/>
      <c r="K124" s="464"/>
      <c r="L124" s="464"/>
      <c r="M124" s="464"/>
      <c r="N124" s="464"/>
      <c r="O124" s="464"/>
    </row>
    <row r="125" spans="1:15">
      <c r="A125" s="39"/>
      <c r="B125" s="4" t="s">
        <v>12</v>
      </c>
      <c r="C125" s="466" t="str">
        <f>Summary!B31</f>
        <v>A17</v>
      </c>
      <c r="D125" s="830"/>
      <c r="E125" s="156" t="str">
        <f>Summary!C31</f>
        <v>Waste - Avoided Future Contract Variations</v>
      </c>
      <c r="F125" s="5"/>
      <c r="G125" s="5"/>
      <c r="H125" s="5"/>
      <c r="I125" s="5"/>
      <c r="J125" s="5"/>
      <c r="K125" s="5"/>
      <c r="L125" s="5"/>
      <c r="M125" s="5"/>
      <c r="N125" s="5"/>
      <c r="O125" s="5"/>
    </row>
    <row r="126" spans="1:15">
      <c r="A126" s="39"/>
      <c r="B126" s="7" t="s">
        <v>189</v>
      </c>
      <c r="C126" s="134" t="str">
        <f>'A17 Wst Avoid Future Variations'!D47</f>
        <v>D - Moderate</v>
      </c>
      <c r="D126" s="829"/>
      <c r="E126" s="176">
        <f>VLOOKUP(C126,'Confidence Factors'!$B$6:$D$9,3)</f>
        <v>0.55000000000000004</v>
      </c>
      <c r="F126" s="8"/>
      <c r="G126" s="8"/>
      <c r="H126" s="8"/>
      <c r="I126" s="8"/>
      <c r="J126" s="8"/>
      <c r="K126" s="8"/>
      <c r="L126" s="8"/>
      <c r="M126" s="8"/>
      <c r="N126" s="8"/>
      <c r="O126" s="8"/>
    </row>
    <row r="127" spans="1:15">
      <c r="A127" s="39"/>
      <c r="B127" s="7" t="s">
        <v>30</v>
      </c>
      <c r="C127" s="128">
        <f>SUM(E127:O127)</f>
        <v>387750.00000000006</v>
      </c>
      <c r="D127" s="836"/>
      <c r="E127" s="177">
        <v>0</v>
      </c>
      <c r="F127" s="454">
        <f>'A12 Waste Avoided Abort Cost CV'!D105*'A12 Waste Avoided Abort Cost CV'!D110*'Calcs - Scen 2'!E126</f>
        <v>0</v>
      </c>
      <c r="G127" s="454">
        <f>'A13 Waste Avoid Advisor Non CV '!H102*'A13 Waste Avoid Advisor Non CV '!D103*'Calcs - Scen 2'!E126</f>
        <v>0</v>
      </c>
      <c r="H127" s="3">
        <v>0</v>
      </c>
      <c r="I127" s="3">
        <f>'A13 Waste Avoid Advisor Non CV '!J102*'A13 Waste Avoid Advisor Non CV '!D103*'Calcs - Scen 2'!E126</f>
        <v>0</v>
      </c>
      <c r="J127" s="3">
        <f>'A16 Waste Food Treatment Suppor'!H82*'A16 Waste Food Treatment Suppor'!D82*'Calcs - Scen 2'!E126</f>
        <v>0</v>
      </c>
      <c r="K127" s="3">
        <f>'A16 Waste Food Treatment Suppor'!I82*'A16 Waste Food Treatment Suppor'!D82*'Calcs - Scen 2'!E126</f>
        <v>0</v>
      </c>
      <c r="L127" s="3">
        <f>'A16 Waste Food Treatment Suppor'!J82*'A16 Waste Food Treatment Suppor'!D82*'Calcs - Scen 2'!E126</f>
        <v>0</v>
      </c>
      <c r="M127" s="3">
        <f>'A17 Wst Avoid Future Variations'!I$73*'A17 Wst Avoid Future Variations'!$D75*'Calcs - Scen 2'!$E126</f>
        <v>129250.00000000001</v>
      </c>
      <c r="N127" s="3">
        <f>'A17 Wst Avoid Future Variations'!J$73*'A17 Wst Avoid Future Variations'!$D75*'Calcs - Scen 2'!$E126</f>
        <v>129250.00000000001</v>
      </c>
      <c r="O127" s="3">
        <f>'A17 Wst Avoid Future Variations'!K$73*'A17 Wst Avoid Future Variations'!$D75*'Calcs - Scen 2'!$E126</f>
        <v>129250.00000000001</v>
      </c>
    </row>
    <row r="128" spans="1:15">
      <c r="A128" s="39"/>
      <c r="B128" s="7" t="s">
        <v>31</v>
      </c>
      <c r="C128" s="129">
        <f>NPV($C$7,G127:O127)+E127+F127</f>
        <v>294578.00346484169</v>
      </c>
      <c r="D128" s="837"/>
      <c r="E128" s="7"/>
      <c r="F128" s="8"/>
      <c r="G128" s="8"/>
      <c r="H128" s="8"/>
      <c r="I128" s="8"/>
      <c r="J128" s="8"/>
      <c r="K128" s="8"/>
      <c r="L128" s="8"/>
      <c r="M128" s="8"/>
      <c r="N128" s="8"/>
      <c r="O128" s="8"/>
    </row>
    <row r="129" spans="1:15">
      <c r="A129" s="39"/>
      <c r="B129" s="7" t="s">
        <v>4</v>
      </c>
      <c r="C129" s="130" t="str">
        <f>IF(SUM(E129:O129)&gt;1,"CHECK"," ")</f>
        <v xml:space="preserve"> </v>
      </c>
      <c r="D129" s="270"/>
      <c r="E129" s="178">
        <f>1/3</f>
        <v>0.33333333333333331</v>
      </c>
      <c r="F129" s="178">
        <f t="shared" ref="F129:G129" si="18">1/3</f>
        <v>0.33333333333333331</v>
      </c>
      <c r="G129" s="178">
        <f t="shared" si="18"/>
        <v>0.33333333333333331</v>
      </c>
      <c r="H129" s="15"/>
      <c r="I129" s="15"/>
      <c r="J129" s="15"/>
      <c r="K129" s="15"/>
      <c r="L129" s="15"/>
      <c r="M129" s="15"/>
      <c r="N129" s="15"/>
      <c r="O129" s="15"/>
    </row>
    <row r="130" spans="1:15" ht="15.75" thickBot="1">
      <c r="A130" s="39"/>
      <c r="B130" s="7"/>
      <c r="C130" s="10"/>
      <c r="D130" s="139" t="s">
        <v>842</v>
      </c>
      <c r="E130" s="179">
        <f>IF(E129&gt;0,(E129*$C128),0)</f>
        <v>98192.667821613897</v>
      </c>
      <c r="F130" s="20">
        <f t="shared" ref="F130:O130" si="19">IF(F129&gt;0,(F129*$C128),0)</f>
        <v>98192.667821613897</v>
      </c>
      <c r="G130" s="20">
        <f t="shared" si="19"/>
        <v>98192.667821613897</v>
      </c>
      <c r="H130" s="20">
        <f t="shared" si="19"/>
        <v>0</v>
      </c>
      <c r="I130" s="20">
        <f t="shared" si="19"/>
        <v>0</v>
      </c>
      <c r="J130" s="20">
        <f t="shared" si="19"/>
        <v>0</v>
      </c>
      <c r="K130" s="20">
        <f t="shared" si="19"/>
        <v>0</v>
      </c>
      <c r="L130" s="20">
        <f t="shared" si="19"/>
        <v>0</v>
      </c>
      <c r="M130" s="20">
        <f t="shared" si="19"/>
        <v>0</v>
      </c>
      <c r="N130" s="20">
        <f t="shared" si="19"/>
        <v>0</v>
      </c>
      <c r="O130" s="20">
        <f t="shared" si="19"/>
        <v>0</v>
      </c>
    </row>
    <row r="131" spans="1:15" ht="15.75" thickBot="1">
      <c r="A131" s="39"/>
      <c r="B131" s="7"/>
      <c r="C131" s="10"/>
      <c r="D131" s="139"/>
      <c r="E131" s="463"/>
      <c r="F131" s="464"/>
      <c r="G131" s="464"/>
      <c r="H131" s="464"/>
      <c r="I131" s="464"/>
      <c r="J131" s="464"/>
      <c r="K131" s="464"/>
      <c r="L131" s="464"/>
      <c r="M131" s="464"/>
      <c r="N131" s="464"/>
      <c r="O131" s="464"/>
    </row>
    <row r="132" spans="1:15">
      <c r="A132" s="39"/>
      <c r="B132" s="4" t="s">
        <v>12</v>
      </c>
      <c r="C132" s="466" t="str">
        <f>Summary!B32</f>
        <v>A18</v>
      </c>
      <c r="D132" s="830"/>
      <c r="E132" s="156" t="str">
        <f>Summary!C32</f>
        <v>Avoided Consultancy Costs - NPD Contract</v>
      </c>
      <c r="F132" s="5"/>
      <c r="G132" s="5"/>
      <c r="H132" s="5"/>
      <c r="I132" s="5"/>
      <c r="J132" s="5"/>
      <c r="K132" s="5"/>
      <c r="L132" s="5"/>
      <c r="M132" s="5"/>
      <c r="N132" s="5"/>
      <c r="O132" s="5"/>
    </row>
    <row r="133" spans="1:15">
      <c r="A133" s="39"/>
      <c r="B133" s="7" t="s">
        <v>189</v>
      </c>
      <c r="C133" s="134" t="str">
        <f>'A18 NPD Contract-Avoid Consulta'!D47</f>
        <v>A - High</v>
      </c>
      <c r="D133" s="829"/>
      <c r="E133" s="176">
        <f>VLOOKUP(C133,'Confidence Factors'!$B$6:$D$9,3)</f>
        <v>1</v>
      </c>
      <c r="F133" s="8"/>
      <c r="G133" s="8"/>
      <c r="H133" s="8"/>
      <c r="I133" s="8"/>
      <c r="J133" s="8"/>
      <c r="K133" s="8"/>
      <c r="L133" s="8"/>
      <c r="M133" s="8"/>
      <c r="N133" s="8"/>
      <c r="O133" s="8"/>
    </row>
    <row r="134" spans="1:15">
      <c r="A134" s="39"/>
      <c r="B134" s="7" t="s">
        <v>30</v>
      </c>
      <c r="C134" s="128">
        <f>SUM(E134:O134)</f>
        <v>74000</v>
      </c>
      <c r="D134" s="836"/>
      <c r="E134" s="177">
        <v>0</v>
      </c>
      <c r="F134" s="454">
        <f>'A18 NPD Contract-Avoid Consulta'!D70*'A18 NPD Contract-Avoid Consulta'!D75*'Calcs - Scen 2'!E133</f>
        <v>74000</v>
      </c>
      <c r="G134" s="454">
        <f>'A13 Waste Avoid Advisor Non CV '!H109*'A13 Waste Avoid Advisor Non CV '!D110*'Calcs - Scen 2'!E133</f>
        <v>0</v>
      </c>
      <c r="H134" s="3">
        <v>0</v>
      </c>
      <c r="I134" s="3">
        <f>'A13 Waste Avoid Advisor Non CV '!J109*'A13 Waste Avoid Advisor Non CV '!D110*'Calcs - Scen 2'!E133</f>
        <v>0</v>
      </c>
      <c r="J134" s="3">
        <f>'A16 Waste Food Treatment Suppor'!H89*'A16 Waste Food Treatment Suppor'!D89*'Calcs - Scen 2'!E133</f>
        <v>0</v>
      </c>
      <c r="K134" s="3">
        <f>'A16 Waste Food Treatment Suppor'!I89*'A16 Waste Food Treatment Suppor'!D89*'Calcs - Scen 2'!E133</f>
        <v>0</v>
      </c>
      <c r="L134" s="3">
        <f>'A16 Waste Food Treatment Suppor'!J89*'A16 Waste Food Treatment Suppor'!D89*'Calcs - Scen 2'!E133</f>
        <v>0</v>
      </c>
      <c r="M134" s="3">
        <f>'A17 Wst Avoid Future Variations'!I80*'A17 Wst Avoid Future Variations'!D82*'Calcs - Scen 2'!E133</f>
        <v>0</v>
      </c>
      <c r="N134" s="3">
        <f>'A17 Wst Avoid Future Variations'!J80*'A17 Wst Avoid Future Variations'!D82*'Calcs - Scen 2'!E133</f>
        <v>0</v>
      </c>
      <c r="O134" s="3">
        <f>'A17 Wst Avoid Future Variations'!K80*'Calcs - Scen 2'!E133</f>
        <v>0</v>
      </c>
    </row>
    <row r="135" spans="1:15">
      <c r="A135" s="39"/>
      <c r="B135" s="7" t="s">
        <v>31</v>
      </c>
      <c r="C135" s="129">
        <f>NPV($C$7,G134:O134)+E134+F134</f>
        <v>74000</v>
      </c>
      <c r="D135" s="837"/>
      <c r="E135" s="7"/>
      <c r="F135" s="8"/>
      <c r="G135" s="8"/>
      <c r="H135" s="8"/>
      <c r="I135" s="8"/>
      <c r="J135" s="8"/>
      <c r="K135" s="8"/>
      <c r="L135" s="8"/>
      <c r="M135" s="8"/>
      <c r="N135" s="8"/>
      <c r="O135" s="8"/>
    </row>
    <row r="136" spans="1:15">
      <c r="A136" s="39"/>
      <c r="B136" s="7" t="s">
        <v>4</v>
      </c>
      <c r="C136" s="130" t="str">
        <f>IF(SUM(E136:O136)&gt;1,"CHECK"," ")</f>
        <v xml:space="preserve"> </v>
      </c>
      <c r="D136" s="270"/>
      <c r="E136" s="178">
        <v>0</v>
      </c>
      <c r="F136" s="15">
        <v>1</v>
      </c>
      <c r="G136" s="15"/>
      <c r="H136" s="15"/>
      <c r="I136" s="15"/>
      <c r="J136" s="15"/>
      <c r="K136" s="15"/>
      <c r="L136" s="15"/>
      <c r="M136" s="15"/>
      <c r="N136" s="15"/>
      <c r="O136" s="15"/>
    </row>
    <row r="137" spans="1:15" ht="15.75" thickBot="1">
      <c r="A137" s="39"/>
      <c r="B137" s="7"/>
      <c r="C137" s="10"/>
      <c r="D137" s="139" t="s">
        <v>847</v>
      </c>
      <c r="E137" s="179">
        <f>IF(E136&gt;0,(E136*$C135),0)</f>
        <v>0</v>
      </c>
      <c r="F137" s="20">
        <f t="shared" ref="F137:O137" si="20">IF(F136&gt;0,(F136*$C135),0)</f>
        <v>74000</v>
      </c>
      <c r="G137" s="20">
        <f t="shared" si="20"/>
        <v>0</v>
      </c>
      <c r="H137" s="20">
        <f t="shared" si="20"/>
        <v>0</v>
      </c>
      <c r="I137" s="20">
        <f t="shared" si="20"/>
        <v>0</v>
      </c>
      <c r="J137" s="20">
        <f t="shared" si="20"/>
        <v>0</v>
      </c>
      <c r="K137" s="20">
        <f t="shared" si="20"/>
        <v>0</v>
      </c>
      <c r="L137" s="20">
        <f t="shared" si="20"/>
        <v>0</v>
      </c>
      <c r="M137" s="20">
        <f t="shared" si="20"/>
        <v>0</v>
      </c>
      <c r="N137" s="20">
        <f t="shared" si="20"/>
        <v>0</v>
      </c>
      <c r="O137" s="20">
        <f t="shared" si="20"/>
        <v>0</v>
      </c>
    </row>
    <row r="138" spans="1:15" ht="15.75" thickBot="1">
      <c r="A138" s="39"/>
      <c r="B138" s="7"/>
      <c r="C138" s="10"/>
      <c r="D138" s="139"/>
      <c r="E138" s="463"/>
      <c r="F138" s="464"/>
      <c r="G138" s="464"/>
      <c r="H138" s="464"/>
      <c r="I138" s="464"/>
      <c r="J138" s="464"/>
      <c r="K138" s="464"/>
      <c r="L138" s="464"/>
      <c r="M138" s="464"/>
      <c r="N138" s="464"/>
      <c r="O138" s="464"/>
    </row>
    <row r="139" spans="1:15">
      <c r="A139" s="39"/>
      <c r="B139" s="4" t="s">
        <v>12</v>
      </c>
      <c r="C139" s="466" t="str">
        <f>Summary!B33</f>
        <v>A19</v>
      </c>
      <c r="D139" s="830"/>
      <c r="E139" s="156" t="str">
        <f>Summary!C33</f>
        <v>hub - Consultancy Costs Avoided</v>
      </c>
      <c r="F139" s="5"/>
      <c r="G139" s="5"/>
      <c r="H139" s="5"/>
      <c r="I139" s="5"/>
      <c r="J139" s="5"/>
      <c r="K139" s="5"/>
      <c r="L139" s="5"/>
      <c r="M139" s="5"/>
      <c r="N139" s="5"/>
      <c r="O139" s="5"/>
    </row>
    <row r="140" spans="1:15">
      <c r="A140" s="39"/>
      <c r="B140" s="7" t="s">
        <v>189</v>
      </c>
      <c r="C140" s="134" t="str">
        <f>'A19 hub consultancy avoided'!D47</f>
        <v>B - Very Good</v>
      </c>
      <c r="D140" s="829"/>
      <c r="E140" s="176">
        <f>VLOOKUP(C140,'Confidence Factors'!$B$6:$D$9,3)</f>
        <v>0.9</v>
      </c>
      <c r="F140" s="8"/>
      <c r="G140" s="8"/>
      <c r="H140" s="8"/>
      <c r="I140" s="8"/>
      <c r="J140" s="8"/>
      <c r="K140" s="8"/>
      <c r="L140" s="8"/>
      <c r="M140" s="8"/>
      <c r="N140" s="8"/>
      <c r="O140" s="8"/>
    </row>
    <row r="141" spans="1:15">
      <c r="A141" s="39"/>
      <c r="B141" s="7" t="s">
        <v>30</v>
      </c>
      <c r="C141" s="128">
        <f>SUM(E141:O141)</f>
        <v>125334</v>
      </c>
      <c r="D141" s="836"/>
      <c r="E141" s="177">
        <v>0</v>
      </c>
      <c r="F141" s="454">
        <f>'A18 NPD Contract-Avoid Consulta'!D77*'A18 NPD Contract-Avoid Consulta'!D82*'Calcs - Scen 2'!E140</f>
        <v>0</v>
      </c>
      <c r="G141" s="454">
        <f>422000*'A19 hub consultancy avoided'!D75*'Calcs - Scen 2'!E140</f>
        <v>125334</v>
      </c>
      <c r="H141" s="3">
        <v>0</v>
      </c>
      <c r="I141" s="3">
        <f>'A13 Waste Avoid Advisor Non CV '!J116*'A13 Waste Avoid Advisor Non CV '!D117*'Calcs - Scen 2'!E140</f>
        <v>0</v>
      </c>
      <c r="J141" s="3">
        <f>'A16 Waste Food Treatment Suppor'!H96*'A16 Waste Food Treatment Suppor'!D96*'Calcs - Scen 2'!E140</f>
        <v>0</v>
      </c>
      <c r="K141" s="3">
        <f>'A16 Waste Food Treatment Suppor'!I96*'A16 Waste Food Treatment Suppor'!D96*'Calcs - Scen 2'!E140</f>
        <v>0</v>
      </c>
      <c r="L141" s="3">
        <f>'A16 Waste Food Treatment Suppor'!J96*'A16 Waste Food Treatment Suppor'!D96*'Calcs - Scen 2'!E140</f>
        <v>0</v>
      </c>
      <c r="M141" s="3">
        <f>'A17 Wst Avoid Future Variations'!I87*'A17 Wst Avoid Future Variations'!D89*'Calcs - Scen 2'!E140</f>
        <v>0</v>
      </c>
      <c r="N141" s="3">
        <f>'A17 Wst Avoid Future Variations'!J87*'A17 Wst Avoid Future Variations'!D89*'Calcs - Scen 2'!E140</f>
        <v>0</v>
      </c>
      <c r="O141" s="3">
        <f>'A17 Wst Avoid Future Variations'!K87*'Calcs - Scen 2'!E140</f>
        <v>0</v>
      </c>
    </row>
    <row r="142" spans="1:15">
      <c r="A142" s="39"/>
      <c r="B142" s="7" t="s">
        <v>31</v>
      </c>
      <c r="C142" s="129">
        <f>NPV($C$7,G141:O141)+E141+F141</f>
        <v>121095.65217391305</v>
      </c>
      <c r="D142" s="837"/>
      <c r="E142" s="7"/>
      <c r="F142" s="8"/>
      <c r="G142" s="8"/>
      <c r="H142" s="8"/>
      <c r="I142" s="8"/>
      <c r="J142" s="8"/>
      <c r="K142" s="8"/>
      <c r="L142" s="8"/>
      <c r="M142" s="8"/>
      <c r="N142" s="8"/>
      <c r="O142" s="8"/>
    </row>
    <row r="143" spans="1:15">
      <c r="A143" s="39"/>
      <c r="B143" s="7" t="s">
        <v>4</v>
      </c>
      <c r="C143" s="130" t="str">
        <f>IF(SUM(E143:O143)&gt;1,"CHECK"," ")</f>
        <v xml:space="preserve"> </v>
      </c>
      <c r="D143" s="270"/>
      <c r="E143" s="178">
        <v>0</v>
      </c>
      <c r="F143" s="15">
        <v>1</v>
      </c>
      <c r="G143" s="15"/>
      <c r="H143" s="15"/>
      <c r="I143" s="15"/>
      <c r="J143" s="15"/>
      <c r="K143" s="15"/>
      <c r="L143" s="15"/>
      <c r="M143" s="15"/>
      <c r="N143" s="15"/>
      <c r="O143" s="15"/>
    </row>
    <row r="144" spans="1:15" ht="15.75" thickBot="1">
      <c r="A144" s="39"/>
      <c r="B144" s="7"/>
      <c r="C144" s="10"/>
      <c r="D144" s="139" t="s">
        <v>93</v>
      </c>
      <c r="E144" s="179">
        <f>IF(E143&gt;0,(E143*$C142),0)</f>
        <v>0</v>
      </c>
      <c r="F144" s="20">
        <f t="shared" ref="F144:O144" si="21">IF(F143&gt;0,(F143*$C142),0)</f>
        <v>121095.65217391305</v>
      </c>
      <c r="G144" s="20">
        <f t="shared" si="21"/>
        <v>0</v>
      </c>
      <c r="H144" s="20">
        <f t="shared" si="21"/>
        <v>0</v>
      </c>
      <c r="I144" s="20">
        <f t="shared" si="21"/>
        <v>0</v>
      </c>
      <c r="J144" s="20">
        <f t="shared" si="21"/>
        <v>0</v>
      </c>
      <c r="K144" s="20">
        <f t="shared" si="21"/>
        <v>0</v>
      </c>
      <c r="L144" s="20">
        <f t="shared" si="21"/>
        <v>0</v>
      </c>
      <c r="M144" s="20">
        <f t="shared" si="21"/>
        <v>0</v>
      </c>
      <c r="N144" s="20">
        <f t="shared" si="21"/>
        <v>0</v>
      </c>
      <c r="O144" s="20">
        <f t="shared" si="21"/>
        <v>0</v>
      </c>
    </row>
    <row r="145" spans="1:15" ht="15.75" thickBot="1">
      <c r="A145" s="39"/>
      <c r="B145" s="7"/>
      <c r="C145" s="10"/>
      <c r="D145" s="139"/>
      <c r="E145" s="463"/>
      <c r="F145" s="464"/>
      <c r="G145" s="464"/>
      <c r="H145" s="464"/>
      <c r="I145" s="464"/>
      <c r="J145" s="464"/>
      <c r="K145" s="464"/>
      <c r="L145" s="464"/>
      <c r="M145" s="464"/>
      <c r="N145" s="464"/>
      <c r="O145" s="464"/>
    </row>
    <row r="146" spans="1:15">
      <c r="A146" s="39"/>
      <c r="B146" s="4" t="s">
        <v>12</v>
      </c>
      <c r="C146" s="466" t="str">
        <f>Summary!B34</f>
        <v>A20</v>
      </c>
      <c r="D146" s="830"/>
      <c r="E146" s="156" t="str">
        <f>Summary!C34</f>
        <v>hub performance management - avoided costs</v>
      </c>
      <c r="F146" s="5"/>
      <c r="G146" s="5"/>
      <c r="H146" s="5"/>
      <c r="I146" s="5"/>
      <c r="J146" s="5"/>
      <c r="K146" s="5"/>
      <c r="L146" s="5"/>
      <c r="M146" s="5"/>
      <c r="N146" s="5"/>
      <c r="O146" s="5"/>
    </row>
    <row r="147" spans="1:15">
      <c r="A147" s="39"/>
      <c r="B147" s="7" t="s">
        <v>189</v>
      </c>
      <c r="C147" s="134" t="str">
        <f>'A20 hub performance mngt'!D47</f>
        <v>B - Very Good</v>
      </c>
      <c r="D147" s="829"/>
      <c r="E147" s="176">
        <f>VLOOKUP(C147,'Confidence Factors'!$B$6:$D$9,3)</f>
        <v>0.9</v>
      </c>
      <c r="F147" s="8"/>
      <c r="G147" s="8"/>
      <c r="H147" s="8"/>
      <c r="I147" s="8"/>
      <c r="J147" s="8"/>
      <c r="K147" s="8"/>
      <c r="L147" s="8"/>
      <c r="M147" s="8"/>
      <c r="N147" s="8"/>
      <c r="O147" s="8"/>
    </row>
    <row r="148" spans="1:15">
      <c r="A148" s="39"/>
      <c r="B148" s="7" t="s">
        <v>30</v>
      </c>
      <c r="C148" s="128">
        <f>SUM(E148:O148)</f>
        <v>51210</v>
      </c>
      <c r="D148" s="836"/>
      <c r="E148" s="177">
        <v>0</v>
      </c>
      <c r="F148" s="454">
        <f>'A18 NPD Contract-Avoid Consulta'!D84*'A18 NPD Contract-Avoid Consulta'!D89*'Calcs - Scen 2'!E147</f>
        <v>0</v>
      </c>
      <c r="G148" s="454">
        <f>(('A20 hub performance mngt'!$D70)/3)*'A20 hub performance mngt'!$D75*'Calcs - Scen 2'!$E147</f>
        <v>17070</v>
      </c>
      <c r="H148" s="454">
        <f>(('A20 hub performance mngt'!$D70)/3)*'A20 hub performance mngt'!$D75*'Calcs - Scen 2'!$E147</f>
        <v>17070</v>
      </c>
      <c r="I148" s="454">
        <f>(('A20 hub performance mngt'!$D70)/3)*'A20 hub performance mngt'!$D75*'Calcs - Scen 2'!$E147</f>
        <v>17070</v>
      </c>
      <c r="J148" s="3">
        <f>'A16 Waste Food Treatment Suppor'!H103*'A16 Waste Food Treatment Suppor'!D103*'Calcs - Scen 2'!E147</f>
        <v>0</v>
      </c>
      <c r="K148" s="3">
        <f>'A16 Waste Food Treatment Suppor'!I103*'A16 Waste Food Treatment Suppor'!D103*'Calcs - Scen 2'!E147</f>
        <v>0</v>
      </c>
      <c r="L148" s="3">
        <f>'A16 Waste Food Treatment Suppor'!J103*'A16 Waste Food Treatment Suppor'!D103*'Calcs - Scen 2'!E147</f>
        <v>0</v>
      </c>
      <c r="M148" s="3">
        <f>'A17 Wst Avoid Future Variations'!I94*'A17 Wst Avoid Future Variations'!D96*'Calcs - Scen 2'!E147</f>
        <v>0</v>
      </c>
      <c r="N148" s="3">
        <f>'A17 Wst Avoid Future Variations'!J94*'A17 Wst Avoid Future Variations'!D96*'Calcs - Scen 2'!E147</f>
        <v>0</v>
      </c>
      <c r="O148" s="3">
        <f>'A17 Wst Avoid Future Variations'!K94*'Calcs - Scen 2'!E147</f>
        <v>0</v>
      </c>
    </row>
    <row r="149" spans="1:15">
      <c r="A149" s="39"/>
      <c r="B149" s="7" t="s">
        <v>31</v>
      </c>
      <c r="C149" s="129">
        <f>NPV($C$7,G148:O148)+E148+F148</f>
        <v>47823.943264196052</v>
      </c>
      <c r="D149" s="837"/>
      <c r="E149" s="7"/>
      <c r="F149" s="8"/>
      <c r="G149" s="8"/>
      <c r="H149" s="8"/>
      <c r="I149" s="8"/>
      <c r="J149" s="8"/>
      <c r="K149" s="8"/>
      <c r="L149" s="8"/>
      <c r="M149" s="8"/>
      <c r="N149" s="8"/>
      <c r="O149" s="8"/>
    </row>
    <row r="150" spans="1:15">
      <c r="A150" s="39"/>
      <c r="B150" s="7" t="s">
        <v>4</v>
      </c>
      <c r="C150" s="130" t="str">
        <f>IF(SUM(E150:O150)&gt;1,"CHECK"," ")</f>
        <v xml:space="preserve"> </v>
      </c>
      <c r="D150" s="270"/>
      <c r="E150" s="178">
        <v>0</v>
      </c>
      <c r="F150" s="15">
        <v>1</v>
      </c>
      <c r="G150" s="15"/>
      <c r="H150" s="15"/>
      <c r="I150" s="15"/>
      <c r="J150" s="15"/>
      <c r="K150" s="15"/>
      <c r="L150" s="15"/>
      <c r="M150" s="15"/>
      <c r="N150" s="15"/>
      <c r="O150" s="15"/>
    </row>
    <row r="151" spans="1:15" ht="15.75" thickBot="1">
      <c r="A151" s="39"/>
      <c r="B151" s="7"/>
      <c r="C151" s="10"/>
      <c r="D151" s="139" t="s">
        <v>93</v>
      </c>
      <c r="E151" s="179">
        <f>IF(E150&gt;0,(E150*$C149),0)</f>
        <v>0</v>
      </c>
      <c r="F151" s="20">
        <f t="shared" ref="F151:O151" si="22">IF(F150&gt;0,(F150*$C149),0)</f>
        <v>47823.943264196052</v>
      </c>
      <c r="G151" s="20">
        <f t="shared" si="22"/>
        <v>0</v>
      </c>
      <c r="H151" s="20">
        <f t="shared" si="22"/>
        <v>0</v>
      </c>
      <c r="I151" s="20">
        <f t="shared" si="22"/>
        <v>0</v>
      </c>
      <c r="J151" s="20">
        <f t="shared" si="22"/>
        <v>0</v>
      </c>
      <c r="K151" s="20">
        <f t="shared" si="22"/>
        <v>0</v>
      </c>
      <c r="L151" s="20">
        <f t="shared" si="22"/>
        <v>0</v>
      </c>
      <c r="M151" s="20">
        <f t="shared" si="22"/>
        <v>0</v>
      </c>
      <c r="N151" s="20">
        <f t="shared" si="22"/>
        <v>0</v>
      </c>
      <c r="O151" s="20">
        <f t="shared" si="22"/>
        <v>0</v>
      </c>
    </row>
    <row r="152" spans="1:15" ht="15.75" thickBot="1">
      <c r="A152" s="39"/>
      <c r="B152" s="7"/>
      <c r="C152" s="10"/>
      <c r="D152" s="139"/>
      <c r="E152" s="463"/>
      <c r="F152" s="464"/>
      <c r="G152" s="464"/>
      <c r="H152" s="464"/>
      <c r="I152" s="464"/>
      <c r="J152" s="464"/>
      <c r="K152" s="464"/>
      <c r="L152" s="464"/>
      <c r="M152" s="464"/>
      <c r="N152" s="464"/>
      <c r="O152" s="464"/>
    </row>
    <row r="153" spans="1:15">
      <c r="A153" s="39"/>
      <c r="B153" s="4" t="s">
        <v>12</v>
      </c>
      <c r="C153" s="466" t="str">
        <f>Summary!B35</f>
        <v>A21</v>
      </c>
      <c r="D153" s="830"/>
      <c r="E153" s="156" t="str">
        <f>Summary!C35</f>
        <v>Asset Management - Avoided Cost of Pilot Development Work (Consultancy Costs Avoided)</v>
      </c>
      <c r="F153" s="5"/>
      <c r="G153" s="5"/>
      <c r="H153" s="5"/>
      <c r="I153" s="5"/>
      <c r="J153" s="5"/>
      <c r="K153" s="5"/>
      <c r="L153" s="5"/>
      <c r="M153" s="5"/>
      <c r="N153" s="5"/>
      <c r="O153" s="5"/>
    </row>
    <row r="154" spans="1:15">
      <c r="A154" s="39"/>
      <c r="B154" s="7" t="s">
        <v>189</v>
      </c>
      <c r="C154" s="134" t="str">
        <f>'A21 Asset Mgt Avoided Dev Work'!D47</f>
        <v>A - High</v>
      </c>
      <c r="D154" s="829"/>
      <c r="E154" s="176">
        <f>VLOOKUP(C154,'Confidence Factors'!$B$6:$D$9,3)</f>
        <v>1</v>
      </c>
      <c r="F154" s="8"/>
      <c r="G154" s="8"/>
      <c r="H154" s="8"/>
      <c r="I154" s="8"/>
      <c r="J154" s="8"/>
      <c r="K154" s="8"/>
      <c r="L154" s="8"/>
      <c r="M154" s="8"/>
      <c r="N154" s="8"/>
      <c r="O154" s="8"/>
    </row>
    <row r="155" spans="1:15">
      <c r="A155" s="39"/>
      <c r="B155" s="7" t="s">
        <v>30</v>
      </c>
      <c r="C155" s="128">
        <f>SUM(E155:O155)</f>
        <v>134000</v>
      </c>
      <c r="D155" s="836"/>
      <c r="E155" s="177">
        <v>0</v>
      </c>
      <c r="F155" s="454">
        <f>'A21 Asset Mgt Avoided Dev Work'!D70*'A21 Asset Mgt Avoided Dev Work'!D75*'Calcs - Scen 2'!E154</f>
        <v>134000</v>
      </c>
      <c r="G155" s="454">
        <f>(('A20 hub performance mngt'!$D77)/3)*'A20 hub performance mngt'!$D82*'Calcs - Scen 2'!$E154</f>
        <v>0</v>
      </c>
      <c r="H155" s="454">
        <f>(('A20 hub performance mngt'!$D77)/3)*'A20 hub performance mngt'!$D82*'Calcs - Scen 2'!$E154</f>
        <v>0</v>
      </c>
      <c r="I155" s="454">
        <f>(('A20 hub performance mngt'!$D77)/3)*'A20 hub performance mngt'!$D82*'Calcs - Scen 2'!$E154</f>
        <v>0</v>
      </c>
      <c r="J155" s="3">
        <f>'A16 Waste Food Treatment Suppor'!H110*'A16 Waste Food Treatment Suppor'!D110*'Calcs - Scen 2'!E154</f>
        <v>0</v>
      </c>
      <c r="K155" s="3">
        <f>'A16 Waste Food Treatment Suppor'!I110*'A16 Waste Food Treatment Suppor'!D110*'Calcs - Scen 2'!E154</f>
        <v>0</v>
      </c>
      <c r="L155" s="3">
        <f>'A16 Waste Food Treatment Suppor'!J110*'A16 Waste Food Treatment Suppor'!D110*'Calcs - Scen 2'!E154</f>
        <v>0</v>
      </c>
      <c r="M155" s="3">
        <f>'A17 Wst Avoid Future Variations'!I101*'A17 Wst Avoid Future Variations'!D103*'Calcs - Scen 2'!E154</f>
        <v>0</v>
      </c>
      <c r="N155" s="3">
        <f>'A17 Wst Avoid Future Variations'!J101*'A17 Wst Avoid Future Variations'!D103*'Calcs - Scen 2'!E154</f>
        <v>0</v>
      </c>
      <c r="O155" s="3">
        <f>'A17 Wst Avoid Future Variations'!K101*'Calcs - Scen 2'!E154</f>
        <v>0</v>
      </c>
    </row>
    <row r="156" spans="1:15">
      <c r="A156" s="39"/>
      <c r="B156" s="7" t="s">
        <v>31</v>
      </c>
      <c r="C156" s="129">
        <f>NPV($C$7,G155:O155)+E155+F155</f>
        <v>134000</v>
      </c>
      <c r="D156" s="837"/>
      <c r="E156" s="7"/>
      <c r="F156" s="8"/>
      <c r="G156" s="8"/>
      <c r="H156" s="8"/>
      <c r="I156" s="8"/>
      <c r="J156" s="8"/>
      <c r="K156" s="8"/>
      <c r="L156" s="8"/>
      <c r="M156" s="8"/>
      <c r="N156" s="8"/>
      <c r="O156" s="8"/>
    </row>
    <row r="157" spans="1:15">
      <c r="A157" s="39"/>
      <c r="B157" s="7" t="s">
        <v>4</v>
      </c>
      <c r="C157" s="130" t="str">
        <f>IF(SUM(E157:O157)&gt;1,"CHECK"," ")</f>
        <v xml:space="preserve"> </v>
      </c>
      <c r="D157" s="270"/>
      <c r="E157" s="178">
        <v>0</v>
      </c>
      <c r="F157" s="15">
        <v>1</v>
      </c>
      <c r="G157" s="15"/>
      <c r="H157" s="15"/>
      <c r="I157" s="15"/>
      <c r="J157" s="15"/>
      <c r="K157" s="15"/>
      <c r="L157" s="15"/>
      <c r="M157" s="15"/>
      <c r="N157" s="15"/>
      <c r="O157" s="15"/>
    </row>
    <row r="158" spans="1:15" ht="15.75" thickBot="1">
      <c r="A158" s="39"/>
      <c r="B158" s="7"/>
      <c r="C158" s="10"/>
      <c r="D158" s="139" t="s">
        <v>93</v>
      </c>
      <c r="E158" s="179">
        <f>IF(E157&gt;0,(E157*$C156),0)</f>
        <v>0</v>
      </c>
      <c r="F158" s="20">
        <f t="shared" ref="F158:O158" si="23">IF(F157&gt;0,(F157*$C156),0)</f>
        <v>134000</v>
      </c>
      <c r="G158" s="20">
        <f t="shared" si="23"/>
        <v>0</v>
      </c>
      <c r="H158" s="20">
        <f t="shared" si="23"/>
        <v>0</v>
      </c>
      <c r="I158" s="20">
        <f t="shared" si="23"/>
        <v>0</v>
      </c>
      <c r="J158" s="20">
        <f t="shared" si="23"/>
        <v>0</v>
      </c>
      <c r="K158" s="20">
        <f t="shared" si="23"/>
        <v>0</v>
      </c>
      <c r="L158" s="20">
        <f t="shared" si="23"/>
        <v>0</v>
      </c>
      <c r="M158" s="20">
        <f t="shared" si="23"/>
        <v>0</v>
      </c>
      <c r="N158" s="20">
        <f t="shared" si="23"/>
        <v>0</v>
      </c>
      <c r="O158" s="20">
        <f t="shared" si="23"/>
        <v>0</v>
      </c>
    </row>
    <row r="159" spans="1:15" ht="15.75" thickBot="1">
      <c r="A159" s="39"/>
      <c r="B159" s="7"/>
      <c r="C159" s="10"/>
      <c r="D159" s="139"/>
      <c r="E159" s="463"/>
      <c r="F159" s="464"/>
      <c r="G159" s="464"/>
      <c r="H159" s="464"/>
      <c r="I159" s="464"/>
      <c r="J159" s="464"/>
      <c r="K159" s="464"/>
      <c r="L159" s="464"/>
      <c r="M159" s="464"/>
      <c r="N159" s="464"/>
      <c r="O159" s="464"/>
    </row>
    <row r="160" spans="1:15">
      <c r="A160" s="39"/>
      <c r="B160" s="4" t="s">
        <v>12</v>
      </c>
      <c r="C160" s="466" t="str">
        <f>Summary!B36</f>
        <v>A22</v>
      </c>
      <c r="D160" s="830"/>
      <c r="E160" s="156" t="str">
        <f>Summary!C36</f>
        <v>Optimism Bias &amp; Contingency Management Review - Development Work</v>
      </c>
      <c r="F160" s="5"/>
      <c r="G160" s="5"/>
      <c r="H160" s="5"/>
      <c r="I160" s="5"/>
      <c r="J160" s="5"/>
      <c r="K160" s="5"/>
      <c r="L160" s="5"/>
      <c r="M160" s="5"/>
      <c r="N160" s="5"/>
      <c r="O160" s="5"/>
    </row>
    <row r="161" spans="1:15">
      <c r="A161" s="39"/>
      <c r="B161" s="7" t="s">
        <v>189</v>
      </c>
      <c r="C161" s="134" t="str">
        <f>'A22 Optimism Bias &amp; Contingency'!D47</f>
        <v>A - High</v>
      </c>
      <c r="D161" s="829"/>
      <c r="E161" s="176">
        <f>VLOOKUP(C161,'Confidence Factors'!$B$6:$D$9,3)</f>
        <v>1</v>
      </c>
      <c r="F161" s="8"/>
      <c r="G161" s="8"/>
      <c r="H161" s="8"/>
      <c r="I161" s="8"/>
      <c r="J161" s="8"/>
      <c r="K161" s="8"/>
      <c r="L161" s="8"/>
      <c r="M161" s="8"/>
      <c r="N161" s="8"/>
      <c r="O161" s="8"/>
    </row>
    <row r="162" spans="1:15">
      <c r="A162" s="39"/>
      <c r="B162" s="7" t="s">
        <v>30</v>
      </c>
      <c r="C162" s="128">
        <f>SUM(E162:O162)</f>
        <v>100000</v>
      </c>
      <c r="D162" s="836"/>
      <c r="E162" s="177">
        <v>0</v>
      </c>
      <c r="F162" s="454">
        <f>(('A22 Optimism Bias &amp; Contingency'!D70)/2)*'A22 Optimism Bias &amp; Contingency'!D75*'Calcs - Scen 2'!E161</f>
        <v>50000</v>
      </c>
      <c r="G162" s="454">
        <f>(('A22 Optimism Bias &amp; Contingency'!D70)/2)*'A22 Optimism Bias &amp; Contingency'!D75*'Calcs - Scen 2'!E161</f>
        <v>50000</v>
      </c>
      <c r="H162" s="454">
        <f>(('A20 hub performance mngt'!$D84)/3)*'A20 hub performance mngt'!$D89*'Calcs - Scen 2'!$E161</f>
        <v>0</v>
      </c>
      <c r="I162" s="454">
        <f>(('A20 hub performance mngt'!$D84)/3)*'A20 hub performance mngt'!$D89*'Calcs - Scen 2'!$E161</f>
        <v>0</v>
      </c>
      <c r="J162" s="3">
        <f>'A16 Waste Food Treatment Suppor'!H117*'A16 Waste Food Treatment Suppor'!D117*'Calcs - Scen 2'!E161</f>
        <v>0</v>
      </c>
      <c r="K162" s="3">
        <f>'A16 Waste Food Treatment Suppor'!I117*'A16 Waste Food Treatment Suppor'!D117*'Calcs - Scen 2'!E161</f>
        <v>0</v>
      </c>
      <c r="L162" s="3">
        <f>'A16 Waste Food Treatment Suppor'!J117*'A16 Waste Food Treatment Suppor'!D117*'Calcs - Scen 2'!E161</f>
        <v>0</v>
      </c>
      <c r="M162" s="3">
        <f>'A17 Wst Avoid Future Variations'!I108*'A17 Wst Avoid Future Variations'!D110*'Calcs - Scen 2'!E161</f>
        <v>0</v>
      </c>
      <c r="N162" s="3">
        <f>'A17 Wst Avoid Future Variations'!J108*'A17 Wst Avoid Future Variations'!D110*'Calcs - Scen 2'!E161</f>
        <v>0</v>
      </c>
      <c r="O162" s="3">
        <f>'A17 Wst Avoid Future Variations'!K108*'Calcs - Scen 2'!E161</f>
        <v>0</v>
      </c>
    </row>
    <row r="163" spans="1:15">
      <c r="A163" s="39"/>
      <c r="B163" s="7" t="s">
        <v>31</v>
      </c>
      <c r="C163" s="129">
        <f>NPV($C$7,G162:O162)+E162+F162</f>
        <v>98309.178743961354</v>
      </c>
      <c r="D163" s="837"/>
      <c r="E163" s="7"/>
      <c r="F163" s="8"/>
      <c r="G163" s="8"/>
      <c r="H163" s="8"/>
      <c r="I163" s="8"/>
      <c r="J163" s="8"/>
      <c r="K163" s="8"/>
      <c r="L163" s="8"/>
      <c r="M163" s="8"/>
      <c r="N163" s="8"/>
      <c r="O163" s="8"/>
    </row>
    <row r="164" spans="1:15">
      <c r="A164" s="39"/>
      <c r="B164" s="7" t="s">
        <v>4</v>
      </c>
      <c r="C164" s="130" t="str">
        <f>IF(SUM(E164:O164)&gt;1,"CHECK"," ")</f>
        <v xml:space="preserve"> </v>
      </c>
      <c r="D164" s="270"/>
      <c r="E164" s="178">
        <v>0</v>
      </c>
      <c r="F164" s="15">
        <v>0.5</v>
      </c>
      <c r="G164" s="15">
        <v>0.5</v>
      </c>
      <c r="H164" s="15"/>
      <c r="I164" s="15"/>
      <c r="J164" s="15"/>
      <c r="K164" s="15"/>
      <c r="L164" s="15"/>
      <c r="M164" s="15"/>
      <c r="N164" s="15"/>
      <c r="O164" s="15"/>
    </row>
    <row r="165" spans="1:15" ht="15.75" thickBot="1">
      <c r="A165" s="39"/>
      <c r="B165" s="7"/>
      <c r="C165" s="10"/>
      <c r="D165" s="139" t="s">
        <v>66</v>
      </c>
      <c r="E165" s="179">
        <f>IF(E164&gt;0,(E164*$C163),0)</f>
        <v>0</v>
      </c>
      <c r="F165" s="20">
        <f t="shared" ref="F165:O165" si="24">IF(F164&gt;0,(F164*$C163),0)</f>
        <v>49154.589371980677</v>
      </c>
      <c r="G165" s="20">
        <f t="shared" si="24"/>
        <v>49154.589371980677</v>
      </c>
      <c r="H165" s="20">
        <f t="shared" si="24"/>
        <v>0</v>
      </c>
      <c r="I165" s="20">
        <f t="shared" si="24"/>
        <v>0</v>
      </c>
      <c r="J165" s="20">
        <f t="shared" si="24"/>
        <v>0</v>
      </c>
      <c r="K165" s="20">
        <f t="shared" si="24"/>
        <v>0</v>
      </c>
      <c r="L165" s="20">
        <f t="shared" si="24"/>
        <v>0</v>
      </c>
      <c r="M165" s="20">
        <f t="shared" si="24"/>
        <v>0</v>
      </c>
      <c r="N165" s="20">
        <f t="shared" si="24"/>
        <v>0</v>
      </c>
      <c r="O165" s="20">
        <f t="shared" si="24"/>
        <v>0</v>
      </c>
    </row>
    <row r="166" spans="1:15" ht="15.75" thickBot="1">
      <c r="A166" s="39"/>
      <c r="B166" s="7"/>
      <c r="C166" s="10"/>
      <c r="D166" s="139"/>
      <c r="E166" s="463"/>
      <c r="F166" s="464"/>
      <c r="G166" s="464"/>
      <c r="H166" s="464"/>
      <c r="I166" s="464"/>
      <c r="J166" s="464"/>
      <c r="K166" s="464"/>
      <c r="L166" s="464"/>
      <c r="M166" s="464"/>
      <c r="N166" s="464"/>
      <c r="O166" s="464"/>
    </row>
    <row r="167" spans="1:15">
      <c r="A167" s="39"/>
      <c r="B167" s="4" t="s">
        <v>12</v>
      </c>
      <c r="C167" s="133" t="str">
        <f>Summary!B37</f>
        <v>B1</v>
      </c>
      <c r="D167" s="828"/>
      <c r="E167" s="156" t="str">
        <f>Summary!C37</f>
        <v xml:space="preserve">TIF - Development of Model </v>
      </c>
      <c r="F167" s="21"/>
      <c r="G167" s="21"/>
      <c r="H167" s="21"/>
      <c r="I167" s="21"/>
      <c r="J167" s="21"/>
      <c r="K167" s="5"/>
      <c r="L167" s="5"/>
      <c r="M167" s="5"/>
      <c r="N167" s="5"/>
      <c r="O167" s="5"/>
    </row>
    <row r="168" spans="1:15">
      <c r="A168" s="39"/>
      <c r="B168" s="7" t="s">
        <v>189</v>
      </c>
      <c r="C168" s="134" t="str">
        <f>'B1 TIF Develop'!D47</f>
        <v>C - Good</v>
      </c>
      <c r="D168" s="829"/>
      <c r="E168" s="176">
        <f>VLOOKUP(C168,'Confidence Factors'!$B$6:$D$9,3)</f>
        <v>0.75</v>
      </c>
      <c r="F168" s="95"/>
      <c r="G168" s="95"/>
      <c r="H168" s="95"/>
      <c r="I168" s="95"/>
      <c r="J168" s="95"/>
      <c r="K168" s="8"/>
      <c r="L168" s="8"/>
      <c r="M168" s="8"/>
      <c r="N168" s="8"/>
      <c r="O168" s="8"/>
    </row>
    <row r="169" spans="1:15">
      <c r="A169" s="39"/>
      <c r="B169" s="7" t="s">
        <v>30</v>
      </c>
      <c r="C169" s="128">
        <f>SUM(E169:O169)</f>
        <v>61355000</v>
      </c>
      <c r="D169" s="836"/>
      <c r="E169" s="180">
        <v>0</v>
      </c>
      <c r="F169" s="19">
        <v>0</v>
      </c>
      <c r="G169" s="19">
        <f>14490000*E168*'B1 TIF Develop'!D75</f>
        <v>3622500</v>
      </c>
      <c r="H169" s="19">
        <f>19100000*E168*'B1 TIF Develop'!D75</f>
        <v>4775000</v>
      </c>
      <c r="I169" s="19">
        <f>49000000*E168*'B1 TIF Develop'!D75</f>
        <v>12250000</v>
      </c>
      <c r="J169" s="19">
        <f>73000000*E168*'B1 TIF Develop'!D75</f>
        <v>18250000</v>
      </c>
      <c r="K169" s="19">
        <f>24240000*E168*'B1 TIF Develop'!D75</f>
        <v>6060000</v>
      </c>
      <c r="L169" s="454">
        <f>13310000*E168*'B1 TIF Develop'!D75</f>
        <v>3327500</v>
      </c>
      <c r="M169" s="454">
        <f>31940000*E168*'B1 TIF Develop'!D75</f>
        <v>7985000</v>
      </c>
      <c r="N169" s="454">
        <f>19090000*E168*'B1 TIF Develop'!D75</f>
        <v>4772500</v>
      </c>
      <c r="O169" s="454">
        <f>1250000*E168*'B1 TIF Develop'!D75</f>
        <v>312500</v>
      </c>
    </row>
    <row r="170" spans="1:15">
      <c r="A170" s="39"/>
      <c r="B170" s="7" t="s">
        <v>31</v>
      </c>
      <c r="C170" s="129">
        <f>NPV($C$7,G169:O169)+E169+F169</f>
        <v>52849133.581190094</v>
      </c>
      <c r="D170" s="837"/>
      <c r="E170" s="7"/>
      <c r="F170" s="8"/>
      <c r="G170" s="8"/>
      <c r="H170" s="8"/>
      <c r="I170" s="8"/>
      <c r="J170" s="8"/>
      <c r="K170" s="8"/>
      <c r="L170" s="8"/>
      <c r="M170" s="8"/>
      <c r="N170" s="8"/>
      <c r="O170" s="8"/>
    </row>
    <row r="171" spans="1:15">
      <c r="A171" s="39"/>
      <c r="B171" s="7" t="s">
        <v>4</v>
      </c>
      <c r="C171" s="130" t="str">
        <f>IF(SUM(E171:O171)&gt;1,"CHECK"," ")</f>
        <v xml:space="preserve"> </v>
      </c>
      <c r="D171" s="270"/>
      <c r="E171" s="178">
        <v>0.5</v>
      </c>
      <c r="F171" s="15">
        <v>0.3</v>
      </c>
      <c r="G171" s="15">
        <v>0.2</v>
      </c>
      <c r="H171" s="15"/>
      <c r="I171" s="15"/>
      <c r="J171" s="15"/>
      <c r="K171" s="15"/>
      <c r="L171" s="15"/>
      <c r="M171" s="15"/>
      <c r="N171" s="15"/>
      <c r="O171" s="15"/>
    </row>
    <row r="172" spans="1:15" ht="15.75" thickBot="1">
      <c r="A172" s="39"/>
      <c r="B172" s="11" t="s">
        <v>32</v>
      </c>
      <c r="C172" s="51"/>
      <c r="D172" s="838" t="s">
        <v>90</v>
      </c>
      <c r="E172" s="179">
        <f>IF(E171&gt;0,(E171*$C170),0)</f>
        <v>26424566.790595047</v>
      </c>
      <c r="F172" s="20">
        <f t="shared" ref="F172:O172" si="25">IF(F171&gt;0,(F171*$C170),0)</f>
        <v>15854740.074357027</v>
      </c>
      <c r="G172" s="20">
        <f t="shared" si="25"/>
        <v>10569826.71623802</v>
      </c>
      <c r="H172" s="20">
        <f t="shared" si="25"/>
        <v>0</v>
      </c>
      <c r="I172" s="20">
        <f t="shared" si="25"/>
        <v>0</v>
      </c>
      <c r="J172" s="20">
        <f t="shared" si="25"/>
        <v>0</v>
      </c>
      <c r="K172" s="20">
        <f t="shared" si="25"/>
        <v>0</v>
      </c>
      <c r="L172" s="20">
        <f t="shared" si="25"/>
        <v>0</v>
      </c>
      <c r="M172" s="20">
        <f t="shared" si="25"/>
        <v>0</v>
      </c>
      <c r="N172" s="20">
        <f t="shared" si="25"/>
        <v>0</v>
      </c>
      <c r="O172" s="20">
        <f t="shared" si="25"/>
        <v>0</v>
      </c>
    </row>
    <row r="173" spans="1:15" ht="15.75" thickBot="1">
      <c r="A173" s="39"/>
      <c r="B173" s="7"/>
      <c r="C173" s="10"/>
      <c r="D173" s="139"/>
      <c r="E173" s="221"/>
      <c r="F173" s="172"/>
      <c r="G173" s="172"/>
      <c r="H173" s="172"/>
      <c r="I173" s="172"/>
      <c r="J173" s="172"/>
      <c r="K173" s="172"/>
      <c r="L173" s="172"/>
      <c r="M173" s="172"/>
      <c r="N173" s="172"/>
      <c r="O173" s="172"/>
    </row>
    <row r="174" spans="1:15">
      <c r="A174" s="39"/>
      <c r="B174" s="4" t="s">
        <v>12</v>
      </c>
      <c r="C174" s="133" t="str">
        <f>Summary!B38</f>
        <v>B2</v>
      </c>
      <c r="D174" s="828"/>
      <c r="E174" s="156" t="str">
        <f>Summary!C38</f>
        <v xml:space="preserve">NHT - Development of Model </v>
      </c>
      <c r="F174" s="5"/>
      <c r="G174" s="5"/>
      <c r="H174" s="5"/>
      <c r="I174" s="5"/>
      <c r="J174" s="5"/>
      <c r="K174" s="5"/>
      <c r="L174" s="5"/>
      <c r="M174" s="5"/>
      <c r="N174" s="5"/>
      <c r="O174" s="5"/>
    </row>
    <row r="175" spans="1:15">
      <c r="A175" s="39"/>
      <c r="B175" s="7" t="s">
        <v>189</v>
      </c>
      <c r="C175" s="134" t="str">
        <f>'B2 NHT Develop'!D47</f>
        <v>B - Very Good</v>
      </c>
      <c r="D175" s="829"/>
      <c r="E175" s="176">
        <f>VLOOKUP(C175,'Confidence Factors'!$B$6:$D$9,3)</f>
        <v>0.9</v>
      </c>
      <c r="F175" s="8"/>
      <c r="G175" s="8"/>
      <c r="H175" s="8"/>
      <c r="I175" s="8"/>
      <c r="J175" s="8"/>
      <c r="K175" s="8"/>
      <c r="L175" s="8"/>
      <c r="M175" s="8"/>
      <c r="N175" s="8"/>
      <c r="O175" s="8"/>
    </row>
    <row r="176" spans="1:15">
      <c r="A176" s="39"/>
      <c r="B176" s="7" t="s">
        <v>30</v>
      </c>
      <c r="C176" s="128">
        <f>SUM(E176:O176)</f>
        <v>30294000</v>
      </c>
      <c r="D176" s="836"/>
      <c r="E176" s="180">
        <v>0</v>
      </c>
      <c r="F176" s="19">
        <v>0</v>
      </c>
      <c r="G176" s="19">
        <f>4000000*'B2 NHT Develop'!D75*'Calcs - Scen 2'!E175</f>
        <v>1188000</v>
      </c>
      <c r="H176" s="19">
        <f>98000000*'B2 NHT Develop'!D75*'Calcs - Scen 2'!E175</f>
        <v>29106000</v>
      </c>
      <c r="I176" s="19">
        <f>'B2 NHT Develop'!K$71*'B2 NHT Develop'!$D75*'Calcs - Scen 2'!$E175</f>
        <v>0</v>
      </c>
      <c r="J176" s="19">
        <f>'B2 NHT Develop'!L$71*'B2 NHT Develop'!$D75*'Calcs - Scen 2'!$E175</f>
        <v>0</v>
      </c>
      <c r="K176" s="19">
        <f>'B2 NHT Develop'!M$71*'B2 NHT Develop'!$D75*'Calcs - Scen 2'!$E175</f>
        <v>0</v>
      </c>
      <c r="L176" s="19">
        <f>'B2 NHT Develop'!N$71*'B2 NHT Develop'!$D75*'Calcs - Scen 2'!$E175</f>
        <v>0</v>
      </c>
      <c r="M176" s="19">
        <f>'B2 NHT Develop'!O$71*'B2 NHT Develop'!$D75*'Calcs - Scen 2'!$E175</f>
        <v>0</v>
      </c>
      <c r="N176" s="19">
        <f>'B2 NHT Develop'!P$71*'B2 NHT Develop'!$D75*'Calcs - Scen 2'!$E175</f>
        <v>0</v>
      </c>
      <c r="O176" s="19">
        <f>'B2 NHT Develop'!Q$71*'B2 NHT Develop'!$D75*'Calcs - Scen 2'!$E175</f>
        <v>0</v>
      </c>
    </row>
    <row r="177" spans="1:15">
      <c r="A177" s="39"/>
      <c r="B177" s="7" t="s">
        <v>31</v>
      </c>
      <c r="C177" s="129">
        <f>NPV($C$7,G176:O176)+E176+F176</f>
        <v>28318588.53182105</v>
      </c>
      <c r="D177" s="837"/>
      <c r="E177" s="7"/>
      <c r="F177" s="8"/>
      <c r="G177" s="8"/>
      <c r="H177" s="8"/>
      <c r="I177" s="8"/>
      <c r="J177" s="8"/>
      <c r="K177" s="8"/>
      <c r="L177" s="8"/>
      <c r="M177" s="8"/>
      <c r="N177" s="8"/>
      <c r="O177" s="8"/>
    </row>
    <row r="178" spans="1:15">
      <c r="A178" s="39"/>
      <c r="B178" s="7" t="s">
        <v>4</v>
      </c>
      <c r="C178" s="130" t="str">
        <f>IF(SUM(E178:O178)&gt;1,"CHECK"," ")</f>
        <v xml:space="preserve"> </v>
      </c>
      <c r="D178" s="270"/>
      <c r="E178" s="178">
        <v>0.2</v>
      </c>
      <c r="F178" s="15">
        <v>0.6</v>
      </c>
      <c r="G178" s="15">
        <v>0.2</v>
      </c>
      <c r="H178" s="15"/>
      <c r="I178" s="15"/>
      <c r="J178" s="15"/>
      <c r="K178" s="15"/>
      <c r="L178" s="15"/>
      <c r="M178" s="15"/>
      <c r="N178" s="15"/>
      <c r="O178" s="15"/>
    </row>
    <row r="179" spans="1:15" ht="15.75" thickBot="1">
      <c r="A179" s="39"/>
      <c r="B179" s="11" t="s">
        <v>32</v>
      </c>
      <c r="C179" s="51"/>
      <c r="D179" s="838" t="s">
        <v>81</v>
      </c>
      <c r="E179" s="179">
        <f>IF(E178&gt;0,(E178*$C177),0)</f>
        <v>5663717.7063642107</v>
      </c>
      <c r="F179" s="20">
        <f t="shared" ref="F179:O179" si="26">IF(F178&gt;0,(F178*$C177),0)</f>
        <v>16991153.119092628</v>
      </c>
      <c r="G179" s="20">
        <f t="shared" si="26"/>
        <v>5663717.7063642107</v>
      </c>
      <c r="H179" s="20">
        <f t="shared" si="26"/>
        <v>0</v>
      </c>
      <c r="I179" s="20">
        <f t="shared" si="26"/>
        <v>0</v>
      </c>
      <c r="J179" s="20">
        <f t="shared" si="26"/>
        <v>0</v>
      </c>
      <c r="K179" s="20">
        <f t="shared" si="26"/>
        <v>0</v>
      </c>
      <c r="L179" s="20">
        <f t="shared" si="26"/>
        <v>0</v>
      </c>
      <c r="M179" s="20">
        <f t="shared" si="26"/>
        <v>0</v>
      </c>
      <c r="N179" s="20">
        <f t="shared" si="26"/>
        <v>0</v>
      </c>
      <c r="O179" s="20">
        <f t="shared" si="26"/>
        <v>0</v>
      </c>
    </row>
    <row r="180" spans="1:15" ht="15.75" thickBot="1">
      <c r="A180" s="39"/>
      <c r="B180" s="7"/>
      <c r="C180" s="10"/>
      <c r="D180" s="139"/>
      <c r="E180" s="221"/>
      <c r="F180" s="172"/>
      <c r="G180" s="172"/>
      <c r="H180" s="172"/>
      <c r="I180" s="172"/>
      <c r="J180" s="172"/>
      <c r="K180" s="172"/>
      <c r="L180" s="172"/>
      <c r="M180" s="172"/>
      <c r="N180" s="172"/>
      <c r="O180" s="172"/>
    </row>
    <row r="181" spans="1:15">
      <c r="A181" s="39"/>
      <c r="B181" s="4" t="s">
        <v>12</v>
      </c>
      <c r="C181" s="133" t="str">
        <f>Summary!B39</f>
        <v>C1</v>
      </c>
      <c r="D181" s="828"/>
      <c r="E181" s="156" t="str">
        <f>Summary!C39</f>
        <v>Western Isles and Orkney Schools Projects - Finance Structure</v>
      </c>
      <c r="F181" s="5"/>
      <c r="G181" s="5"/>
      <c r="H181" s="5"/>
      <c r="I181" s="5"/>
      <c r="J181" s="5"/>
      <c r="K181" s="5"/>
      <c r="L181" s="5"/>
      <c r="M181" s="5"/>
      <c r="N181" s="5"/>
      <c r="O181" s="5"/>
    </row>
    <row r="182" spans="1:15">
      <c r="A182" s="39"/>
      <c r="B182" s="7" t="s">
        <v>189</v>
      </c>
      <c r="C182" s="134" t="str">
        <f>'C1 West &amp; Ork'!D47</f>
        <v>A - High</v>
      </c>
      <c r="D182" s="829"/>
      <c r="E182" s="176">
        <f>VLOOKUP(C182,'Confidence Factors'!$B$6:$D$9,3)</f>
        <v>1</v>
      </c>
      <c r="F182" s="8"/>
      <c r="G182" s="8"/>
      <c r="H182" s="8"/>
      <c r="I182" s="8"/>
      <c r="J182" s="8"/>
      <c r="K182" s="8"/>
      <c r="L182" s="8"/>
      <c r="M182" s="8"/>
      <c r="N182" s="8"/>
      <c r="O182" s="8"/>
    </row>
    <row r="183" spans="1:15">
      <c r="A183" s="39"/>
      <c r="B183" s="7" t="s">
        <v>30</v>
      </c>
      <c r="C183" s="128">
        <f>SUM(E183:O183)</f>
        <v>17200000</v>
      </c>
      <c r="D183" s="836"/>
      <c r="E183" s="177">
        <v>0</v>
      </c>
      <c r="F183" s="19">
        <v>0</v>
      </c>
      <c r="G183" s="19">
        <v>0</v>
      </c>
      <c r="H183" s="19">
        <f>(('C1 West &amp; Ork'!$D70)/30)*'C1 West &amp; Ork'!$D75*'Calcs - Scen 2'!$E182</f>
        <v>2150000</v>
      </c>
      <c r="I183" s="19">
        <f>(('C1 West &amp; Ork'!$D70)/30)*'C1 West &amp; Ork'!$D75*'Calcs - Scen 2'!$E182</f>
        <v>2150000</v>
      </c>
      <c r="J183" s="19">
        <f>(('C1 West &amp; Ork'!$D70)/30)*'C1 West &amp; Ork'!$D75*'Calcs - Scen 2'!$E182</f>
        <v>2150000</v>
      </c>
      <c r="K183" s="19">
        <f>(('C1 West &amp; Ork'!$D70)/30)*'C1 West &amp; Ork'!$D75*'Calcs - Scen 2'!$E182</f>
        <v>2150000</v>
      </c>
      <c r="L183" s="19">
        <f>(('C1 West &amp; Ork'!$D70)/30)*'C1 West &amp; Ork'!$D75*'Calcs - Scen 2'!$E182</f>
        <v>2150000</v>
      </c>
      <c r="M183" s="19">
        <f>(('C1 West &amp; Ork'!$D70)/30)*'C1 West &amp; Ork'!$D75*'Calcs - Scen 2'!$E182</f>
        <v>2150000</v>
      </c>
      <c r="N183" s="19">
        <f>(('C1 West &amp; Ork'!$D70)/30)*'C1 West &amp; Ork'!$D75*'Calcs - Scen 2'!$E182</f>
        <v>2150000</v>
      </c>
      <c r="O183" s="19">
        <f>(('C1 West &amp; Ork'!$D70)/30)*'C1 West &amp; Ork'!$D75*'Calcs - Scen 2'!$E182</f>
        <v>2150000</v>
      </c>
    </row>
    <row r="184" spans="1:15">
      <c r="A184" s="39"/>
      <c r="B184" s="7" t="s">
        <v>31</v>
      </c>
      <c r="C184" s="129">
        <f>NPV($C$7,G183:O183)+E183+F183</f>
        <v>14279231.308076261</v>
      </c>
      <c r="D184" s="837"/>
      <c r="E184" s="7"/>
      <c r="F184" s="8"/>
      <c r="G184" s="8"/>
      <c r="H184" s="8"/>
      <c r="I184" s="8"/>
      <c r="J184" s="8"/>
      <c r="K184" s="8"/>
      <c r="L184" s="8"/>
      <c r="M184" s="8"/>
      <c r="N184" s="8"/>
      <c r="O184" s="8"/>
    </row>
    <row r="185" spans="1:15">
      <c r="A185" s="39"/>
      <c r="B185" s="7" t="s">
        <v>4</v>
      </c>
      <c r="C185" s="130" t="str">
        <f>IF(SUM(E185:O185)&gt;1,"CHECK"," ")</f>
        <v xml:space="preserve"> </v>
      </c>
      <c r="D185" s="270"/>
      <c r="E185" s="178">
        <v>0.2</v>
      </c>
      <c r="F185" s="15">
        <v>0.8</v>
      </c>
      <c r="G185" s="15"/>
      <c r="H185" s="15"/>
      <c r="I185" s="15"/>
      <c r="J185" s="15"/>
      <c r="K185" s="15"/>
      <c r="L185" s="15"/>
      <c r="M185" s="15"/>
      <c r="N185" s="15"/>
      <c r="O185" s="15"/>
    </row>
    <row r="186" spans="1:15" ht="15.75" thickBot="1">
      <c r="A186" s="39"/>
      <c r="B186" s="11" t="s">
        <v>32</v>
      </c>
      <c r="C186" s="51"/>
      <c r="D186" s="838" t="s">
        <v>848</v>
      </c>
      <c r="E186" s="179">
        <f>IF(E185&gt;0,(E185*$C184),0)</f>
        <v>2855846.2616152521</v>
      </c>
      <c r="F186" s="20">
        <f t="shared" ref="F186:O186" si="27">IF(F185&gt;0,(F185*$C184),0)</f>
        <v>11423385.046461008</v>
      </c>
      <c r="G186" s="20">
        <f t="shared" si="27"/>
        <v>0</v>
      </c>
      <c r="H186" s="20">
        <f t="shared" si="27"/>
        <v>0</v>
      </c>
      <c r="I186" s="20">
        <f t="shared" si="27"/>
        <v>0</v>
      </c>
      <c r="J186" s="20">
        <f t="shared" si="27"/>
        <v>0</v>
      </c>
      <c r="K186" s="20">
        <f t="shared" si="27"/>
        <v>0</v>
      </c>
      <c r="L186" s="20">
        <f t="shared" si="27"/>
        <v>0</v>
      </c>
      <c r="M186" s="20">
        <f t="shared" si="27"/>
        <v>0</v>
      </c>
      <c r="N186" s="20">
        <f t="shared" si="27"/>
        <v>0</v>
      </c>
      <c r="O186" s="20">
        <f t="shared" si="27"/>
        <v>0</v>
      </c>
    </row>
    <row r="187" spans="1:15" ht="15.75" thickBot="1">
      <c r="A187" s="39"/>
      <c r="B187" s="11"/>
      <c r="C187" s="51"/>
      <c r="D187" s="838"/>
      <c r="E187" s="221"/>
      <c r="F187" s="172"/>
      <c r="G187" s="172"/>
      <c r="H187" s="172"/>
      <c r="I187" s="172"/>
      <c r="J187" s="172"/>
      <c r="K187" s="172"/>
      <c r="L187" s="172"/>
      <c r="M187" s="172"/>
      <c r="N187" s="172"/>
      <c r="O187" s="172"/>
    </row>
    <row r="188" spans="1:15">
      <c r="A188" s="39"/>
      <c r="B188" s="4" t="s">
        <v>12</v>
      </c>
      <c r="C188" s="133" t="str">
        <f>Summary!B40</f>
        <v>C2</v>
      </c>
      <c r="D188" s="828"/>
      <c r="E188" s="156" t="str">
        <f>Summary!C40</f>
        <v>Borders Rail - Lower Financing Costs (Nil Benefit)</v>
      </c>
      <c r="F188" s="5"/>
      <c r="G188" s="5"/>
      <c r="H188" s="5"/>
      <c r="I188" s="5"/>
      <c r="J188" s="5"/>
      <c r="K188" s="5"/>
      <c r="L188" s="5"/>
      <c r="M188" s="5"/>
      <c r="N188" s="5"/>
      <c r="O188" s="5"/>
    </row>
    <row r="189" spans="1:15">
      <c r="A189" s="39"/>
      <c r="B189" s="7" t="s">
        <v>189</v>
      </c>
      <c r="C189" s="134" t="str">
        <f>'C2 Borders Rail Fin'!D47</f>
        <v>D - Moderate</v>
      </c>
      <c r="D189" s="829"/>
      <c r="E189" s="176">
        <f>VLOOKUP(C189,'Confidence Factors'!$B$6:$D$9,3)</f>
        <v>0.55000000000000004</v>
      </c>
      <c r="F189" s="8"/>
      <c r="G189" s="8"/>
      <c r="H189" s="8"/>
      <c r="I189" s="8"/>
      <c r="J189" s="8"/>
      <c r="K189" s="8"/>
      <c r="L189" s="8"/>
      <c r="M189" s="8"/>
      <c r="N189" s="8"/>
      <c r="O189" s="8"/>
    </row>
    <row r="190" spans="1:15">
      <c r="A190" s="39"/>
      <c r="B190" s="7" t="s">
        <v>30</v>
      </c>
      <c r="C190" s="128">
        <f>SUM(E190:O190)</f>
        <v>0</v>
      </c>
      <c r="D190" s="836"/>
      <c r="E190" s="180">
        <v>0</v>
      </c>
      <c r="F190" s="3">
        <v>0</v>
      </c>
      <c r="G190" s="3">
        <v>0</v>
      </c>
      <c r="H190" s="3">
        <v>0</v>
      </c>
      <c r="I190" s="3">
        <v>0</v>
      </c>
      <c r="J190" s="19">
        <f>(1500000-1500000)*'C2 Borders Rail Fin'!$D$75*$E$189</f>
        <v>0</v>
      </c>
      <c r="K190" s="19">
        <f>(('C2 Borders Rail Fin'!$D70)/30)*'C2 Borders Rail Fin'!$D75*'Calcs - Scen 2'!$E189</f>
        <v>0</v>
      </c>
      <c r="L190" s="19">
        <f>(('C2 Borders Rail Fin'!$D70)/30)*'C2 Borders Rail Fin'!$D75*'Calcs - Scen 2'!$E189</f>
        <v>0</v>
      </c>
      <c r="M190" s="19">
        <f>(('C2 Borders Rail Fin'!$D70)/30)*'C2 Borders Rail Fin'!$D75*'Calcs - Scen 2'!$E189</f>
        <v>0</v>
      </c>
      <c r="N190" s="19">
        <f>(('C2 Borders Rail Fin'!$D70)/30)*'C2 Borders Rail Fin'!$D75*'Calcs - Scen 2'!$E189</f>
        <v>0</v>
      </c>
      <c r="O190" s="19">
        <f>(('C2 Borders Rail Fin'!$D70)/30)*'C2 Borders Rail Fin'!$D75*'Calcs - Scen 2'!$E189</f>
        <v>0</v>
      </c>
    </row>
    <row r="191" spans="1:15">
      <c r="A191" s="39"/>
      <c r="B191" s="7" t="s">
        <v>31</v>
      </c>
      <c r="C191" s="129">
        <f>NPV($C$7,G190:O190)+E190+F190</f>
        <v>0</v>
      </c>
      <c r="D191" s="837"/>
      <c r="E191" s="7"/>
      <c r="F191" s="8"/>
      <c r="G191" s="8"/>
      <c r="H191" s="8"/>
      <c r="I191" s="8"/>
      <c r="J191" s="8"/>
      <c r="K191" s="8"/>
      <c r="L191" s="8"/>
      <c r="M191" s="8"/>
      <c r="N191" s="8"/>
      <c r="O191" s="8"/>
    </row>
    <row r="192" spans="1:15">
      <c r="A192" s="39"/>
      <c r="B192" s="7" t="s">
        <v>4</v>
      </c>
      <c r="C192" s="130" t="str">
        <f>IF(SUM(E192:O192)&gt;1,"CHECK"," ")</f>
        <v xml:space="preserve"> </v>
      </c>
      <c r="D192" s="270"/>
      <c r="E192" s="178">
        <v>0.2</v>
      </c>
      <c r="F192" s="15">
        <v>0.8</v>
      </c>
      <c r="G192" s="15"/>
      <c r="H192" s="15"/>
      <c r="I192" s="15"/>
      <c r="J192" s="15"/>
      <c r="K192" s="15"/>
      <c r="L192" s="15"/>
      <c r="M192" s="15"/>
      <c r="N192" s="15"/>
      <c r="O192" s="15"/>
    </row>
    <row r="193" spans="1:15" ht="15.75" thickBot="1">
      <c r="A193" s="39"/>
      <c r="B193" s="11" t="s">
        <v>32</v>
      </c>
      <c r="C193" s="51"/>
      <c r="D193" s="838" t="s">
        <v>843</v>
      </c>
      <c r="E193" s="179">
        <f>IF(E192&gt;0,(E192*$C191),0)</f>
        <v>0</v>
      </c>
      <c r="F193" s="20">
        <f t="shared" ref="F193:O193" si="28">IF(F192&gt;0,(F192*$C191),0)</f>
        <v>0</v>
      </c>
      <c r="G193" s="20">
        <f t="shared" si="28"/>
        <v>0</v>
      </c>
      <c r="H193" s="20">
        <f t="shared" si="28"/>
        <v>0</v>
      </c>
      <c r="I193" s="20">
        <f t="shared" si="28"/>
        <v>0</v>
      </c>
      <c r="J193" s="20">
        <f t="shared" si="28"/>
        <v>0</v>
      </c>
      <c r="K193" s="20">
        <f t="shared" si="28"/>
        <v>0</v>
      </c>
      <c r="L193" s="20">
        <f t="shared" si="28"/>
        <v>0</v>
      </c>
      <c r="M193" s="20">
        <f t="shared" si="28"/>
        <v>0</v>
      </c>
      <c r="N193" s="20">
        <f t="shared" si="28"/>
        <v>0</v>
      </c>
      <c r="O193" s="20">
        <f t="shared" si="28"/>
        <v>0</v>
      </c>
    </row>
    <row r="194" spans="1:15" ht="15.75" thickBot="1">
      <c r="A194" s="39"/>
      <c r="B194" s="7"/>
      <c r="C194" s="10"/>
      <c r="D194" s="139"/>
      <c r="E194" s="221"/>
      <c r="F194" s="172"/>
      <c r="G194" s="172"/>
      <c r="H194" s="172"/>
      <c r="I194" s="172"/>
      <c r="J194" s="172"/>
      <c r="K194" s="172"/>
      <c r="L194" s="172"/>
      <c r="M194" s="172"/>
      <c r="N194" s="172"/>
      <c r="O194" s="172"/>
    </row>
    <row r="195" spans="1:15">
      <c r="A195" s="39"/>
      <c r="B195" s="4" t="s">
        <v>12</v>
      </c>
      <c r="C195" s="133" t="str">
        <f>Summary!B41</f>
        <v>C3</v>
      </c>
      <c r="D195" s="828"/>
      <c r="E195" s="156" t="str">
        <f>Summary!C41</f>
        <v>Borders Rail - Competition</v>
      </c>
      <c r="F195" s="5"/>
      <c r="G195" s="5"/>
      <c r="H195" s="5"/>
      <c r="I195" s="5"/>
      <c r="J195" s="5"/>
      <c r="K195" s="5"/>
      <c r="L195" s="5"/>
      <c r="M195" s="5"/>
      <c r="N195" s="5"/>
      <c r="O195" s="5"/>
    </row>
    <row r="196" spans="1:15">
      <c r="A196" s="39"/>
      <c r="B196" s="7" t="s">
        <v>189</v>
      </c>
      <c r="C196" s="134" t="str">
        <f>'C3 Borders Rail Comp'!D47</f>
        <v>C - Good</v>
      </c>
      <c r="D196" s="829"/>
      <c r="E196" s="176">
        <f>VLOOKUP(C196,'Confidence Factors'!$B$6:$D$9,3)</f>
        <v>0.75</v>
      </c>
      <c r="F196" s="8"/>
      <c r="G196" s="8"/>
      <c r="H196" s="8"/>
      <c r="I196" s="8"/>
      <c r="J196" s="8"/>
      <c r="K196" s="8"/>
      <c r="L196" s="8"/>
      <c r="M196" s="8"/>
      <c r="N196" s="8"/>
      <c r="O196" s="8"/>
    </row>
    <row r="197" spans="1:15">
      <c r="A197" s="39"/>
      <c r="B197" s="7" t="s">
        <v>30</v>
      </c>
      <c r="C197" s="128">
        <f>SUM(E197:O197)</f>
        <v>2925000</v>
      </c>
      <c r="D197" s="836"/>
      <c r="E197" s="177">
        <v>0</v>
      </c>
      <c r="F197" s="19">
        <v>0</v>
      </c>
      <c r="G197" s="19">
        <v>0</v>
      </c>
      <c r="H197" s="19">
        <v>0</v>
      </c>
      <c r="I197" s="19">
        <v>0</v>
      </c>
      <c r="J197" s="19">
        <f>(('C3 Borders Rail Comp'!$D70)/30)*'C3 Borders Rail Comp'!$D75*'Calcs - Scen 2'!$E196</f>
        <v>487500</v>
      </c>
      <c r="K197" s="19">
        <f>(('C3 Borders Rail Comp'!$D70)/30)*'C3 Borders Rail Comp'!$D75*'Calcs - Scen 2'!$E196</f>
        <v>487500</v>
      </c>
      <c r="L197" s="19">
        <f>(('C3 Borders Rail Comp'!$D70)/30)*'C3 Borders Rail Comp'!$D75*'Calcs - Scen 2'!$E196</f>
        <v>487500</v>
      </c>
      <c r="M197" s="19">
        <f>(('C3 Borders Rail Comp'!$D70)/30)*'C3 Borders Rail Comp'!$D75*'Calcs - Scen 2'!$E196</f>
        <v>487500</v>
      </c>
      <c r="N197" s="19">
        <f>(('C3 Borders Rail Comp'!$D70)/30)*'C3 Borders Rail Comp'!$D75*'Calcs - Scen 2'!$E196</f>
        <v>487500</v>
      </c>
      <c r="O197" s="19">
        <f>(('C3 Borders Rail Comp'!$D70)/30)*'C3 Borders Rail Comp'!$D75*'Calcs - Scen 2'!$E196</f>
        <v>487500</v>
      </c>
    </row>
    <row r="198" spans="1:15">
      <c r="A198" s="39"/>
      <c r="B198" s="7" t="s">
        <v>31</v>
      </c>
      <c r="C198" s="129">
        <f>NPV($C$7,G197:O197)+E197+F197</f>
        <v>2342949.1448778352</v>
      </c>
      <c r="D198" s="837"/>
      <c r="E198" s="7"/>
      <c r="F198" s="8"/>
      <c r="G198" s="8"/>
      <c r="H198" s="8"/>
      <c r="I198" s="8"/>
      <c r="J198" s="8"/>
      <c r="K198" s="8"/>
      <c r="L198" s="8"/>
      <c r="M198" s="8"/>
      <c r="N198" s="8"/>
      <c r="O198" s="8"/>
    </row>
    <row r="199" spans="1:15">
      <c r="A199" s="39"/>
      <c r="B199" s="7" t="s">
        <v>4</v>
      </c>
      <c r="C199" s="130" t="str">
        <f>IF(SUM(E199:O199)&gt;1,"CHECK"," ")</f>
        <v xml:space="preserve"> </v>
      </c>
      <c r="D199" s="270"/>
      <c r="E199" s="178">
        <v>1</v>
      </c>
      <c r="F199" s="15">
        <v>0</v>
      </c>
      <c r="G199" s="15"/>
      <c r="H199" s="15"/>
      <c r="I199" s="15"/>
      <c r="J199" s="15"/>
      <c r="K199" s="15"/>
      <c r="L199" s="15"/>
      <c r="M199" s="15"/>
      <c r="N199" s="15"/>
      <c r="O199" s="15"/>
    </row>
    <row r="200" spans="1:15" ht="15.75" thickBot="1">
      <c r="A200" s="39"/>
      <c r="B200" s="11" t="s">
        <v>32</v>
      </c>
      <c r="C200" s="51"/>
      <c r="D200" s="838" t="s">
        <v>843</v>
      </c>
      <c r="E200" s="179">
        <f t="shared" ref="E200:O200" si="29">IF(E199&gt;0,(E199*$C198),0)</f>
        <v>2342949.1448778352</v>
      </c>
      <c r="F200" s="20">
        <f t="shared" si="29"/>
        <v>0</v>
      </c>
      <c r="G200" s="20">
        <f t="shared" si="29"/>
        <v>0</v>
      </c>
      <c r="H200" s="20">
        <f t="shared" si="29"/>
        <v>0</v>
      </c>
      <c r="I200" s="20">
        <f t="shared" si="29"/>
        <v>0</v>
      </c>
      <c r="J200" s="20">
        <f t="shared" si="29"/>
        <v>0</v>
      </c>
      <c r="K200" s="20">
        <f t="shared" si="29"/>
        <v>0</v>
      </c>
      <c r="L200" s="20">
        <f t="shared" si="29"/>
        <v>0</v>
      </c>
      <c r="M200" s="20">
        <f t="shared" si="29"/>
        <v>0</v>
      </c>
      <c r="N200" s="20">
        <f t="shared" si="29"/>
        <v>0</v>
      </c>
      <c r="O200" s="20">
        <f t="shared" si="29"/>
        <v>0</v>
      </c>
    </row>
    <row r="201" spans="1:15" ht="15.75" thickBot="1">
      <c r="A201" s="39"/>
      <c r="B201" s="7"/>
      <c r="C201" s="10"/>
      <c r="D201" s="139"/>
      <c r="E201" s="221"/>
      <c r="F201" s="172"/>
      <c r="G201" s="172"/>
      <c r="H201" s="172"/>
      <c r="I201" s="172"/>
      <c r="J201" s="172"/>
      <c r="K201" s="172"/>
      <c r="L201" s="172"/>
      <c r="M201" s="172"/>
      <c r="N201" s="172"/>
      <c r="O201" s="172"/>
    </row>
    <row r="202" spans="1:15">
      <c r="A202" s="39"/>
      <c r="B202" s="4" t="s">
        <v>12</v>
      </c>
      <c r="C202" s="133" t="str">
        <f>Summary!B42</f>
        <v>C4</v>
      </c>
      <c r="D202" s="828"/>
      <c r="E202" s="156" t="str">
        <f>Summary!C42</f>
        <v>Orkney Schools Projects -  Business Case Diligence</v>
      </c>
      <c r="F202" s="5"/>
      <c r="G202" s="5"/>
      <c r="H202" s="5"/>
      <c r="I202" s="5"/>
      <c r="J202" s="5"/>
      <c r="K202" s="5"/>
      <c r="L202" s="5"/>
      <c r="M202" s="5"/>
      <c r="N202" s="5"/>
      <c r="O202" s="5"/>
    </row>
    <row r="203" spans="1:15">
      <c r="A203" s="39"/>
      <c r="B203" s="7" t="s">
        <v>189</v>
      </c>
      <c r="C203" s="134" t="str">
        <f>'C4 Orkney Schools Fin'!D47</f>
        <v>A - High</v>
      </c>
      <c r="D203" s="829"/>
      <c r="E203" s="176">
        <f>VLOOKUP(C203,'Confidence Factors'!$B$6:$D$9,3)</f>
        <v>1</v>
      </c>
      <c r="F203" s="8"/>
      <c r="G203" s="8"/>
      <c r="H203" s="8"/>
      <c r="I203" s="8"/>
      <c r="J203" s="8"/>
      <c r="K203" s="8"/>
      <c r="L203" s="8"/>
      <c r="M203" s="8"/>
      <c r="N203" s="8"/>
      <c r="O203" s="8"/>
    </row>
    <row r="204" spans="1:15">
      <c r="A204" s="39"/>
      <c r="B204" s="7" t="s">
        <v>30</v>
      </c>
      <c r="C204" s="128">
        <f>SUM(E204:O204)</f>
        <v>434000</v>
      </c>
      <c r="D204" s="836"/>
      <c r="E204" s="177">
        <v>0</v>
      </c>
      <c r="F204" s="19"/>
      <c r="G204" s="19">
        <v>0</v>
      </c>
      <c r="H204" s="19">
        <v>0</v>
      </c>
      <c r="I204" s="19">
        <f>(('C4 Orkney Schools Fin'!$D70)/28)*'C4 Orkney Schools Fin'!$D75*'Calcs - Scen 2'!$E203</f>
        <v>62000</v>
      </c>
      <c r="J204" s="19">
        <f>(('C4 Orkney Schools Fin'!$D70)/28)*'C4 Orkney Schools Fin'!$D75*'Calcs - Scen 2'!$E203</f>
        <v>62000</v>
      </c>
      <c r="K204" s="19">
        <f>(('C4 Orkney Schools Fin'!$D70)/28)*'C4 Orkney Schools Fin'!$D75*'Calcs - Scen 2'!$E203</f>
        <v>62000</v>
      </c>
      <c r="L204" s="19">
        <f>(('C4 Orkney Schools Fin'!$D70)/28)*'C4 Orkney Schools Fin'!$D75*'Calcs - Scen 2'!$E203</f>
        <v>62000</v>
      </c>
      <c r="M204" s="19">
        <f>(('C4 Orkney Schools Fin'!$D70)/28)*'C4 Orkney Schools Fin'!$D75*'Calcs - Scen 2'!$E203</f>
        <v>62000</v>
      </c>
      <c r="N204" s="19">
        <f>(('C4 Orkney Schools Fin'!$D70)/28)*'C4 Orkney Schools Fin'!$D75*'Calcs - Scen 2'!$E203</f>
        <v>62000</v>
      </c>
      <c r="O204" s="19">
        <f>(('C4 Orkney Schools Fin'!$D70)/28)*'C4 Orkney Schools Fin'!$D75*'Calcs - Scen 2'!$E203</f>
        <v>62000</v>
      </c>
    </row>
    <row r="205" spans="1:15">
      <c r="A205" s="39"/>
      <c r="B205" s="7" t="s">
        <v>31</v>
      </c>
      <c r="C205" s="129">
        <f>NPV($C$7,G204:O204)+E204+F204</f>
        <v>353895.51848459843</v>
      </c>
      <c r="D205" s="837"/>
      <c r="E205" s="7"/>
      <c r="F205" s="8"/>
      <c r="G205" s="8"/>
      <c r="H205" s="8"/>
      <c r="I205" s="8"/>
      <c r="J205" s="8"/>
      <c r="K205" s="8"/>
      <c r="L205" s="8"/>
      <c r="M205" s="8"/>
      <c r="N205" s="8"/>
      <c r="O205" s="8"/>
    </row>
    <row r="206" spans="1:15">
      <c r="A206" s="39"/>
      <c r="B206" s="7" t="s">
        <v>4</v>
      </c>
      <c r="C206" s="130" t="str">
        <f>IF(SUM(E206:O206)&gt;1,"CHECK"," ")</f>
        <v xml:space="preserve"> </v>
      </c>
      <c r="D206" s="270"/>
      <c r="E206" s="178">
        <v>0</v>
      </c>
      <c r="F206" s="15">
        <v>1</v>
      </c>
      <c r="G206" s="15"/>
      <c r="H206" s="15"/>
      <c r="I206" s="15"/>
      <c r="J206" s="15"/>
      <c r="K206" s="15"/>
      <c r="L206" s="15"/>
      <c r="M206" s="15"/>
      <c r="N206" s="15"/>
      <c r="O206" s="15"/>
    </row>
    <row r="207" spans="1:15" ht="15.75" thickBot="1">
      <c r="A207" s="39"/>
      <c r="B207" s="11" t="s">
        <v>32</v>
      </c>
      <c r="C207" s="51"/>
      <c r="D207" s="838" t="s">
        <v>848</v>
      </c>
      <c r="E207" s="179">
        <f t="shared" ref="E207:O207" si="30">IF(E206&gt;0,(E206*$C205),0)</f>
        <v>0</v>
      </c>
      <c r="F207" s="20">
        <f t="shared" si="30"/>
        <v>353895.51848459843</v>
      </c>
      <c r="G207" s="20">
        <f t="shared" si="30"/>
        <v>0</v>
      </c>
      <c r="H207" s="20">
        <f t="shared" si="30"/>
        <v>0</v>
      </c>
      <c r="I207" s="20">
        <f t="shared" si="30"/>
        <v>0</v>
      </c>
      <c r="J207" s="20">
        <f t="shared" si="30"/>
        <v>0</v>
      </c>
      <c r="K207" s="20">
        <f t="shared" si="30"/>
        <v>0</v>
      </c>
      <c r="L207" s="20">
        <f t="shared" si="30"/>
        <v>0</v>
      </c>
      <c r="M207" s="20">
        <f t="shared" si="30"/>
        <v>0</v>
      </c>
      <c r="N207" s="20">
        <f t="shared" si="30"/>
        <v>0</v>
      </c>
      <c r="O207" s="20">
        <f t="shared" si="30"/>
        <v>0</v>
      </c>
    </row>
    <row r="208" spans="1:15" ht="15.75" thickBot="1">
      <c r="A208" s="39"/>
      <c r="B208" s="7"/>
      <c r="C208" s="10"/>
      <c r="D208" s="139"/>
      <c r="E208" s="221"/>
      <c r="F208" s="172"/>
      <c r="G208" s="172"/>
      <c r="H208" s="172"/>
      <c r="I208" s="172"/>
      <c r="J208" s="172"/>
      <c r="K208" s="172"/>
      <c r="L208" s="172"/>
      <c r="M208" s="172"/>
      <c r="N208" s="172"/>
      <c r="O208" s="172"/>
    </row>
    <row r="209" spans="1:15">
      <c r="A209" s="39"/>
      <c r="B209" s="4" t="s">
        <v>12</v>
      </c>
      <c r="C209" s="133" t="str">
        <f>Summary!B43</f>
        <v>C5</v>
      </c>
      <c r="D209" s="828"/>
      <c r="E209" s="156" t="str">
        <f>Summary!C43</f>
        <v>RHSC/DCN Procurement Strategy and Increased Competition</v>
      </c>
      <c r="F209" s="5"/>
      <c r="G209" s="5"/>
      <c r="H209" s="5"/>
      <c r="I209" s="5"/>
      <c r="J209" s="5"/>
      <c r="K209" s="5"/>
      <c r="L209" s="5"/>
      <c r="M209" s="5"/>
      <c r="N209" s="5"/>
      <c r="O209" s="5"/>
    </row>
    <row r="210" spans="1:15">
      <c r="A210" s="39"/>
      <c r="B210" s="7" t="s">
        <v>189</v>
      </c>
      <c r="C210" s="134" t="str">
        <f>'C5 RHSC DCN Comp'!D47</f>
        <v>C - Good</v>
      </c>
      <c r="D210" s="829"/>
      <c r="E210" s="176">
        <f>VLOOKUP(C210,'Confidence Factors'!$B$6:$D$9,3)</f>
        <v>0.75</v>
      </c>
      <c r="F210" s="8"/>
      <c r="G210" s="8"/>
      <c r="H210" s="8"/>
      <c r="I210" s="8"/>
      <c r="J210" s="8"/>
      <c r="K210" s="8"/>
      <c r="L210" s="8"/>
      <c r="M210" s="8"/>
      <c r="N210" s="8"/>
      <c r="O210" s="8"/>
    </row>
    <row r="211" spans="1:15">
      <c r="A211" s="39"/>
      <c r="B211" s="7" t="s">
        <v>30</v>
      </c>
      <c r="C211" s="128">
        <f>SUM(E211:O211)</f>
        <v>1803374.9999999998</v>
      </c>
      <c r="D211" s="836"/>
      <c r="E211" s="177">
        <v>0</v>
      </c>
      <c r="F211" s="19">
        <v>0</v>
      </c>
      <c r="G211" s="19">
        <v>0</v>
      </c>
      <c r="H211" s="19">
        <v>0</v>
      </c>
      <c r="I211" s="19">
        <v>0</v>
      </c>
      <c r="J211" s="19">
        <f>'C5 RHSC DCN Comp'!N$78*'C5 RHSC DCN Comp'!$D75*'Calcs - Scen 2'!$E210</f>
        <v>300562.49999999994</v>
      </c>
      <c r="K211" s="19">
        <f>'C5 RHSC DCN Comp'!O$78*'C5 RHSC DCN Comp'!$D75*'Calcs - Scen 2'!$E210</f>
        <v>300562.49999999994</v>
      </c>
      <c r="L211" s="19">
        <f>'C5 RHSC DCN Comp'!P$78*'C5 RHSC DCN Comp'!$D75*'Calcs - Scen 2'!$E210</f>
        <v>300562.49999999994</v>
      </c>
      <c r="M211" s="19">
        <f>'C5 RHSC DCN Comp'!Q$78*'C5 RHSC DCN Comp'!$D75*'Calcs - Scen 2'!$E210</f>
        <v>300562.49999999994</v>
      </c>
      <c r="N211" s="19">
        <f>'C5 RHSC DCN Comp'!R$78*'C5 RHSC DCN Comp'!$D75*'Calcs - Scen 2'!$E210</f>
        <v>300562.49999999994</v>
      </c>
      <c r="O211" s="19">
        <f>'C5 RHSC DCN Comp'!S$78*'C5 RHSC DCN Comp'!$D75*'Calcs - Scen 2'!$E210</f>
        <v>300562.49999999994</v>
      </c>
    </row>
    <row r="212" spans="1:15">
      <c r="A212" s="39"/>
      <c r="B212" s="7" t="s">
        <v>31</v>
      </c>
      <c r="C212" s="129">
        <f>NPV($C$7,G211:O211)+E211+F211</f>
        <v>1444518.2612458344</v>
      </c>
      <c r="D212" s="837"/>
      <c r="E212" s="7"/>
      <c r="F212" s="8"/>
      <c r="G212" s="8"/>
      <c r="H212" s="8"/>
      <c r="I212" s="8"/>
      <c r="J212" s="8"/>
      <c r="K212" s="8"/>
      <c r="L212" s="8"/>
      <c r="M212" s="8"/>
      <c r="N212" s="8"/>
      <c r="O212" s="8"/>
    </row>
    <row r="213" spans="1:15">
      <c r="A213" s="39"/>
      <c r="B213" s="7" t="s">
        <v>4</v>
      </c>
      <c r="C213" s="130" t="str">
        <f>IF(SUM(E213:O213)&gt;1,"CHECK"," ")</f>
        <v xml:space="preserve"> </v>
      </c>
      <c r="D213" s="270"/>
      <c r="E213" s="178">
        <v>0</v>
      </c>
      <c r="F213" s="15">
        <v>0.25</v>
      </c>
      <c r="G213" s="15">
        <v>0.5</v>
      </c>
      <c r="H213" s="15">
        <v>0.25</v>
      </c>
      <c r="I213" s="15"/>
      <c r="J213" s="15"/>
      <c r="K213" s="15"/>
      <c r="L213" s="15"/>
      <c r="M213" s="15"/>
      <c r="N213" s="15"/>
      <c r="O213" s="15"/>
    </row>
    <row r="214" spans="1:15" ht="15.75" thickBot="1">
      <c r="A214" s="39"/>
      <c r="B214" s="11" t="s">
        <v>32</v>
      </c>
      <c r="C214" s="51"/>
      <c r="D214" s="838" t="s">
        <v>847</v>
      </c>
      <c r="E214" s="179">
        <f t="shared" ref="E214:O214" si="31">IF(E213&gt;0,(E213*$C212),0)</f>
        <v>0</v>
      </c>
      <c r="F214" s="20">
        <f t="shared" si="31"/>
        <v>361129.5653114586</v>
      </c>
      <c r="G214" s="20">
        <f t="shared" si="31"/>
        <v>722259.1306229172</v>
      </c>
      <c r="H214" s="20">
        <f t="shared" si="31"/>
        <v>361129.5653114586</v>
      </c>
      <c r="I214" s="20">
        <f t="shared" si="31"/>
        <v>0</v>
      </c>
      <c r="J214" s="20">
        <f t="shared" si="31"/>
        <v>0</v>
      </c>
      <c r="K214" s="20">
        <f t="shared" si="31"/>
        <v>0</v>
      </c>
      <c r="L214" s="20">
        <f t="shared" si="31"/>
        <v>0</v>
      </c>
      <c r="M214" s="20">
        <f t="shared" si="31"/>
        <v>0</v>
      </c>
      <c r="N214" s="20">
        <f t="shared" si="31"/>
        <v>0</v>
      </c>
      <c r="O214" s="20">
        <f t="shared" si="31"/>
        <v>0</v>
      </c>
    </row>
    <row r="215" spans="1:15" ht="15.75" thickBot="1">
      <c r="A215" s="39"/>
      <c r="B215" s="7"/>
      <c r="C215" s="10"/>
      <c r="D215" s="139"/>
      <c r="E215" s="221"/>
      <c r="F215" s="172"/>
      <c r="G215" s="172"/>
      <c r="H215" s="172"/>
      <c r="I215" s="172"/>
      <c r="J215" s="172"/>
      <c r="K215" s="172"/>
      <c r="L215" s="172"/>
      <c r="M215" s="172"/>
      <c r="N215" s="172"/>
      <c r="O215" s="172"/>
    </row>
    <row r="216" spans="1:15">
      <c r="A216" s="39"/>
      <c r="B216" s="4" t="s">
        <v>12</v>
      </c>
      <c r="C216" s="133" t="str">
        <f>Summary!B44</f>
        <v>C6</v>
      </c>
      <c r="D216" s="828"/>
      <c r="E216" s="156" t="str">
        <f>Summary!C44</f>
        <v>NPD Contract - Saved Procurement Time</v>
      </c>
      <c r="F216" s="5"/>
      <c r="G216" s="5"/>
      <c r="H216" s="5"/>
      <c r="I216" s="5"/>
      <c r="J216" s="5"/>
      <c r="K216" s="5"/>
      <c r="L216" s="5"/>
      <c r="M216" s="5"/>
      <c r="N216" s="5"/>
      <c r="O216" s="5"/>
    </row>
    <row r="217" spans="1:15">
      <c r="A217" s="39"/>
      <c r="B217" s="7" t="s">
        <v>189</v>
      </c>
      <c r="C217" s="134" t="str">
        <f>'C6 NPD Saved Proc Time'!D47</f>
        <v>D - Moderate</v>
      </c>
      <c r="D217" s="829"/>
      <c r="E217" s="176">
        <f>VLOOKUP(C217,'Confidence Factors'!$B$6:$D$9,3)</f>
        <v>0.55000000000000004</v>
      </c>
      <c r="F217" s="8"/>
      <c r="G217" s="8"/>
      <c r="H217" s="8"/>
      <c r="I217" s="8"/>
      <c r="J217" s="8"/>
      <c r="K217" s="8"/>
      <c r="L217" s="8"/>
      <c r="M217" s="8"/>
      <c r="N217" s="8"/>
      <c r="O217" s="8"/>
    </row>
    <row r="218" spans="1:15">
      <c r="A218" s="39"/>
      <c r="B218" s="7" t="s">
        <v>30</v>
      </c>
      <c r="C218" s="128">
        <f>SUM(E218:O218)</f>
        <v>1557325</v>
      </c>
      <c r="D218" s="836"/>
      <c r="E218" s="177">
        <v>0</v>
      </c>
      <c r="F218" s="19">
        <f>(('C5 RHSC DCN Comp'!$D77)*0.25)*'C5 RHSC DCN Comp'!$D82*'Calcs - Scen 2'!$E217</f>
        <v>0</v>
      </c>
      <c r="G218" s="516">
        <f>'C6 NPD Saved Proc Time'!L$79*'C6 NPD Saved Proc Time'!$D75*'Calcs - Scen 2'!$E217</f>
        <v>0</v>
      </c>
      <c r="H218" s="516">
        <f>(('C6 NPD Saved Proc Time'!M$75)*1000)*'C6 NPD Saved Proc Time'!$D75*'Calcs - Scen 2'!$E217</f>
        <v>192500.00000000003</v>
      </c>
      <c r="I218" s="516">
        <f>(('C6 NPD Saved Proc Time'!N$75)*1000)*'C6 NPD Saved Proc Time'!$D75*'Calcs - Scen 2'!$E217</f>
        <v>192500.00000000003</v>
      </c>
      <c r="J218" s="516">
        <f>(('C6 NPD Saved Proc Time'!O$75)*1000)*'C6 NPD Saved Proc Time'!$D75*'Calcs - Scen 2'!$E217</f>
        <v>340725</v>
      </c>
      <c r="K218" s="516">
        <f>(('C6 NPD Saved Proc Time'!P$75)*1000)*'C6 NPD Saved Proc Time'!$D75*'Calcs - Scen 2'!$E217</f>
        <v>103950.00000000001</v>
      </c>
      <c r="L218" s="516">
        <f>(('C6 NPD Saved Proc Time'!Q$75)*1000)*'C6 NPD Saved Proc Time'!$D75*'Calcs - Scen 2'!$E217</f>
        <v>181912.50000000003</v>
      </c>
      <c r="M218" s="516">
        <f>(('C6 NPD Saved Proc Time'!R$75)*1000)*'C6 NPD Saved Proc Time'!$D75*'Calcs - Scen 2'!$E217</f>
        <v>181912.50000000003</v>
      </c>
      <c r="N218" s="516">
        <f>(('C6 NPD Saved Proc Time'!S$75)*1000)*'C6 NPD Saved Proc Time'!$D75*'Calcs - Scen 2'!$E217</f>
        <v>181912.50000000003</v>
      </c>
      <c r="O218" s="516">
        <f>(('C6 NPD Saved Proc Time'!T$75)*1000)*'C6 NPD Saved Proc Time'!$D75*'Calcs - Scen 2'!$E217</f>
        <v>181912.50000000003</v>
      </c>
    </row>
    <row r="219" spans="1:15">
      <c r="A219" s="39"/>
      <c r="B219" s="7" t="s">
        <v>31</v>
      </c>
      <c r="C219" s="129">
        <f>NPV($C$7,G218:O218)+E218+F218</f>
        <v>1300358.8511808279</v>
      </c>
      <c r="D219" s="837"/>
      <c r="E219" s="7"/>
      <c r="F219" s="8"/>
      <c r="G219" s="8"/>
      <c r="H219" s="8"/>
      <c r="I219" s="8"/>
      <c r="J219" s="8"/>
      <c r="K219" s="8"/>
      <c r="L219" s="8"/>
      <c r="M219" s="8"/>
      <c r="N219" s="8"/>
      <c r="O219" s="8"/>
    </row>
    <row r="220" spans="1:15">
      <c r="A220" s="39"/>
      <c r="B220" s="7" t="s">
        <v>4</v>
      </c>
      <c r="C220" s="130" t="str">
        <f>IF(SUM(E220:O220)&gt;1,"CHECK"," ")</f>
        <v xml:space="preserve"> </v>
      </c>
      <c r="D220" s="270"/>
      <c r="E220" s="178">
        <v>0</v>
      </c>
      <c r="F220" s="15">
        <v>0.6</v>
      </c>
      <c r="G220" s="15">
        <v>0.4</v>
      </c>
      <c r="H220" s="15"/>
      <c r="I220" s="15"/>
      <c r="J220" s="15"/>
      <c r="K220" s="15"/>
      <c r="L220" s="15"/>
      <c r="M220" s="15"/>
      <c r="N220" s="15"/>
      <c r="O220" s="15"/>
    </row>
    <row r="221" spans="1:15" ht="15.75" thickBot="1">
      <c r="A221" s="39"/>
      <c r="B221" s="11"/>
      <c r="C221" s="51"/>
      <c r="D221" s="838" t="s">
        <v>847</v>
      </c>
      <c r="E221" s="179">
        <f t="shared" ref="E221:O221" si="32">IF(E220&gt;0,(E220*$C219),0)</f>
        <v>0</v>
      </c>
      <c r="F221" s="20">
        <f t="shared" si="32"/>
        <v>780215.31070849672</v>
      </c>
      <c r="G221" s="20">
        <f t="shared" si="32"/>
        <v>520143.54047233122</v>
      </c>
      <c r="H221" s="20">
        <f t="shared" si="32"/>
        <v>0</v>
      </c>
      <c r="I221" s="20">
        <f t="shared" si="32"/>
        <v>0</v>
      </c>
      <c r="J221" s="20">
        <f t="shared" si="32"/>
        <v>0</v>
      </c>
      <c r="K221" s="20">
        <f t="shared" si="32"/>
        <v>0</v>
      </c>
      <c r="L221" s="20">
        <f t="shared" si="32"/>
        <v>0</v>
      </c>
      <c r="M221" s="20">
        <f t="shared" si="32"/>
        <v>0</v>
      </c>
      <c r="N221" s="20">
        <f t="shared" si="32"/>
        <v>0</v>
      </c>
      <c r="O221" s="20">
        <f t="shared" si="32"/>
        <v>0</v>
      </c>
    </row>
    <row r="222" spans="1:15" ht="15.75" thickBot="1">
      <c r="A222" s="39"/>
      <c r="B222" s="7"/>
      <c r="C222" s="10"/>
      <c r="D222" s="139"/>
      <c r="E222" s="221"/>
      <c r="F222" s="172"/>
      <c r="G222" s="172"/>
      <c r="H222" s="172"/>
      <c r="I222" s="172"/>
      <c r="J222" s="172"/>
      <c r="K222" s="172"/>
      <c r="L222" s="172"/>
      <c r="M222" s="172"/>
      <c r="N222" s="172"/>
      <c r="O222" s="172"/>
    </row>
    <row r="223" spans="1:15">
      <c r="A223" s="39"/>
      <c r="B223" s="4" t="s">
        <v>12</v>
      </c>
      <c r="C223" s="133" t="str">
        <f>Summary!B45</f>
        <v>C7</v>
      </c>
      <c r="D223" s="828"/>
      <c r="E223" s="156" t="str">
        <f>Summary!C45</f>
        <v xml:space="preserve">NPD Contract - Optimal Risk Transfer </v>
      </c>
      <c r="F223" s="5"/>
      <c r="G223" s="5"/>
      <c r="H223" s="5"/>
      <c r="I223" s="5"/>
      <c r="J223" s="5"/>
      <c r="K223" s="5"/>
      <c r="L223" s="5"/>
      <c r="M223" s="5"/>
      <c r="N223" s="5"/>
      <c r="O223" s="5"/>
    </row>
    <row r="224" spans="1:15">
      <c r="A224" s="39"/>
      <c r="B224" s="7" t="s">
        <v>189</v>
      </c>
      <c r="C224" s="134" t="str">
        <f>'C7 NPD Optimal Risk Transfer'!D47</f>
        <v>C - Good</v>
      </c>
      <c r="D224" s="829"/>
      <c r="E224" s="176">
        <f>VLOOKUP(C224,'Confidence Factors'!$B$6:$D$9,3)</f>
        <v>0.75</v>
      </c>
      <c r="F224" s="8"/>
      <c r="G224" s="8"/>
      <c r="H224" s="8"/>
      <c r="I224" s="8"/>
      <c r="J224" s="8"/>
      <c r="K224" s="8"/>
      <c r="L224" s="8"/>
      <c r="M224" s="8"/>
      <c r="N224" s="8"/>
      <c r="O224" s="8"/>
    </row>
    <row r="225" spans="1:15">
      <c r="A225" s="39"/>
      <c r="B225" s="7" t="s">
        <v>30</v>
      </c>
      <c r="C225" s="128">
        <f>SUM(E225:O225)</f>
        <v>3267699.9999999995</v>
      </c>
      <c r="D225" s="836"/>
      <c r="E225" s="177">
        <v>0</v>
      </c>
      <c r="F225" s="19">
        <f>(('C5 RHSC DCN Comp'!$D84)*0.25)*'C5 RHSC DCN Comp'!$D89*'Calcs - Scen 2'!$E224</f>
        <v>0</v>
      </c>
      <c r="G225" s="516">
        <f>'C6 NPD Saved Proc Time'!L$79*'C6 NPD Saved Proc Time'!$D82*'Calcs - Scen 2'!$E224</f>
        <v>0</v>
      </c>
      <c r="H225" s="516">
        <f>'C6 NPD Saved Proc Time'!M$79*'C6 NPD Saved Proc Time'!$D82*'Calcs - Scen 2'!$E224</f>
        <v>0</v>
      </c>
      <c r="I225" s="516">
        <f>'C6 NPD Saved Proc Time'!N$79*'C6 NPD Saved Proc Time'!$D82*'Calcs - Scen 2'!$E224</f>
        <v>0</v>
      </c>
      <c r="J225" s="516">
        <f>'C7 NPD Optimal Risk Transfer'!R$42*'C7 NPD Optimal Risk Transfer'!$D75*'Calcs - Scen 2'!$E224</f>
        <v>166041.66666666663</v>
      </c>
      <c r="K225" s="516">
        <f>'C7 NPD Optimal Risk Transfer'!S$42*'C7 NPD Optimal Risk Transfer'!$D75*'Calcs - Scen 2'!$E224</f>
        <v>444991.66666666669</v>
      </c>
      <c r="L225" s="516">
        <f>'C7 NPD Optimal Risk Transfer'!T$42*'C7 NPD Optimal Risk Transfer'!$D75*'Calcs - Scen 2'!$E224</f>
        <v>664166.66666666651</v>
      </c>
      <c r="M225" s="516">
        <f>'C7 NPD Optimal Risk Transfer'!U$42*'C7 NPD Optimal Risk Transfer'!$D75*'Calcs - Scen 2'!$E224</f>
        <v>664166.66666666651</v>
      </c>
      <c r="N225" s="516">
        <f>'C7 NPD Optimal Risk Transfer'!V$42*'C7 NPD Optimal Risk Transfer'!$D75*'Calcs - Scen 2'!$E224</f>
        <v>664166.66666666651</v>
      </c>
      <c r="O225" s="516">
        <f>'C7 NPD Optimal Risk Transfer'!W$42*'C7 NPD Optimal Risk Transfer'!$D75*'Calcs - Scen 2'!$E224</f>
        <v>664166.66666666651</v>
      </c>
    </row>
    <row r="226" spans="1:15">
      <c r="A226" s="39"/>
      <c r="B226" s="7" t="s">
        <v>31</v>
      </c>
      <c r="C226" s="129">
        <f>NPV($C$7,G225:O225)+E225+F225</f>
        <v>2573391.2662979001</v>
      </c>
      <c r="D226" s="837"/>
      <c r="E226" s="7"/>
      <c r="F226" s="8"/>
      <c r="G226" s="8"/>
      <c r="H226" s="8"/>
      <c r="I226" s="8"/>
      <c r="J226" s="8"/>
      <c r="K226" s="8"/>
      <c r="L226" s="8"/>
      <c r="M226" s="8"/>
      <c r="N226" s="8"/>
      <c r="O226" s="8"/>
    </row>
    <row r="227" spans="1:15">
      <c r="A227" s="39"/>
      <c r="B227" s="7" t="s">
        <v>4</v>
      </c>
      <c r="C227" s="130" t="str">
        <f>IF(SUM(E227:O227)&gt;1,"CHECK"," ")</f>
        <v xml:space="preserve"> </v>
      </c>
      <c r="D227" s="270"/>
      <c r="E227" s="178">
        <v>0</v>
      </c>
      <c r="F227" s="15">
        <v>0.33</v>
      </c>
      <c r="G227" s="15">
        <v>0.67</v>
      </c>
      <c r="H227" s="15"/>
      <c r="I227" s="15"/>
      <c r="J227" s="15"/>
      <c r="K227" s="15"/>
      <c r="L227" s="15"/>
      <c r="M227" s="15"/>
      <c r="N227" s="15"/>
      <c r="O227" s="15"/>
    </row>
    <row r="228" spans="1:15" ht="15.75" thickBot="1">
      <c r="A228" s="39"/>
      <c r="B228" s="11"/>
      <c r="C228" s="539"/>
      <c r="D228" s="831" t="s">
        <v>847</v>
      </c>
      <c r="E228" s="179">
        <f t="shared" ref="E228:O228" si="33">IF(E227&gt;0,(E227*$C226),0)</f>
        <v>0</v>
      </c>
      <c r="F228" s="20">
        <f t="shared" si="33"/>
        <v>849219.11787830712</v>
      </c>
      <c r="G228" s="20">
        <f t="shared" si="33"/>
        <v>1724172.1484195932</v>
      </c>
      <c r="H228" s="20">
        <f t="shared" si="33"/>
        <v>0</v>
      </c>
      <c r="I228" s="20">
        <f t="shared" si="33"/>
        <v>0</v>
      </c>
      <c r="J228" s="20">
        <f t="shared" si="33"/>
        <v>0</v>
      </c>
      <c r="K228" s="20">
        <f t="shared" si="33"/>
        <v>0</v>
      </c>
      <c r="L228" s="20">
        <f t="shared" si="33"/>
        <v>0</v>
      </c>
      <c r="M228" s="20">
        <f t="shared" si="33"/>
        <v>0</v>
      </c>
      <c r="N228" s="20">
        <f t="shared" si="33"/>
        <v>0</v>
      </c>
      <c r="O228" s="20">
        <f t="shared" si="33"/>
        <v>0</v>
      </c>
    </row>
    <row r="229" spans="1:15" ht="15.75" thickBot="1">
      <c r="A229" s="39"/>
      <c r="B229" s="7"/>
      <c r="C229" s="10"/>
      <c r="D229" s="139"/>
      <c r="E229" s="221"/>
      <c r="F229" s="172"/>
      <c r="G229" s="172"/>
      <c r="H229" s="172"/>
      <c r="I229" s="172"/>
      <c r="J229" s="172"/>
      <c r="K229" s="172"/>
      <c r="L229" s="172"/>
      <c r="M229" s="172"/>
      <c r="N229" s="172"/>
      <c r="O229" s="172"/>
    </row>
    <row r="230" spans="1:15">
      <c r="A230" s="39"/>
      <c r="B230" s="4" t="s">
        <v>12</v>
      </c>
      <c r="C230" s="133" t="str">
        <f>Summary!B46</f>
        <v>C8</v>
      </c>
      <c r="D230" s="828"/>
      <c r="E230" s="156" t="str">
        <f>Summary!C46</f>
        <v>NPD Programme - Reduced Cost of Capital</v>
      </c>
      <c r="F230" s="5"/>
      <c r="G230" s="5"/>
      <c r="H230" s="5"/>
      <c r="I230" s="5"/>
      <c r="J230" s="5"/>
      <c r="K230" s="5"/>
      <c r="L230" s="5"/>
      <c r="M230" s="5"/>
      <c r="N230" s="5"/>
      <c r="O230" s="5"/>
    </row>
    <row r="231" spans="1:15">
      <c r="A231" s="39"/>
      <c r="B231" s="7" t="s">
        <v>189</v>
      </c>
      <c r="C231" s="134" t="str">
        <f>'C8 Reduced Cost of Capital'!D47</f>
        <v>D - Moderate</v>
      </c>
      <c r="D231" s="829"/>
      <c r="E231" s="176">
        <f>VLOOKUP(C231,'Confidence Factors'!$B$6:$D$9,3)</f>
        <v>0.55000000000000004</v>
      </c>
      <c r="F231" s="8"/>
      <c r="G231" s="8"/>
      <c r="H231" s="8"/>
      <c r="I231" s="8"/>
      <c r="J231" s="8"/>
      <c r="K231" s="8"/>
      <c r="L231" s="8"/>
      <c r="M231" s="8"/>
      <c r="N231" s="8"/>
      <c r="O231" s="8"/>
    </row>
    <row r="232" spans="1:15">
      <c r="A232" s="39"/>
      <c r="B232" s="7" t="s">
        <v>30</v>
      </c>
      <c r="C232" s="128">
        <f>SUM(E232:O232)</f>
        <v>3616250</v>
      </c>
      <c r="D232" s="836"/>
      <c r="E232" s="177">
        <v>0</v>
      </c>
      <c r="F232" s="19">
        <f>(('C5 RHSC DCN Comp'!$D91)*0.25)*'C5 RHSC DCN Comp'!$D96*'Calcs - Scen 2'!$E231</f>
        <v>0</v>
      </c>
      <c r="G232" s="516">
        <f>'C6 NPD Saved Proc Time'!L$79*'C6 NPD Saved Proc Time'!$D89*'Calcs - Scen 2'!$E231</f>
        <v>0</v>
      </c>
      <c r="H232" s="516">
        <f>'C6 NPD Saved Proc Time'!M$79*'C6 NPD Saved Proc Time'!$D89*'Calcs - Scen 2'!$E231</f>
        <v>0</v>
      </c>
      <c r="I232" s="516">
        <f>'C6 NPD Saved Proc Time'!N$79*'C6 NPD Saved Proc Time'!$D89*'Calcs - Scen 2'!$E231</f>
        <v>0</v>
      </c>
      <c r="J232" s="516">
        <f>'C7 NPD Optimal Risk Transfer'!R$42*'C7 NPD Optimal Risk Transfer'!$D82*'Calcs - Scen 2'!$E231</f>
        <v>0</v>
      </c>
      <c r="K232" s="516">
        <f>'C7 NPD Optimal Risk Transfer'!S$42*'C7 NPD Optimal Risk Transfer'!$D82*'Calcs - Scen 2'!$E231</f>
        <v>0</v>
      </c>
      <c r="L232" s="516">
        <f>(('C8 Reduced Cost of Capital'!R74)*1000)*'C8 Reduced Cost of Capital'!D75*'Calcs - Scen 2'!E231</f>
        <v>440000.00000000006</v>
      </c>
      <c r="M232" s="516">
        <f>(('C8 Reduced Cost of Capital'!$S74)*1000)*'C8 Reduced Cost of Capital'!$D75*'Calcs - Scen 2'!$E231</f>
        <v>1058750</v>
      </c>
      <c r="N232" s="516">
        <f>(('C8 Reduced Cost of Capital'!$S74)*1000)*'C8 Reduced Cost of Capital'!$D75*'Calcs - Scen 2'!$E231</f>
        <v>1058750</v>
      </c>
      <c r="O232" s="516">
        <f>(('C8 Reduced Cost of Capital'!$S74)*1000)*'C8 Reduced Cost of Capital'!$D75*'Calcs - Scen 2'!$E231</f>
        <v>1058750</v>
      </c>
    </row>
    <row r="233" spans="1:15">
      <c r="A233" s="39"/>
      <c r="B233" s="7" t="s">
        <v>31</v>
      </c>
      <c r="C233" s="129">
        <f>NPV($C$7,G232:O232)+E232+F232</f>
        <v>2770972.8650691141</v>
      </c>
      <c r="D233" s="837"/>
      <c r="E233" s="7"/>
      <c r="F233" s="8"/>
      <c r="G233" s="8"/>
      <c r="H233" s="8"/>
      <c r="I233" s="8"/>
      <c r="J233" s="8"/>
      <c r="K233" s="8"/>
      <c r="L233" s="8"/>
      <c r="M233" s="8"/>
      <c r="N233" s="8"/>
      <c r="O233" s="8"/>
    </row>
    <row r="234" spans="1:15">
      <c r="A234" s="39"/>
      <c r="B234" s="7" t="s">
        <v>4</v>
      </c>
      <c r="C234" s="130" t="str">
        <f>IF(SUM(E234:O234)&gt;1,"CHECK"," ")</f>
        <v xml:space="preserve"> </v>
      </c>
      <c r="D234" s="270"/>
      <c r="E234" s="178">
        <v>0</v>
      </c>
      <c r="F234" s="15">
        <v>0.2</v>
      </c>
      <c r="G234" s="15">
        <v>0.4</v>
      </c>
      <c r="H234" s="15">
        <v>0.4</v>
      </c>
      <c r="I234" s="15"/>
      <c r="J234" s="15"/>
      <c r="K234" s="15"/>
      <c r="L234" s="15"/>
      <c r="M234" s="15"/>
      <c r="N234" s="15"/>
      <c r="O234" s="15"/>
    </row>
    <row r="235" spans="1:15" ht="15.75" thickBot="1">
      <c r="A235" s="39"/>
      <c r="B235" s="11"/>
      <c r="C235" s="539"/>
      <c r="D235" s="831" t="s">
        <v>847</v>
      </c>
      <c r="E235" s="179">
        <f t="shared" ref="E235:O235" si="34">IF(E234&gt;0,(E234*$C233),0)</f>
        <v>0</v>
      </c>
      <c r="F235" s="20">
        <f t="shared" si="34"/>
        <v>554194.5730138229</v>
      </c>
      <c r="G235" s="20">
        <f t="shared" si="34"/>
        <v>1108389.1460276458</v>
      </c>
      <c r="H235" s="20">
        <f t="shared" si="34"/>
        <v>1108389.1460276458</v>
      </c>
      <c r="I235" s="20">
        <f t="shared" si="34"/>
        <v>0</v>
      </c>
      <c r="J235" s="20">
        <f t="shared" si="34"/>
        <v>0</v>
      </c>
      <c r="K235" s="20">
        <f t="shared" si="34"/>
        <v>0</v>
      </c>
      <c r="L235" s="20">
        <f t="shared" si="34"/>
        <v>0</v>
      </c>
      <c r="M235" s="20">
        <f t="shared" si="34"/>
        <v>0</v>
      </c>
      <c r="N235" s="20">
        <f t="shared" si="34"/>
        <v>0</v>
      </c>
      <c r="O235" s="20">
        <f t="shared" si="34"/>
        <v>0</v>
      </c>
    </row>
    <row r="236" spans="1:15" ht="15.75" thickBot="1">
      <c r="A236" s="39"/>
      <c r="B236" s="7"/>
      <c r="C236" s="10"/>
      <c r="D236" s="139"/>
      <c r="E236" s="221"/>
      <c r="F236" s="172"/>
      <c r="G236" s="172"/>
      <c r="H236" s="172"/>
      <c r="I236" s="172"/>
      <c r="J236" s="172"/>
      <c r="K236" s="172"/>
      <c r="L236" s="172"/>
      <c r="M236" s="172"/>
      <c r="N236" s="172"/>
      <c r="O236" s="172"/>
    </row>
    <row r="237" spans="1:15">
      <c r="A237" s="39"/>
      <c r="B237" s="4" t="s">
        <v>12</v>
      </c>
      <c r="C237" s="133" t="str">
        <f>Summary!B47</f>
        <v>C9</v>
      </c>
      <c r="D237" s="828"/>
      <c r="E237" s="156" t="str">
        <f>Summary!C47</f>
        <v>hub - Return on Working capital investment</v>
      </c>
      <c r="F237" s="5"/>
      <c r="G237" s="5"/>
      <c r="H237" s="5"/>
      <c r="I237" s="5"/>
      <c r="J237" s="5"/>
      <c r="K237" s="5"/>
      <c r="L237" s="5"/>
      <c r="M237" s="5"/>
      <c r="N237" s="5"/>
      <c r="O237" s="5"/>
    </row>
    <row r="238" spans="1:15">
      <c r="A238" s="39"/>
      <c r="B238" s="7" t="s">
        <v>189</v>
      </c>
      <c r="C238" s="134" t="str">
        <f>'C9 hub Return on Workg Cap Inv'!D47</f>
        <v>B - Very Good</v>
      </c>
      <c r="D238" s="829"/>
      <c r="E238" s="176">
        <f>VLOOKUP(C238,'Confidence Factors'!$B$6:$D$9,3)</f>
        <v>0.9</v>
      </c>
      <c r="F238" s="8"/>
      <c r="G238" s="8"/>
      <c r="H238" s="8"/>
      <c r="I238" s="8"/>
      <c r="J238" s="8"/>
      <c r="K238" s="8"/>
      <c r="L238" s="8"/>
      <c r="M238" s="8"/>
      <c r="N238" s="8"/>
      <c r="O238" s="8"/>
    </row>
    <row r="239" spans="1:15">
      <c r="A239" s="39"/>
      <c r="B239" s="7" t="s">
        <v>30</v>
      </c>
      <c r="C239" s="128">
        <f>SUM(E239:O239)</f>
        <v>17100</v>
      </c>
      <c r="D239" s="836"/>
      <c r="E239" s="177">
        <v>0</v>
      </c>
      <c r="F239" s="19">
        <f>'C9 hub Return on Workg Cap Inv'!I$73*'C9 hub Return on Workg Cap Inv'!$D75*'Calcs - Scen 2'!$E238</f>
        <v>2850</v>
      </c>
      <c r="G239" s="19">
        <f>'C9 hub Return on Workg Cap Inv'!J$73*'C9 hub Return on Workg Cap Inv'!$D75*'Calcs - Scen 2'!$E238</f>
        <v>2850</v>
      </c>
      <c r="H239" s="19">
        <f>'C9 hub Return on Workg Cap Inv'!K$73*'C9 hub Return on Workg Cap Inv'!$D75*'Calcs - Scen 2'!$E238</f>
        <v>2850</v>
      </c>
      <c r="I239" s="19">
        <f>'C9 hub Return on Workg Cap Inv'!L$73*'C9 hub Return on Workg Cap Inv'!$D75*'Calcs - Scen 2'!$E238</f>
        <v>2850</v>
      </c>
      <c r="J239" s="19">
        <f>'C9 hub Return on Workg Cap Inv'!M$73*'C9 hub Return on Workg Cap Inv'!$D75*'Calcs - Scen 2'!$E238</f>
        <v>2850</v>
      </c>
      <c r="K239" s="19">
        <f>'C9 hub Return on Workg Cap Inv'!N$73*'C9 hub Return on Workg Cap Inv'!$D75*'Calcs - Scen 2'!$E238</f>
        <v>2850</v>
      </c>
      <c r="L239" s="19">
        <f>'C9 hub Return on Workg Cap Inv'!O$73*'C9 hub Return on Workg Cap Inv'!$D75*'Calcs - Scen 2'!$E238</f>
        <v>0</v>
      </c>
      <c r="M239" s="19">
        <f>'C9 hub Return on Workg Cap Inv'!P$73*'C9 hub Return on Workg Cap Inv'!$D75*'Calcs - Scen 2'!$E238</f>
        <v>0</v>
      </c>
      <c r="N239" s="19">
        <f>'C9 hub Return on Workg Cap Inv'!Q$73*'C9 hub Return on Workg Cap Inv'!$D75*'Calcs - Scen 2'!$E238</f>
        <v>0</v>
      </c>
      <c r="O239" s="19">
        <f>'C9 hub Return on Workg Cap Inv'!R$73*'C9 hub Return on Workg Cap Inv'!$D75*'Calcs - Scen 2'!$E238</f>
        <v>0</v>
      </c>
    </row>
    <row r="240" spans="1:15">
      <c r="A240" s="39"/>
      <c r="B240" s="7" t="s">
        <v>31</v>
      </c>
      <c r="C240" s="129">
        <f>NPV($C$7,G239:O239)+E239+F239</f>
        <v>15717.899270091635</v>
      </c>
      <c r="D240" s="837"/>
      <c r="E240" s="7"/>
      <c r="F240" s="8"/>
      <c r="G240" s="8"/>
      <c r="H240" s="8"/>
      <c r="I240" s="8"/>
      <c r="J240" s="8"/>
      <c r="K240" s="8"/>
      <c r="L240" s="8"/>
      <c r="M240" s="8"/>
      <c r="N240" s="8"/>
      <c r="O240" s="8"/>
    </row>
    <row r="241" spans="1:15">
      <c r="A241" s="39"/>
      <c r="B241" s="7" t="s">
        <v>4</v>
      </c>
      <c r="C241" s="130" t="str">
        <f>IF(SUM(E241:O241)&gt;1,"CHECK"," ")</f>
        <v xml:space="preserve"> </v>
      </c>
      <c r="D241" s="270"/>
      <c r="E241" s="178">
        <v>0.5</v>
      </c>
      <c r="F241" s="15">
        <v>0.5</v>
      </c>
      <c r="G241" s="15">
        <v>0</v>
      </c>
      <c r="H241" s="15">
        <v>0</v>
      </c>
      <c r="I241" s="15"/>
      <c r="J241" s="15"/>
      <c r="K241" s="15"/>
      <c r="L241" s="15"/>
      <c r="M241" s="15"/>
      <c r="N241" s="15"/>
      <c r="O241" s="15"/>
    </row>
    <row r="242" spans="1:15" ht="15.75" thickBot="1">
      <c r="A242" s="39"/>
      <c r="B242" s="11"/>
      <c r="C242" s="539"/>
      <c r="D242" s="831" t="s">
        <v>93</v>
      </c>
      <c r="E242" s="179">
        <f t="shared" ref="E242:O242" si="35">IF(E241&gt;0,(E241*$C240),0)</f>
        <v>7858.9496350458176</v>
      </c>
      <c r="F242" s="20">
        <f t="shared" si="35"/>
        <v>7858.9496350458176</v>
      </c>
      <c r="G242" s="20">
        <f t="shared" si="35"/>
        <v>0</v>
      </c>
      <c r="H242" s="20">
        <f t="shared" si="35"/>
        <v>0</v>
      </c>
      <c r="I242" s="20">
        <f t="shared" si="35"/>
        <v>0</v>
      </c>
      <c r="J242" s="20">
        <f t="shared" si="35"/>
        <v>0</v>
      </c>
      <c r="K242" s="20">
        <f t="shared" si="35"/>
        <v>0</v>
      </c>
      <c r="L242" s="20">
        <f t="shared" si="35"/>
        <v>0</v>
      </c>
      <c r="M242" s="20">
        <f t="shared" si="35"/>
        <v>0</v>
      </c>
      <c r="N242" s="20">
        <f t="shared" si="35"/>
        <v>0</v>
      </c>
      <c r="O242" s="20">
        <f t="shared" si="35"/>
        <v>0</v>
      </c>
    </row>
    <row r="243" spans="1:15" ht="15.75" thickBot="1">
      <c r="A243" s="39"/>
      <c r="B243" s="7"/>
      <c r="C243" s="10"/>
      <c r="D243" s="139"/>
      <c r="E243" s="221"/>
      <c r="F243" s="172"/>
      <c r="G243" s="172"/>
      <c r="H243" s="172"/>
      <c r="I243" s="172"/>
      <c r="J243" s="172"/>
      <c r="K243" s="172"/>
      <c r="L243" s="172"/>
      <c r="M243" s="172"/>
      <c r="N243" s="172"/>
      <c r="O243" s="172"/>
    </row>
    <row r="244" spans="1:15">
      <c r="A244" s="39"/>
      <c r="B244" s="4" t="s">
        <v>12</v>
      </c>
      <c r="C244" s="133" t="str">
        <f>Summary!B48</f>
        <v>D1</v>
      </c>
      <c r="D244" s="828"/>
      <c r="E244" s="156" t="str">
        <f>Summary!C48</f>
        <v>Hub Programme - Reduced Procurement Time</v>
      </c>
      <c r="F244" s="5"/>
      <c r="G244" s="5"/>
      <c r="H244" s="5"/>
      <c r="I244" s="5"/>
      <c r="J244" s="5"/>
      <c r="K244" s="5"/>
      <c r="L244" s="5"/>
      <c r="M244" s="5"/>
      <c r="N244" s="5"/>
      <c r="O244" s="5"/>
    </row>
    <row r="245" spans="1:15">
      <c r="A245" s="39"/>
      <c r="B245" s="7" t="s">
        <v>189</v>
      </c>
      <c r="C245" s="134" t="str">
        <f>'D1 hub Reduced Proc Time'!D47</f>
        <v>B - Very Good</v>
      </c>
      <c r="D245" s="829"/>
      <c r="E245" s="176">
        <f>VLOOKUP(C245,'Confidence Factors'!$B$6:$D$9,3)</f>
        <v>0.9</v>
      </c>
      <c r="F245" s="8"/>
      <c r="G245" s="8"/>
      <c r="H245" s="8"/>
      <c r="I245" s="8"/>
      <c r="J245" s="8"/>
      <c r="K245" s="8"/>
      <c r="L245" s="8"/>
      <c r="M245" s="8"/>
      <c r="N245" s="8"/>
      <c r="O245" s="8"/>
    </row>
    <row r="246" spans="1:15">
      <c r="A246" s="39"/>
      <c r="B246" s="7" t="s">
        <v>30</v>
      </c>
      <c r="C246" s="128">
        <f>SUM(G246:O246)</f>
        <v>6672900</v>
      </c>
      <c r="D246" s="836"/>
      <c r="E246" s="124">
        <f>'D1-D5 hub Benefit Summary'!E8*1000000*$E$245</f>
        <v>0</v>
      </c>
      <c r="F246" s="124">
        <f>'D1-D5 hub Benefit Summary'!F8*1000000*$E$245</f>
        <v>0</v>
      </c>
      <c r="G246" s="124">
        <f>'D1-D5 hub Benefit Summary'!G8*1000000*$E$245</f>
        <v>594000</v>
      </c>
      <c r="H246" s="124">
        <f>'D1-D5 hub Benefit Summary'!H8*1000000*$E$245</f>
        <v>771299.99999999988</v>
      </c>
      <c r="I246" s="124">
        <f>'D1-D5 hub Benefit Summary'!I8*1000000*$E$245</f>
        <v>531637.5</v>
      </c>
      <c r="J246" s="124">
        <f>'D1-D5 hub Benefit Summary'!J8*1000000*$E$245</f>
        <v>659212.50000000012</v>
      </c>
      <c r="K246" s="124">
        <f>'D1-D5 hub Benefit Summary'!K8*1000000*$E$245</f>
        <v>713925</v>
      </c>
      <c r="L246" s="124">
        <f>'D1-D5 hub Benefit Summary'!L8*1000000*$E$245</f>
        <v>768637.50000000023</v>
      </c>
      <c r="M246" s="124">
        <f>'D1-D5 hub Benefit Summary'!M8*1000000*$E$245</f>
        <v>823350</v>
      </c>
      <c r="N246" s="124">
        <f>'D1-D5 hub Benefit Summary'!N8*1000000*$E$245</f>
        <v>878062.50000000023</v>
      </c>
      <c r="O246" s="124">
        <f>'D1-D5 hub Benefit Summary'!O8*1000000*$E$245</f>
        <v>932775.00000000012</v>
      </c>
    </row>
    <row r="247" spans="1:15">
      <c r="A247" s="39"/>
      <c r="B247" s="7" t="s">
        <v>31</v>
      </c>
      <c r="C247" s="129">
        <f>NPV($C$7,G246:O246)+E246+F246</f>
        <v>5572657.1906640893</v>
      </c>
      <c r="D247" s="837"/>
      <c r="E247" s="7"/>
      <c r="F247" s="8"/>
      <c r="G247" s="8"/>
      <c r="H247" s="8"/>
      <c r="I247" s="8"/>
      <c r="J247" s="8"/>
      <c r="K247" s="8"/>
      <c r="L247" s="8"/>
      <c r="M247" s="8"/>
      <c r="N247" s="8"/>
      <c r="O247" s="8"/>
    </row>
    <row r="248" spans="1:15">
      <c r="A248" s="39"/>
      <c r="B248" s="7" t="s">
        <v>4</v>
      </c>
      <c r="C248" s="130" t="str">
        <f>IF(SUM(E248:O248)&gt;1,"CHECK"," ")</f>
        <v xml:space="preserve"> </v>
      </c>
      <c r="D248" s="270"/>
      <c r="E248" s="178">
        <f>'D1-D5 hub Benefit Summary'!E22</f>
        <v>0.4</v>
      </c>
      <c r="F248" s="15">
        <f>'D1-D5 hub Benefit Summary'!F22</f>
        <v>0.3</v>
      </c>
      <c r="G248" s="15">
        <f>'D1-D5 hub Benefit Summary'!G22</f>
        <v>0.2</v>
      </c>
      <c r="H248" s="15">
        <f>'D1-D5 hub Benefit Summary'!H22</f>
        <v>0.1</v>
      </c>
      <c r="I248" s="15">
        <f>'D1-D5 hub Benefit Summary'!I22</f>
        <v>0</v>
      </c>
      <c r="J248" s="15"/>
      <c r="K248" s="15"/>
      <c r="L248" s="15"/>
      <c r="M248" s="15"/>
      <c r="N248" s="15"/>
      <c r="O248" s="15"/>
    </row>
    <row r="249" spans="1:15" ht="15.75" thickBot="1">
      <c r="A249" s="39"/>
      <c r="B249" s="11" t="s">
        <v>32</v>
      </c>
      <c r="C249" s="51"/>
      <c r="D249" s="838" t="s">
        <v>93</v>
      </c>
      <c r="E249" s="179">
        <f t="shared" ref="E249:O249" si="36">IF(E248&gt;0,(E248*$C247),0)</f>
        <v>2229062.8762656357</v>
      </c>
      <c r="F249" s="20">
        <f t="shared" si="36"/>
        <v>1671797.1571992268</v>
      </c>
      <c r="G249" s="20">
        <f t="shared" si="36"/>
        <v>1114531.4381328179</v>
      </c>
      <c r="H249" s="20">
        <f t="shared" si="36"/>
        <v>557265.71906640893</v>
      </c>
      <c r="I249" s="20">
        <f t="shared" si="36"/>
        <v>0</v>
      </c>
      <c r="J249" s="20">
        <f t="shared" si="36"/>
        <v>0</v>
      </c>
      <c r="K249" s="20">
        <f t="shared" si="36"/>
        <v>0</v>
      </c>
      <c r="L249" s="20">
        <f t="shared" si="36"/>
        <v>0</v>
      </c>
      <c r="M249" s="20">
        <f t="shared" si="36"/>
        <v>0</v>
      </c>
      <c r="N249" s="20">
        <f t="shared" si="36"/>
        <v>0</v>
      </c>
      <c r="O249" s="20">
        <f t="shared" si="36"/>
        <v>0</v>
      </c>
    </row>
    <row r="250" spans="1:15" ht="15.75" thickBot="1">
      <c r="A250" s="39"/>
      <c r="B250" s="7"/>
      <c r="C250" s="10"/>
      <c r="D250" s="139"/>
      <c r="E250" s="221"/>
      <c r="F250" s="172"/>
      <c r="G250" s="172"/>
      <c r="H250" s="172"/>
      <c r="I250" s="172"/>
      <c r="J250" s="172"/>
      <c r="K250" s="172"/>
      <c r="L250" s="172"/>
      <c r="M250" s="172"/>
      <c r="N250" s="172"/>
      <c r="O250" s="172"/>
    </row>
    <row r="251" spans="1:15">
      <c r="A251" s="39"/>
      <c r="B251" s="4" t="s">
        <v>12</v>
      </c>
      <c r="C251" s="133" t="str">
        <f>Summary!B49</f>
        <v>D2</v>
      </c>
      <c r="D251" s="828"/>
      <c r="E251" s="156" t="str">
        <f>Summary!C49</f>
        <v>Hub Programme - Capital Costs Continuous Improvement</v>
      </c>
      <c r="F251" s="5"/>
      <c r="G251" s="5"/>
      <c r="H251" s="5"/>
      <c r="I251" s="5"/>
      <c r="J251" s="5"/>
      <c r="K251" s="5"/>
      <c r="L251" s="5"/>
      <c r="M251" s="5"/>
      <c r="N251" s="5"/>
      <c r="O251" s="5"/>
    </row>
    <row r="252" spans="1:15">
      <c r="A252" s="39"/>
      <c r="B252" s="7" t="s">
        <v>189</v>
      </c>
      <c r="C252" s="134" t="str">
        <f>'D2 hub Cont Improvement'!D47</f>
        <v>C - Good</v>
      </c>
      <c r="D252" s="829"/>
      <c r="E252" s="176">
        <f>VLOOKUP(C252,'Confidence Factors'!$B$6:$D$9,3)</f>
        <v>0.75</v>
      </c>
      <c r="F252" s="8"/>
      <c r="G252" s="8"/>
      <c r="H252" s="8"/>
      <c r="I252" s="8"/>
      <c r="J252" s="8"/>
      <c r="K252" s="8"/>
      <c r="L252" s="8"/>
      <c r="M252" s="8"/>
      <c r="N252" s="8"/>
      <c r="O252" s="8"/>
    </row>
    <row r="253" spans="1:15">
      <c r="A253" s="39"/>
      <c r="B253" s="7" t="s">
        <v>30</v>
      </c>
      <c r="C253" s="128">
        <f>SUM(E253:O253)</f>
        <v>7518689.0625</v>
      </c>
      <c r="D253" s="836"/>
      <c r="E253" s="177">
        <f>'D1-D5 hub Benefit Summary'!E10*1000000*$E$252</f>
        <v>0</v>
      </c>
      <c r="F253" s="19">
        <f>'D1-D5 hub Benefit Summary'!F10*1000000*$E$252</f>
        <v>0</v>
      </c>
      <c r="G253" s="19">
        <f>'D1-D5 hub Benefit Summary'!G10*1000000*$E$252</f>
        <v>0</v>
      </c>
      <c r="H253" s="19">
        <f>'D1-D5 hub Benefit Summary'!H10*1000000*$E$252</f>
        <v>155625.00000000003</v>
      </c>
      <c r="I253" s="19">
        <f>'D1-D5 hub Benefit Summary'!I10*1000000*$E$252</f>
        <v>313125.00000000006</v>
      </c>
      <c r="J253" s="19">
        <f>'D1-D5 hub Benefit Summary'!J10*1000000*$E$252</f>
        <v>534900</v>
      </c>
      <c r="K253" s="19">
        <f>'D1-D5 hub Benefit Summary'!K10*1000000*$E$252</f>
        <v>763579.6875</v>
      </c>
      <c r="L253" s="19">
        <f>'D1-D5 hub Benefit Summary'!L10*1000000*$E$252</f>
        <v>1012776.5625000002</v>
      </c>
      <c r="M253" s="19">
        <f>'D1-D5 hub Benefit Summary'!M10*1000000*$E$252</f>
        <v>1282490.625</v>
      </c>
      <c r="N253" s="19">
        <f>'D1-D5 hub Benefit Summary'!N10*1000000*$E$252</f>
        <v>1572721.8750000005</v>
      </c>
      <c r="O253" s="19">
        <f>'D1-D5 hub Benefit Summary'!O10*1000000*$E$252</f>
        <v>1883470.3125</v>
      </c>
    </row>
    <row r="254" spans="1:15">
      <c r="A254" s="39"/>
      <c r="B254" s="7" t="s">
        <v>31</v>
      </c>
      <c r="C254" s="129">
        <f>NPV($C$7,G253:ANO253)+E253+F253</f>
        <v>5944970.562301279</v>
      </c>
      <c r="D254" s="837"/>
      <c r="E254" s="7"/>
      <c r="F254" s="8"/>
      <c r="G254" s="8"/>
      <c r="H254" s="8"/>
      <c r="I254" s="8"/>
      <c r="J254" s="8"/>
      <c r="K254" s="8"/>
      <c r="L254" s="8"/>
      <c r="M254" s="8"/>
      <c r="N254" s="8"/>
      <c r="O254" s="8"/>
    </row>
    <row r="255" spans="1:15">
      <c r="A255" s="39"/>
      <c r="B255" s="7" t="s">
        <v>4</v>
      </c>
      <c r="C255" s="130" t="str">
        <f>IF(SUM(E255:O255)&gt;1,"CHECK"," ")</f>
        <v xml:space="preserve"> </v>
      </c>
      <c r="D255" s="270"/>
      <c r="E255" s="178">
        <f>'D1-D5 hub Benefit Summary'!E22</f>
        <v>0.4</v>
      </c>
      <c r="F255" s="15">
        <f>'D1-D5 hub Benefit Summary'!F22</f>
        <v>0.3</v>
      </c>
      <c r="G255" s="15">
        <f>'D1-D5 hub Benefit Summary'!G22</f>
        <v>0.2</v>
      </c>
      <c r="H255" s="15">
        <f>'D1-D5 hub Benefit Summary'!H22</f>
        <v>0.1</v>
      </c>
      <c r="I255" s="15">
        <f>'D1-D5 hub Benefit Summary'!I22</f>
        <v>0</v>
      </c>
      <c r="J255" s="15"/>
      <c r="K255" s="15"/>
      <c r="L255" s="15"/>
      <c r="M255" s="15"/>
      <c r="N255" s="15"/>
      <c r="O255" s="15"/>
    </row>
    <row r="256" spans="1:15" ht="15.75" thickBot="1">
      <c r="A256" s="39"/>
      <c r="B256" s="11" t="s">
        <v>32</v>
      </c>
      <c r="C256" s="51"/>
      <c r="D256" s="838" t="s">
        <v>93</v>
      </c>
      <c r="E256" s="179">
        <f t="shared" ref="E256:O256" si="37">IF(E255&gt;0,(E255*$C254),0)</f>
        <v>2377988.2249205117</v>
      </c>
      <c r="F256" s="20">
        <f t="shared" si="37"/>
        <v>1783491.1686903837</v>
      </c>
      <c r="G256" s="20">
        <f t="shared" si="37"/>
        <v>1188994.1124602559</v>
      </c>
      <c r="H256" s="20">
        <f t="shared" si="37"/>
        <v>594497.05623012793</v>
      </c>
      <c r="I256" s="20">
        <f t="shared" si="37"/>
        <v>0</v>
      </c>
      <c r="J256" s="20">
        <f t="shared" si="37"/>
        <v>0</v>
      </c>
      <c r="K256" s="20">
        <f t="shared" si="37"/>
        <v>0</v>
      </c>
      <c r="L256" s="20">
        <f t="shared" si="37"/>
        <v>0</v>
      </c>
      <c r="M256" s="20">
        <f t="shared" si="37"/>
        <v>0</v>
      </c>
      <c r="N256" s="20">
        <f t="shared" si="37"/>
        <v>0</v>
      </c>
      <c r="O256" s="20">
        <f t="shared" si="37"/>
        <v>0</v>
      </c>
    </row>
    <row r="257" spans="1:15" ht="15.75" thickBot="1">
      <c r="A257" s="39"/>
      <c r="B257" s="7"/>
      <c r="C257" s="10"/>
      <c r="D257" s="139"/>
      <c r="E257" s="221"/>
      <c r="F257" s="172"/>
      <c r="G257" s="172"/>
      <c r="H257" s="172"/>
      <c r="I257" s="172"/>
      <c r="J257" s="172"/>
      <c r="K257" s="172"/>
      <c r="L257" s="172"/>
      <c r="M257" s="172"/>
      <c r="N257" s="172"/>
      <c r="O257" s="172"/>
    </row>
    <row r="258" spans="1:15">
      <c r="A258" s="39"/>
      <c r="B258" s="4" t="s">
        <v>12</v>
      </c>
      <c r="C258" s="133" t="str">
        <f>Summary!B50</f>
        <v>D3</v>
      </c>
      <c r="D258" s="828"/>
      <c r="E258" s="156" t="str">
        <f>Summary!C50</f>
        <v>Hub Programme - Bid Costs Savings</v>
      </c>
      <c r="F258" s="5"/>
      <c r="G258" s="5"/>
      <c r="H258" s="5"/>
      <c r="I258" s="5"/>
      <c r="J258" s="5"/>
      <c r="K258" s="5"/>
      <c r="L258" s="5"/>
      <c r="M258" s="5"/>
      <c r="N258" s="5"/>
      <c r="O258" s="5"/>
    </row>
    <row r="259" spans="1:15">
      <c r="A259" s="39"/>
      <c r="B259" s="7" t="s">
        <v>189</v>
      </c>
      <c r="C259" s="134" t="str">
        <f>'D3 hub Savings in Bid Costs'!D47</f>
        <v>B - Very Good</v>
      </c>
      <c r="D259" s="829"/>
      <c r="E259" s="176">
        <f>VLOOKUP(C259,'Confidence Factors'!$B$6:$D$9,3)</f>
        <v>0.9</v>
      </c>
      <c r="F259" s="8"/>
      <c r="G259" s="8"/>
      <c r="H259" s="8"/>
      <c r="I259" s="8"/>
      <c r="J259" s="8"/>
      <c r="K259" s="8"/>
      <c r="L259" s="8"/>
      <c r="M259" s="8"/>
      <c r="N259" s="8"/>
      <c r="O259" s="8"/>
    </row>
    <row r="260" spans="1:15">
      <c r="A260" s="39"/>
      <c r="B260" s="7" t="s">
        <v>30</v>
      </c>
      <c r="C260" s="128">
        <f>SUM(E260:O260)</f>
        <v>3227343.75</v>
      </c>
      <c r="D260" s="836"/>
      <c r="E260" s="230">
        <f>'D1-D5 hub Benefit Summary'!E12*1000000*$E$259</f>
        <v>0</v>
      </c>
      <c r="F260" s="19">
        <f>'D1-D5 hub Benefit Summary'!F12*1000000*$E$259</f>
        <v>0</v>
      </c>
      <c r="G260" s="19">
        <f>'D1-D5 hub Benefit Summary'!G12*1000000*$E$259</f>
        <v>0</v>
      </c>
      <c r="H260" s="19">
        <f>'D1-D5 hub Benefit Summary'!H12*1000000*$E$259</f>
        <v>0</v>
      </c>
      <c r="I260" s="19">
        <f>'D1-D5 hub Benefit Summary'!I12*1000000*$E$259</f>
        <v>126562.5</v>
      </c>
      <c r="J260" s="19">
        <f>'D1-D5 hub Benefit Summary'!J12*1000000*$E$259</f>
        <v>253125</v>
      </c>
      <c r="K260" s="19">
        <f>'D1-D5 hub Benefit Summary'!K12*1000000*$E$259</f>
        <v>358593.75</v>
      </c>
      <c r="L260" s="19">
        <f>'D1-D5 hub Benefit Summary'!L12*1000000*$E$259</f>
        <v>464062.5</v>
      </c>
      <c r="M260" s="19">
        <f>'D1-D5 hub Benefit Summary'!M12*1000000*$E$259</f>
        <v>569531.25</v>
      </c>
      <c r="N260" s="19">
        <f>'D1-D5 hub Benefit Summary'!N12*1000000*$E$259</f>
        <v>675000</v>
      </c>
      <c r="O260" s="19">
        <f>'D1-D5 hub Benefit Summary'!O12*1000000*$E$259</f>
        <v>780468.75</v>
      </c>
    </row>
    <row r="261" spans="1:15">
      <c r="A261" s="39"/>
      <c r="B261" s="7" t="s">
        <v>31</v>
      </c>
      <c r="C261" s="129">
        <f>NPV($C$7,G260:O260)+E260+F260</f>
        <v>2547080.7050985894</v>
      </c>
      <c r="D261" s="837"/>
      <c r="E261" s="7"/>
      <c r="F261" s="8"/>
      <c r="G261" s="8"/>
      <c r="H261" s="8"/>
      <c r="I261" s="8"/>
      <c r="J261" s="8"/>
      <c r="K261" s="8"/>
      <c r="L261" s="8"/>
      <c r="M261" s="8"/>
      <c r="N261" s="8"/>
      <c r="O261" s="8"/>
    </row>
    <row r="262" spans="1:15">
      <c r="A262" s="39"/>
      <c r="B262" s="7" t="s">
        <v>4</v>
      </c>
      <c r="C262" s="130" t="str">
        <f>IF(SUM(E262:O262)&gt;1,"CHECK"," ")</f>
        <v xml:space="preserve"> </v>
      </c>
      <c r="D262" s="270"/>
      <c r="E262" s="178">
        <f>'D1-D5 hub Benefit Summary'!E22</f>
        <v>0.4</v>
      </c>
      <c r="F262" s="15">
        <f>'D1-D5 hub Benefit Summary'!F22</f>
        <v>0.3</v>
      </c>
      <c r="G262" s="15">
        <f>'D1-D5 hub Benefit Summary'!G22</f>
        <v>0.2</v>
      </c>
      <c r="H262" s="15">
        <f>'D1-D5 hub Benefit Summary'!H22</f>
        <v>0.1</v>
      </c>
      <c r="I262" s="15">
        <f>'D1-D5 hub Benefit Summary'!I22</f>
        <v>0</v>
      </c>
      <c r="J262" s="15"/>
      <c r="K262" s="15"/>
      <c r="L262" s="15"/>
      <c r="M262" s="15"/>
      <c r="N262" s="15"/>
      <c r="O262" s="15"/>
    </row>
    <row r="263" spans="1:15" ht="15.75" thickBot="1">
      <c r="A263" s="39"/>
      <c r="B263" s="11" t="s">
        <v>32</v>
      </c>
      <c r="C263" s="51"/>
      <c r="D263" s="838" t="s">
        <v>93</v>
      </c>
      <c r="E263" s="179">
        <f t="shared" ref="E263:O263" si="38">IF(E262&gt;0,(E262*$C261),0)</f>
        <v>1018832.2820394358</v>
      </c>
      <c r="F263" s="20">
        <f t="shared" si="38"/>
        <v>764124.2115295768</v>
      </c>
      <c r="G263" s="20">
        <f t="shared" si="38"/>
        <v>509416.14101971791</v>
      </c>
      <c r="H263" s="20">
        <f t="shared" si="38"/>
        <v>254708.07050985895</v>
      </c>
      <c r="I263" s="20">
        <f t="shared" si="38"/>
        <v>0</v>
      </c>
      <c r="J263" s="20">
        <f t="shared" si="38"/>
        <v>0</v>
      </c>
      <c r="K263" s="20">
        <f t="shared" si="38"/>
        <v>0</v>
      </c>
      <c r="L263" s="20">
        <f t="shared" si="38"/>
        <v>0</v>
      </c>
      <c r="M263" s="20">
        <f t="shared" si="38"/>
        <v>0</v>
      </c>
      <c r="N263" s="20">
        <f t="shared" si="38"/>
        <v>0</v>
      </c>
      <c r="O263" s="20">
        <f t="shared" si="38"/>
        <v>0</v>
      </c>
    </row>
    <row r="264" spans="1:15" ht="15.75" thickBot="1">
      <c r="A264" s="39"/>
      <c r="B264" s="7"/>
      <c r="C264" s="10"/>
      <c r="D264" s="139"/>
      <c r="E264" s="221"/>
      <c r="F264" s="172"/>
      <c r="G264" s="172"/>
      <c r="H264" s="172"/>
      <c r="I264" s="172"/>
      <c r="J264" s="172"/>
      <c r="K264" s="172"/>
      <c r="L264" s="172"/>
      <c r="M264" s="172"/>
      <c r="N264" s="172"/>
      <c r="O264" s="172"/>
    </row>
    <row r="265" spans="1:15">
      <c r="A265" s="39"/>
      <c r="B265" s="4" t="s">
        <v>12</v>
      </c>
      <c r="C265" s="133" t="str">
        <f>Summary!B51</f>
        <v>D4</v>
      </c>
      <c r="D265" s="828"/>
      <c r="E265" s="156" t="str">
        <f>Summary!C51</f>
        <v>Hub Programme - Public Sector Investment Returns</v>
      </c>
      <c r="F265" s="24"/>
      <c r="G265" s="24"/>
      <c r="H265" s="24"/>
      <c r="I265" s="24"/>
      <c r="J265" s="24"/>
      <c r="K265" s="24"/>
      <c r="L265" s="24"/>
      <c r="M265" s="24"/>
      <c r="N265" s="5"/>
      <c r="O265" s="5"/>
    </row>
    <row r="266" spans="1:15">
      <c r="A266" s="39"/>
      <c r="B266" s="7" t="s">
        <v>189</v>
      </c>
      <c r="C266" s="134" t="str">
        <f>'D4 hub Public Sector Inv Return'!D47</f>
        <v>C - Good</v>
      </c>
      <c r="D266" s="829"/>
      <c r="E266" s="176">
        <f>VLOOKUP(C266,'Confidence Factors'!$B$6:$D$9,3)</f>
        <v>0.75</v>
      </c>
      <c r="F266" s="96"/>
      <c r="G266" s="96"/>
      <c r="H266" s="96"/>
      <c r="I266" s="96"/>
      <c r="J266" s="96"/>
      <c r="K266" s="96"/>
      <c r="L266" s="96"/>
      <c r="M266" s="96"/>
      <c r="N266" s="8"/>
      <c r="O266" s="8"/>
    </row>
    <row r="267" spans="1:15">
      <c r="A267" s="39"/>
      <c r="B267" s="7" t="s">
        <v>30</v>
      </c>
      <c r="C267" s="128">
        <f>SUM(E267:O267)</f>
        <v>1583168.7749999999</v>
      </c>
      <c r="D267" s="836"/>
      <c r="E267" s="230">
        <f>'D1-D5 hub Benefit Summary'!E14*1000000*$E$266</f>
        <v>0</v>
      </c>
      <c r="F267" s="19">
        <f>'D1-D5 hub Benefit Summary'!F14*1000000*$E$266</f>
        <v>0</v>
      </c>
      <c r="G267" s="19">
        <f>'D1-D5 hub Benefit Summary'!G14*1000000*$E$266</f>
        <v>0</v>
      </c>
      <c r="H267" s="19">
        <f>'D1-D5 hub Benefit Summary'!H14*1000000*$E$266</f>
        <v>0</v>
      </c>
      <c r="I267" s="19">
        <f>'D1-D5 hub Benefit Summary'!I14*1000000*$E$266</f>
        <v>48972.749999999993</v>
      </c>
      <c r="J267" s="19">
        <f>'D1-D5 hub Benefit Summary'!J14*1000000*$E$266</f>
        <v>148736.4</v>
      </c>
      <c r="K267" s="19">
        <f>'D1-D5 hub Benefit Summary'!K14*1000000*$E$266</f>
        <v>191521.57499999998</v>
      </c>
      <c r="L267" s="19">
        <f>'D1-D5 hub Benefit Summary'!L14*1000000*$E$266</f>
        <v>234306.75</v>
      </c>
      <c r="M267" s="19">
        <f>'D1-D5 hub Benefit Summary'!M14*1000000*$E$266</f>
        <v>277091.92500000005</v>
      </c>
      <c r="N267" s="19">
        <f>'D1-D5 hub Benefit Summary'!N14*1000000*$E$266</f>
        <v>319877.09999999998</v>
      </c>
      <c r="O267" s="19">
        <f>'D1-D5 hub Benefit Summary'!O14*1000000*$E$266</f>
        <v>362662.27500000002</v>
      </c>
    </row>
    <row r="268" spans="1:15">
      <c r="A268" s="39"/>
      <c r="B268" s="7" t="s">
        <v>31</v>
      </c>
      <c r="C268" s="129">
        <f>NPV($C$7,G267:O267)+E267+F267</f>
        <v>1252457.1717596746</v>
      </c>
      <c r="D268" s="837"/>
      <c r="E268" s="7"/>
      <c r="F268" s="8"/>
      <c r="G268" s="8"/>
      <c r="H268" s="8"/>
      <c r="I268" s="8"/>
      <c r="J268" s="8"/>
      <c r="K268" s="8"/>
      <c r="L268" s="8"/>
      <c r="M268" s="8"/>
      <c r="N268" s="8"/>
      <c r="O268" s="8"/>
    </row>
    <row r="269" spans="1:15">
      <c r="A269" s="39"/>
      <c r="B269" s="7" t="s">
        <v>4</v>
      </c>
      <c r="C269" s="130" t="str">
        <f>IF(SUM(E269:O269)&gt;1,"CHECK"," ")</f>
        <v xml:space="preserve"> </v>
      </c>
      <c r="D269" s="270"/>
      <c r="E269" s="178">
        <f>'D1-D5 hub Benefit Summary'!E22</f>
        <v>0.4</v>
      </c>
      <c r="F269" s="15">
        <f>'D1-D5 hub Benefit Summary'!F22</f>
        <v>0.3</v>
      </c>
      <c r="G269" s="15">
        <f>'D1-D5 hub Benefit Summary'!G22</f>
        <v>0.2</v>
      </c>
      <c r="H269" s="15">
        <f>'D1-D5 hub Benefit Summary'!H22</f>
        <v>0.1</v>
      </c>
      <c r="I269" s="15">
        <f>'D1-D5 hub Benefit Summary'!I22</f>
        <v>0</v>
      </c>
      <c r="J269" s="15"/>
      <c r="K269" s="15"/>
      <c r="L269" s="15"/>
      <c r="M269" s="15"/>
      <c r="N269" s="15"/>
      <c r="O269" s="15"/>
    </row>
    <row r="270" spans="1:15" ht="15.75" thickBot="1">
      <c r="A270" s="39"/>
      <c r="B270" s="11" t="s">
        <v>32</v>
      </c>
      <c r="C270" s="51"/>
      <c r="D270" s="838" t="s">
        <v>93</v>
      </c>
      <c r="E270" s="179">
        <f t="shared" ref="E270:O270" si="39">IF(E269&gt;0,(E269*$C268),0)</f>
        <v>500982.86870386987</v>
      </c>
      <c r="F270" s="20">
        <f t="shared" si="39"/>
        <v>375737.15152790234</v>
      </c>
      <c r="G270" s="20">
        <f t="shared" si="39"/>
        <v>250491.43435193493</v>
      </c>
      <c r="H270" s="20">
        <f t="shared" si="39"/>
        <v>125245.71717596747</v>
      </c>
      <c r="I270" s="20">
        <f t="shared" si="39"/>
        <v>0</v>
      </c>
      <c r="J270" s="20">
        <f t="shared" si="39"/>
        <v>0</v>
      </c>
      <c r="K270" s="20">
        <f t="shared" si="39"/>
        <v>0</v>
      </c>
      <c r="L270" s="20">
        <f t="shared" si="39"/>
        <v>0</v>
      </c>
      <c r="M270" s="20">
        <f t="shared" si="39"/>
        <v>0</v>
      </c>
      <c r="N270" s="20">
        <f t="shared" si="39"/>
        <v>0</v>
      </c>
      <c r="O270" s="20">
        <f t="shared" si="39"/>
        <v>0</v>
      </c>
    </row>
    <row r="271" spans="1:15" ht="15.75" thickBot="1">
      <c r="A271" s="39"/>
      <c r="B271" s="7"/>
      <c r="C271" s="10"/>
      <c r="D271" s="139"/>
      <c r="E271" s="221"/>
      <c r="F271" s="172"/>
      <c r="G271" s="172"/>
      <c r="H271" s="172"/>
      <c r="I271" s="172"/>
      <c r="J271" s="172"/>
      <c r="K271" s="172"/>
      <c r="L271" s="172"/>
      <c r="M271" s="172"/>
      <c r="N271" s="172"/>
      <c r="O271" s="172"/>
    </row>
    <row r="272" spans="1:15">
      <c r="A272" s="39"/>
      <c r="B272" s="4" t="s">
        <v>12</v>
      </c>
      <c r="C272" s="133" t="str">
        <f>Summary!B52</f>
        <v>D5</v>
      </c>
      <c r="D272" s="828"/>
      <c r="E272" s="156" t="str">
        <f>Summary!C52</f>
        <v>Hub Programme - Reduced Rates of Return</v>
      </c>
      <c r="F272" s="5"/>
      <c r="G272" s="5"/>
      <c r="H272" s="5"/>
      <c r="I272" s="5"/>
      <c r="J272" s="5"/>
      <c r="K272" s="5"/>
      <c r="L272" s="5"/>
      <c r="M272" s="5"/>
      <c r="N272" s="5"/>
      <c r="O272" s="5"/>
    </row>
    <row r="273" spans="1:15">
      <c r="A273" s="39"/>
      <c r="B273" s="7" t="s">
        <v>189</v>
      </c>
      <c r="C273" s="134" t="str">
        <f>'D5 hub Reduced IRR'!D47</f>
        <v>B - Very Good</v>
      </c>
      <c r="D273" s="829"/>
      <c r="E273" s="176">
        <f>VLOOKUP(C273,'Confidence Factors'!$B$6:$D$9,3)</f>
        <v>0.9</v>
      </c>
      <c r="F273" s="8"/>
      <c r="G273" s="8"/>
      <c r="H273" s="8"/>
      <c r="I273" s="8"/>
      <c r="J273" s="8"/>
      <c r="K273" s="8"/>
      <c r="L273" s="8"/>
      <c r="M273" s="8"/>
      <c r="N273" s="8"/>
      <c r="O273" s="8"/>
    </row>
    <row r="274" spans="1:15">
      <c r="A274" s="39"/>
      <c r="B274" s="7" t="s">
        <v>30</v>
      </c>
      <c r="C274" s="128">
        <f>SUM(E274:O274)</f>
        <v>3644122.5</v>
      </c>
      <c r="D274" s="836"/>
      <c r="E274" s="230">
        <f>'D1-D5 hub Benefit Summary'!E16*1000000*$E$273</f>
        <v>0</v>
      </c>
      <c r="F274" s="19">
        <f>'D1-D5 hub Benefit Summary'!F16*1000000*$E$273</f>
        <v>0</v>
      </c>
      <c r="G274" s="19">
        <f>'D1-D5 hub Benefit Summary'!G16*1000000*$E$273</f>
        <v>0</v>
      </c>
      <c r="H274" s="19">
        <f>'D1-D5 hub Benefit Summary'!H16*1000000*$E$273</f>
        <v>0</v>
      </c>
      <c r="I274" s="19">
        <f>'D1-D5 hub Benefit Summary'!I16*1000000*$E$273</f>
        <v>112725</v>
      </c>
      <c r="J274" s="19">
        <f>'D1-D5 hub Benefit Summary'!J16*1000000*$E$273</f>
        <v>342360.00000000006</v>
      </c>
      <c r="K274" s="19">
        <f>'D1-D5 hub Benefit Summary'!K16*1000000*$E$273</f>
        <v>440842.50000000006</v>
      </c>
      <c r="L274" s="19">
        <f>'D1-D5 hub Benefit Summary'!L16*1000000*$E$273</f>
        <v>539325.00000000012</v>
      </c>
      <c r="M274" s="19">
        <f>'D1-D5 hub Benefit Summary'!M16*1000000*$E$273</f>
        <v>637807.5</v>
      </c>
      <c r="N274" s="19">
        <f>'D1-D5 hub Benefit Summary'!N16*1000000*$E$273</f>
        <v>736290</v>
      </c>
      <c r="O274" s="19">
        <f>'D1-D5 hub Benefit Summary'!O16*1000000*$E$273</f>
        <v>834772.5</v>
      </c>
    </row>
    <row r="275" spans="1:15">
      <c r="A275" s="39"/>
      <c r="B275" s="7" t="s">
        <v>31</v>
      </c>
      <c r="C275" s="129">
        <f>NPV($C$7,G274:O274)+E274+F274</f>
        <v>2882893.745738382</v>
      </c>
      <c r="D275" s="837"/>
      <c r="E275" s="7"/>
      <c r="F275" s="8"/>
      <c r="G275" s="8"/>
      <c r="H275" s="8"/>
      <c r="I275" s="8"/>
      <c r="J275" s="8"/>
      <c r="K275" s="8"/>
      <c r="L275" s="8"/>
      <c r="M275" s="8"/>
      <c r="N275" s="8"/>
      <c r="O275" s="8"/>
    </row>
    <row r="276" spans="1:15">
      <c r="A276" s="39"/>
      <c r="B276" s="7" t="s">
        <v>4</v>
      </c>
      <c r="C276" s="130" t="str">
        <f>IF(SUM(E276:O276)&gt;1,"CHECK"," ")</f>
        <v xml:space="preserve"> </v>
      </c>
      <c r="D276" s="270"/>
      <c r="E276" s="178">
        <v>0.4</v>
      </c>
      <c r="F276" s="15">
        <v>0.3</v>
      </c>
      <c r="G276" s="15">
        <v>0.2</v>
      </c>
      <c r="H276" s="15">
        <v>0.1</v>
      </c>
      <c r="I276" s="15"/>
      <c r="J276" s="15"/>
      <c r="K276" s="15"/>
      <c r="L276" s="15"/>
      <c r="M276" s="15"/>
      <c r="N276" s="15"/>
      <c r="O276" s="15"/>
    </row>
    <row r="277" spans="1:15" ht="15.75" thickBot="1">
      <c r="A277" s="39"/>
      <c r="B277" s="11" t="s">
        <v>32</v>
      </c>
      <c r="C277" s="51"/>
      <c r="D277" s="838" t="s">
        <v>93</v>
      </c>
      <c r="E277" s="179">
        <f t="shared" ref="E277:O277" si="40">IF(E276&gt;0,(E276*$C275),0)</f>
        <v>1153157.4982953528</v>
      </c>
      <c r="F277" s="20">
        <f t="shared" si="40"/>
        <v>864868.1237215146</v>
      </c>
      <c r="G277" s="20">
        <f t="shared" si="40"/>
        <v>576578.7491476764</v>
      </c>
      <c r="H277" s="20">
        <f t="shared" si="40"/>
        <v>288289.3745738382</v>
      </c>
      <c r="I277" s="20">
        <f t="shared" si="40"/>
        <v>0</v>
      </c>
      <c r="J277" s="20">
        <f t="shared" si="40"/>
        <v>0</v>
      </c>
      <c r="K277" s="20">
        <f t="shared" si="40"/>
        <v>0</v>
      </c>
      <c r="L277" s="20">
        <f t="shared" si="40"/>
        <v>0</v>
      </c>
      <c r="M277" s="20">
        <f t="shared" si="40"/>
        <v>0</v>
      </c>
      <c r="N277" s="20">
        <f t="shared" si="40"/>
        <v>0</v>
      </c>
      <c r="O277" s="20">
        <f t="shared" si="40"/>
        <v>0</v>
      </c>
    </row>
    <row r="278" spans="1:15" ht="15.75" thickBot="1">
      <c r="A278" s="39"/>
      <c r="B278" s="7"/>
      <c r="C278" s="10"/>
      <c r="D278" s="139"/>
      <c r="E278" s="221"/>
      <c r="F278" s="172"/>
      <c r="G278" s="172"/>
      <c r="H278" s="172"/>
      <c r="I278" s="172"/>
      <c r="J278" s="172"/>
      <c r="K278" s="172"/>
      <c r="L278" s="172"/>
      <c r="M278" s="172"/>
      <c r="N278" s="172"/>
      <c r="O278" s="172"/>
    </row>
    <row r="279" spans="1:15">
      <c r="A279" s="39"/>
      <c r="B279" s="4" t="s">
        <v>12</v>
      </c>
      <c r="C279" s="133" t="str">
        <f>Summary!B53</f>
        <v>D6</v>
      </c>
      <c r="D279" s="828"/>
      <c r="E279" s="156" t="str">
        <f>Summary!C53</f>
        <v xml:space="preserve">Hub Programme - Dialogue Stage Public Sector Savings </v>
      </c>
      <c r="F279" s="5"/>
      <c r="G279" s="5"/>
      <c r="H279" s="5"/>
      <c r="I279" s="5"/>
      <c r="J279" s="5"/>
      <c r="K279" s="5"/>
      <c r="L279" s="5"/>
      <c r="M279" s="5"/>
      <c r="N279" s="5"/>
      <c r="O279" s="5"/>
    </row>
    <row r="280" spans="1:15">
      <c r="A280" s="39"/>
      <c r="B280" s="7" t="s">
        <v>189</v>
      </c>
      <c r="C280" s="134" t="str">
        <f>'D6 hub dialogue savings'!D47</f>
        <v>A - High</v>
      </c>
      <c r="D280" s="829"/>
      <c r="E280" s="176">
        <f>VLOOKUP(C280,'Confidence Factors'!$B$6:$D$9,3)</f>
        <v>1</v>
      </c>
      <c r="F280" s="8"/>
      <c r="G280" s="8"/>
      <c r="H280" s="8"/>
      <c r="I280" s="8"/>
      <c r="J280" s="8"/>
      <c r="K280" s="8"/>
      <c r="L280" s="8"/>
      <c r="M280" s="8"/>
      <c r="N280" s="8"/>
      <c r="O280" s="8"/>
    </row>
    <row r="281" spans="1:15">
      <c r="A281" s="39"/>
      <c r="B281" s="7" t="s">
        <v>30</v>
      </c>
      <c r="C281" s="128">
        <f>SUM(E281:O281)</f>
        <v>849999.99999999988</v>
      </c>
      <c r="D281" s="836"/>
      <c r="E281" s="177">
        <v>0</v>
      </c>
      <c r="F281" s="19">
        <f>(('D6 hub dialogue savings'!$D70)/6)*'D6 hub dialogue savings'!$D75*'Calcs - Scen 2'!$E280</f>
        <v>141666.66666666666</v>
      </c>
      <c r="G281" s="19">
        <f>(('D6 hub dialogue savings'!$D70)/6)*'D6 hub dialogue savings'!$D75*'Calcs - Scen 2'!$E280</f>
        <v>141666.66666666666</v>
      </c>
      <c r="H281" s="19">
        <f>(('D6 hub dialogue savings'!$D70)/6)*'D6 hub dialogue savings'!$D75*'Calcs - Scen 2'!$E280</f>
        <v>141666.66666666666</v>
      </c>
      <c r="I281" s="19">
        <f>(('D6 hub dialogue savings'!$D70)/6)*'D6 hub dialogue savings'!$D75*'Calcs - Scen 2'!$E280</f>
        <v>141666.66666666666</v>
      </c>
      <c r="J281" s="19">
        <f>(('D6 hub dialogue savings'!$D70)/6)*'D6 hub dialogue savings'!$D75*'Calcs - Scen 2'!$E280</f>
        <v>141666.66666666666</v>
      </c>
      <c r="K281" s="19">
        <f>(('D6 hub dialogue savings'!$D70)/6)*'D6 hub dialogue savings'!$D75*'Calcs - Scen 2'!$E280</f>
        <v>141666.66666666666</v>
      </c>
      <c r="L281" s="19"/>
      <c r="M281" s="19"/>
      <c r="N281" s="19"/>
      <c r="O281" s="19"/>
    </row>
    <row r="282" spans="1:15">
      <c r="A282" s="39"/>
      <c r="B282" s="7" t="s">
        <v>31</v>
      </c>
      <c r="C282" s="129">
        <f>NPV($C$7,G281:O281)+E281+F281</f>
        <v>781299.08652502275</v>
      </c>
      <c r="D282" s="837"/>
      <c r="E282" s="7"/>
      <c r="F282" s="8"/>
      <c r="G282" s="8"/>
      <c r="H282" s="8"/>
      <c r="I282" s="8"/>
      <c r="J282" s="8"/>
      <c r="K282" s="8"/>
      <c r="L282" s="8"/>
      <c r="M282" s="8"/>
      <c r="N282" s="8"/>
      <c r="O282" s="8"/>
    </row>
    <row r="283" spans="1:15">
      <c r="A283" s="39"/>
      <c r="B283" s="7" t="s">
        <v>4</v>
      </c>
      <c r="C283" s="130" t="str">
        <f>IF(SUM(E283:O283)&gt;1,"CHECK"," ")</f>
        <v xml:space="preserve"> </v>
      </c>
      <c r="D283" s="270"/>
      <c r="E283" s="178">
        <v>0.59</v>
      </c>
      <c r="F283" s="15">
        <v>0.41</v>
      </c>
      <c r="G283" s="15"/>
      <c r="H283" s="15"/>
      <c r="I283" s="15"/>
      <c r="J283" s="15"/>
      <c r="K283" s="15"/>
      <c r="L283" s="15"/>
      <c r="M283" s="15"/>
      <c r="N283" s="15"/>
      <c r="O283" s="15"/>
    </row>
    <row r="284" spans="1:15" ht="15.75" thickBot="1">
      <c r="A284" s="39"/>
      <c r="B284" s="11" t="s">
        <v>32</v>
      </c>
      <c r="C284" s="51"/>
      <c r="D284" s="838" t="s">
        <v>93</v>
      </c>
      <c r="E284" s="179">
        <f t="shared" ref="E284:O284" si="41">IF(E283&gt;0,(E283*$C282),0)</f>
        <v>460966.46104976343</v>
      </c>
      <c r="F284" s="20">
        <f t="shared" si="41"/>
        <v>320332.62547525932</v>
      </c>
      <c r="G284" s="20">
        <f t="shared" si="41"/>
        <v>0</v>
      </c>
      <c r="H284" s="20">
        <f t="shared" si="41"/>
        <v>0</v>
      </c>
      <c r="I284" s="20">
        <f t="shared" si="41"/>
        <v>0</v>
      </c>
      <c r="J284" s="20">
        <f t="shared" si="41"/>
        <v>0</v>
      </c>
      <c r="K284" s="20">
        <f t="shared" si="41"/>
        <v>0</v>
      </c>
      <c r="L284" s="20">
        <f t="shared" si="41"/>
        <v>0</v>
      </c>
      <c r="M284" s="20">
        <f t="shared" si="41"/>
        <v>0</v>
      </c>
      <c r="N284" s="20">
        <f t="shared" si="41"/>
        <v>0</v>
      </c>
      <c r="O284" s="20">
        <f t="shared" si="41"/>
        <v>0</v>
      </c>
    </row>
    <row r="285" spans="1:15" ht="15.75" thickBot="1">
      <c r="A285" s="39"/>
      <c r="B285" s="7"/>
      <c r="C285" s="10"/>
      <c r="D285" s="139"/>
      <c r="E285" s="221"/>
      <c r="F285" s="172"/>
      <c r="G285" s="172"/>
      <c r="H285" s="172"/>
      <c r="I285" s="172"/>
      <c r="J285" s="172"/>
      <c r="K285" s="172"/>
      <c r="L285" s="172"/>
      <c r="M285" s="172"/>
      <c r="N285" s="172"/>
      <c r="O285" s="172"/>
    </row>
    <row r="286" spans="1:15">
      <c r="A286" s="39"/>
      <c r="B286" s="4" t="s">
        <v>12</v>
      </c>
      <c r="C286" s="133" t="str">
        <f>Summary!B54</f>
        <v>D7</v>
      </c>
      <c r="D286" s="828"/>
      <c r="E286" s="156" t="str">
        <f>Summary!C54</f>
        <v>Schools Programme - Pilot Project Savings</v>
      </c>
      <c r="F286" s="5"/>
      <c r="G286" s="5"/>
      <c r="H286" s="5"/>
      <c r="I286" s="5"/>
      <c r="J286" s="5"/>
      <c r="K286" s="5"/>
      <c r="L286" s="5"/>
      <c r="M286" s="5"/>
      <c r="N286" s="5"/>
      <c r="O286" s="5"/>
    </row>
    <row r="287" spans="1:15">
      <c r="A287" s="39"/>
      <c r="B287" s="7" t="s">
        <v>189</v>
      </c>
      <c r="C287" s="134" t="str">
        <f>'D7 Schools Pilot Project'!D47</f>
        <v>B - Very Good</v>
      </c>
      <c r="D287" s="829"/>
      <c r="E287" s="176">
        <f>VLOOKUP(C287,'Confidence Factors'!$B$6:$D$9,3)</f>
        <v>0.9</v>
      </c>
      <c r="F287" s="8"/>
      <c r="G287" s="8"/>
      <c r="H287" s="8"/>
      <c r="I287" s="8"/>
      <c r="J287" s="8"/>
      <c r="K287" s="8"/>
      <c r="L287" s="8"/>
      <c r="M287" s="8"/>
      <c r="N287" s="8"/>
      <c r="O287" s="8"/>
    </row>
    <row r="288" spans="1:15">
      <c r="A288" s="39"/>
      <c r="B288" s="7" t="s">
        <v>30</v>
      </c>
      <c r="C288" s="128">
        <f>SUM(E288:O288)</f>
        <v>1575000</v>
      </c>
      <c r="D288" s="836"/>
      <c r="E288" s="177">
        <v>0</v>
      </c>
      <c r="F288" s="124">
        <f>(('D7 Schools Pilot Project'!$D70)/4)*'D7 Schools Pilot Project'!$D75*'Calcs - Scen 2'!$E287</f>
        <v>393750</v>
      </c>
      <c r="G288" s="124">
        <f>(('D7 Schools Pilot Project'!$D70)/4)*'D7 Schools Pilot Project'!$D75*'Calcs - Scen 2'!$E287</f>
        <v>393750</v>
      </c>
      <c r="H288" s="124">
        <f>(('D7 Schools Pilot Project'!$D70)/4)*'D7 Schools Pilot Project'!$D75*'Calcs - Scen 2'!$E287</f>
        <v>393750</v>
      </c>
      <c r="I288" s="124">
        <f>(('D7 Schools Pilot Project'!$D70)/4)*'D7 Schools Pilot Project'!$D75*'Calcs - Scen 2'!$E287</f>
        <v>393750</v>
      </c>
      <c r="J288" s="19"/>
      <c r="K288" s="19"/>
      <c r="L288" s="19"/>
      <c r="M288" s="19"/>
      <c r="N288" s="19"/>
      <c r="O288" s="19"/>
    </row>
    <row r="289" spans="1:15">
      <c r="A289" s="39"/>
      <c r="B289" s="7" t="s">
        <v>31</v>
      </c>
      <c r="C289" s="129">
        <f>NPV($C$7,G288:O288)+E288+F288</f>
        <v>1496894.5612347506</v>
      </c>
      <c r="D289" s="837"/>
      <c r="E289" s="7"/>
      <c r="F289" s="8"/>
      <c r="G289" s="8"/>
      <c r="H289" s="8"/>
      <c r="I289" s="8"/>
      <c r="J289" s="8"/>
      <c r="K289" s="8"/>
      <c r="L289" s="8"/>
      <c r="M289" s="8"/>
      <c r="N289" s="8"/>
      <c r="O289" s="8"/>
    </row>
    <row r="290" spans="1:15">
      <c r="A290" s="39"/>
      <c r="B290" s="7" t="s">
        <v>4</v>
      </c>
      <c r="C290" s="130" t="str">
        <f>IF(SUM(E290:O290)&gt;1,"CHECK"," ")</f>
        <v xml:space="preserve"> </v>
      </c>
      <c r="D290" s="270"/>
      <c r="E290" s="178">
        <v>0.5</v>
      </c>
      <c r="F290" s="15">
        <v>0.5</v>
      </c>
      <c r="G290" s="15"/>
      <c r="H290" s="15"/>
      <c r="I290" s="15"/>
      <c r="J290" s="15"/>
      <c r="K290" s="15"/>
      <c r="L290" s="15"/>
      <c r="M290" s="15"/>
      <c r="N290" s="15"/>
      <c r="O290" s="15"/>
    </row>
    <row r="291" spans="1:15" ht="15.75" thickBot="1">
      <c r="A291" s="39"/>
      <c r="B291" s="11" t="s">
        <v>32</v>
      </c>
      <c r="C291" s="51"/>
      <c r="D291" s="838" t="s">
        <v>93</v>
      </c>
      <c r="E291" s="179">
        <f t="shared" ref="E291:O291" si="42">IF(E290&gt;0,(E290*$C289),0)</f>
        <v>748447.28061737528</v>
      </c>
      <c r="F291" s="20">
        <f t="shared" si="42"/>
        <v>748447.28061737528</v>
      </c>
      <c r="G291" s="20">
        <f t="shared" si="42"/>
        <v>0</v>
      </c>
      <c r="H291" s="20">
        <f t="shared" si="42"/>
        <v>0</v>
      </c>
      <c r="I291" s="20">
        <f t="shared" si="42"/>
        <v>0</v>
      </c>
      <c r="J291" s="20">
        <f t="shared" si="42"/>
        <v>0</v>
      </c>
      <c r="K291" s="20">
        <f t="shared" si="42"/>
        <v>0</v>
      </c>
      <c r="L291" s="20">
        <f t="shared" si="42"/>
        <v>0</v>
      </c>
      <c r="M291" s="20">
        <f t="shared" si="42"/>
        <v>0</v>
      </c>
      <c r="N291" s="20">
        <f t="shared" si="42"/>
        <v>0</v>
      </c>
      <c r="O291" s="20">
        <f t="shared" si="42"/>
        <v>0</v>
      </c>
    </row>
    <row r="292" spans="1:15" ht="15.75" thickBot="1">
      <c r="A292" s="39"/>
      <c r="B292" s="7"/>
      <c r="C292" s="10"/>
      <c r="D292" s="139"/>
      <c r="E292" s="221"/>
      <c r="F292" s="172"/>
      <c r="G292" s="172"/>
      <c r="H292" s="172"/>
      <c r="I292" s="172"/>
      <c r="J292" s="172"/>
      <c r="K292" s="172"/>
      <c r="L292" s="172"/>
      <c r="M292" s="172"/>
      <c r="N292" s="172"/>
      <c r="O292" s="172"/>
    </row>
    <row r="293" spans="1:15">
      <c r="A293" s="39"/>
      <c r="B293" s="4" t="s">
        <v>12</v>
      </c>
      <c r="C293" s="133" t="str">
        <f>Summary!B55</f>
        <v>D8</v>
      </c>
      <c r="D293" s="828"/>
      <c r="E293" s="156" t="str">
        <f>Summary!C55</f>
        <v>Schools Programme - Needs Identification</v>
      </c>
      <c r="F293" s="5"/>
      <c r="G293" s="5"/>
      <c r="H293" s="5"/>
      <c r="I293" s="5"/>
      <c r="J293" s="5"/>
      <c r="K293" s="5"/>
      <c r="L293" s="5"/>
      <c r="M293" s="5"/>
      <c r="N293" s="5"/>
      <c r="O293" s="5"/>
    </row>
    <row r="294" spans="1:15">
      <c r="A294" s="39"/>
      <c r="B294" s="7" t="s">
        <v>189</v>
      </c>
      <c r="C294" s="134" t="str">
        <f>'D8 Schools Needs Ident'!D47</f>
        <v>C - Good</v>
      </c>
      <c r="D294" s="829"/>
      <c r="E294" s="176">
        <f>VLOOKUP(C294,'Confidence Factors'!$B$6:$D$9,3)</f>
        <v>0.75</v>
      </c>
      <c r="F294" s="8"/>
      <c r="G294" s="8"/>
      <c r="H294" s="8"/>
      <c r="I294" s="8"/>
      <c r="J294" s="8"/>
      <c r="K294" s="8"/>
      <c r="L294" s="8"/>
      <c r="M294" s="8"/>
      <c r="N294" s="8"/>
      <c r="O294" s="8"/>
    </row>
    <row r="295" spans="1:15">
      <c r="A295" s="39"/>
      <c r="B295" s="7" t="s">
        <v>30</v>
      </c>
      <c r="C295" s="128">
        <f>SUM(E295:O295)</f>
        <v>82912352.62500003</v>
      </c>
      <c r="D295" s="836"/>
      <c r="E295" s="177">
        <v>0</v>
      </c>
      <c r="F295" s="19">
        <f>'D8 cont - Needs ID'!C60*'Calcs - Scen 2'!$E$294</f>
        <v>1036404.4078125004</v>
      </c>
      <c r="G295" s="19">
        <f>'D8 cont - Needs ID'!D60*'Calcs - Scen 2'!$E$294</f>
        <v>4663819.8351562517</v>
      </c>
      <c r="H295" s="19">
        <f>'D8 cont - Needs ID'!E60*'Calcs - Scen 2'!$E$294</f>
        <v>7773033.0585937528</v>
      </c>
      <c r="I295" s="19">
        <f>'D8 cont - Needs ID'!F60*'Calcs - Scen 2'!$E$294</f>
        <v>10364044.078125004</v>
      </c>
      <c r="J295" s="19">
        <f>'D8 cont - Needs ID'!G60*'Calcs - Scen 2'!$E$294</f>
        <v>12955055.097656254</v>
      </c>
      <c r="K295" s="19">
        <f>'D8 cont - Needs ID'!H60*'Calcs - Scen 2'!$E$294</f>
        <v>16064268.321093757</v>
      </c>
      <c r="L295" s="19">
        <f>'D8 cont - Needs ID'!I60*'Calcs - Scen 2'!$E$294</f>
        <v>19691683.748437505</v>
      </c>
      <c r="M295" s="19">
        <f>'D8 cont - Needs ID'!J60*'Calcs - Scen 2'!$E$294</f>
        <v>10364044.078125004</v>
      </c>
      <c r="N295" s="19"/>
      <c r="O295" s="19"/>
    </row>
    <row r="296" spans="1:15">
      <c r="A296" s="39"/>
      <c r="B296" s="7" t="s">
        <v>31</v>
      </c>
      <c r="C296" s="129">
        <f>NPV($C$7,G295:O295)+E295+F295</f>
        <v>71127001.344951212</v>
      </c>
      <c r="D296" s="837"/>
      <c r="E296" s="7"/>
      <c r="F296" s="8"/>
      <c r="G296" s="8"/>
      <c r="H296" s="8"/>
      <c r="I296" s="8"/>
      <c r="J296" s="8"/>
      <c r="K296" s="8"/>
      <c r="L296" s="8"/>
      <c r="M296" s="8"/>
      <c r="N296" s="8"/>
      <c r="O296" s="8"/>
    </row>
    <row r="297" spans="1:15">
      <c r="A297" s="39"/>
      <c r="B297" s="7" t="s">
        <v>4</v>
      </c>
      <c r="C297" s="130" t="str">
        <f>IF(SUM(E297:O297)&gt;1,"CHECK"," ")</f>
        <v xml:space="preserve"> </v>
      </c>
      <c r="D297" s="270"/>
      <c r="E297" s="178">
        <v>1</v>
      </c>
      <c r="F297" s="15"/>
      <c r="G297" s="15"/>
      <c r="H297" s="15"/>
      <c r="I297" s="15"/>
      <c r="J297" s="15"/>
      <c r="K297" s="15"/>
      <c r="L297" s="15"/>
      <c r="M297" s="15"/>
      <c r="N297" s="15"/>
      <c r="O297" s="15"/>
    </row>
    <row r="298" spans="1:15" ht="15.75" thickBot="1">
      <c r="A298" s="39"/>
      <c r="B298" s="11" t="s">
        <v>32</v>
      </c>
      <c r="C298" s="51"/>
      <c r="D298" s="838" t="s">
        <v>849</v>
      </c>
      <c r="E298" s="179">
        <f t="shared" ref="E298:O298" si="43">IF(E297&gt;0,(E297*$C296),0)</f>
        <v>71127001.344951212</v>
      </c>
      <c r="F298" s="20">
        <f t="shared" si="43"/>
        <v>0</v>
      </c>
      <c r="G298" s="20">
        <f t="shared" si="43"/>
        <v>0</v>
      </c>
      <c r="H298" s="20">
        <f t="shared" si="43"/>
        <v>0</v>
      </c>
      <c r="I298" s="20">
        <f t="shared" si="43"/>
        <v>0</v>
      </c>
      <c r="J298" s="20">
        <f t="shared" si="43"/>
        <v>0</v>
      </c>
      <c r="K298" s="20">
        <f t="shared" si="43"/>
        <v>0</v>
      </c>
      <c r="L298" s="20">
        <f t="shared" si="43"/>
        <v>0</v>
      </c>
      <c r="M298" s="20">
        <f t="shared" si="43"/>
        <v>0</v>
      </c>
      <c r="N298" s="20">
        <f t="shared" si="43"/>
        <v>0</v>
      </c>
      <c r="O298" s="20">
        <f t="shared" si="43"/>
        <v>0</v>
      </c>
    </row>
    <row r="299" spans="1:15" ht="15.75" thickBot="1">
      <c r="A299" s="39"/>
      <c r="B299" s="7"/>
      <c r="C299" s="10"/>
      <c r="D299" s="139"/>
      <c r="E299" s="221"/>
      <c r="F299" s="172"/>
      <c r="G299" s="172"/>
      <c r="H299" s="172"/>
      <c r="I299" s="172"/>
      <c r="J299" s="172"/>
      <c r="K299" s="172"/>
      <c r="L299" s="172"/>
      <c r="M299" s="172"/>
      <c r="N299" s="172"/>
      <c r="O299" s="172"/>
    </row>
    <row r="300" spans="1:15">
      <c r="A300" s="39"/>
      <c r="B300" s="4" t="s">
        <v>12</v>
      </c>
      <c r="C300" s="133" t="str">
        <f>Summary!B56</f>
        <v>D9</v>
      </c>
      <c r="D300" s="828"/>
      <c r="E300" s="156" t="str">
        <f>Summary!C56</f>
        <v>Schools Programme - Continuous Improvement Savings</v>
      </c>
      <c r="F300" s="5"/>
      <c r="G300" s="5"/>
      <c r="H300" s="5"/>
      <c r="I300" s="5"/>
      <c r="J300" s="5"/>
      <c r="K300" s="5"/>
      <c r="L300" s="5"/>
      <c r="M300" s="5"/>
      <c r="N300" s="5"/>
      <c r="O300" s="5"/>
    </row>
    <row r="301" spans="1:15">
      <c r="A301" s="39"/>
      <c r="B301" s="7" t="s">
        <v>189</v>
      </c>
      <c r="C301" s="134" t="str">
        <f>'D9 Schools Cont Improv'!D47</f>
        <v>C - Good</v>
      </c>
      <c r="D301" s="829"/>
      <c r="E301" s="176">
        <f>VLOOKUP(C301,'Confidence Factors'!$B$6:$D$9,3)</f>
        <v>0.75</v>
      </c>
      <c r="F301" s="8"/>
      <c r="G301" s="8"/>
      <c r="H301" s="8"/>
      <c r="I301" s="8"/>
      <c r="J301" s="8"/>
      <c r="K301" s="8"/>
      <c r="L301" s="8"/>
      <c r="M301" s="8"/>
      <c r="N301" s="8"/>
      <c r="O301" s="8"/>
    </row>
    <row r="302" spans="1:15">
      <c r="A302" s="39"/>
      <c r="B302" s="7" t="s">
        <v>30</v>
      </c>
      <c r="C302" s="128">
        <f>SUM(E302:O302)</f>
        <v>13865683.124999998</v>
      </c>
      <c r="D302" s="836"/>
      <c r="E302" s="177">
        <v>0</v>
      </c>
      <c r="F302" s="19">
        <f>'D9 Schools Cont Improv'!J$76*'D9 Schools Cont Improv'!$D75*'Calcs - Scen 2'!$E301</f>
        <v>1558932.6964285714</v>
      </c>
      <c r="G302" s="19">
        <f>'D9 Schools Cont Improv'!K$76*'D9 Schools Cont Improv'!$D75*'Calcs - Scen 2'!$E301</f>
        <v>1558933.0714285714</v>
      </c>
      <c r="H302" s="19">
        <f>'D9 Schools Cont Improv'!L$76*'D9 Schools Cont Improv'!$D75*'Calcs - Scen 2'!$E301</f>
        <v>1558933.4464285714</v>
      </c>
      <c r="I302" s="19">
        <f>'D9 Schools Cont Improv'!M$76*'D9 Schools Cont Improv'!$D75*'Calcs - Scen 2'!$E301</f>
        <v>1980808.8214285714</v>
      </c>
      <c r="J302" s="19">
        <f>'D9 Schools Cont Improv'!N$76*'D9 Schools Cont Improv'!$D75*'Calcs - Scen 2'!$E301</f>
        <v>1980809.1964285714</v>
      </c>
      <c r="K302" s="19">
        <f>'D9 Schools Cont Improv'!O$76*'D9 Schools Cont Improv'!$D75*'Calcs - Scen 2'!$E301</f>
        <v>1980809.5714285714</v>
      </c>
      <c r="L302" s="19">
        <f>'D9 Schools Cont Improv'!P$76*'D9 Schools Cont Improv'!$D75*'Calcs - Scen 2'!$E301</f>
        <v>1980809.9464285714</v>
      </c>
      <c r="M302" s="19">
        <f>'D9 Schools Cont Improv'!Q$76*'D9 Schools Cont Improv'!$D75*'Calcs - Scen 2'!$E301</f>
        <v>421881.75</v>
      </c>
      <c r="N302" s="19">
        <f>'D9 Schools Cont Improv'!R$76*'D9 Schools Cont Improv'!$D75*'Calcs - Scen 2'!$E301</f>
        <v>421882.125</v>
      </c>
      <c r="O302" s="19">
        <f>'D9 Schools Cont Improv'!S$76*'D9 Schools Cont Improv'!$D75*'Calcs - Scen 2'!$E301</f>
        <v>421882.5</v>
      </c>
    </row>
    <row r="303" spans="1:15">
      <c r="A303" s="39"/>
      <c r="B303" s="7" t="s">
        <v>31</v>
      </c>
      <c r="C303" s="129">
        <f>NPV($C$7,G302:O302)+E302+F302</f>
        <v>12273870.459779495</v>
      </c>
      <c r="D303" s="837"/>
      <c r="E303" s="7"/>
      <c r="F303" s="8"/>
      <c r="G303" s="8"/>
      <c r="H303" s="8"/>
      <c r="I303" s="8"/>
      <c r="J303" s="8"/>
      <c r="K303" s="8"/>
      <c r="L303" s="8"/>
      <c r="M303" s="8"/>
      <c r="N303" s="8"/>
      <c r="O303" s="8"/>
    </row>
    <row r="304" spans="1:15">
      <c r="A304" s="39"/>
      <c r="B304" s="7" t="s">
        <v>4</v>
      </c>
      <c r="C304" s="130" t="str">
        <f>IF(SUM(E304:O304)&gt;1,"CHECK"," ")</f>
        <v xml:space="preserve"> </v>
      </c>
      <c r="D304" s="270"/>
      <c r="E304" s="178">
        <v>0.2</v>
      </c>
      <c r="F304" s="15">
        <v>0.2</v>
      </c>
      <c r="G304" s="15">
        <v>0.2</v>
      </c>
      <c r="H304" s="15">
        <v>0.2</v>
      </c>
      <c r="I304" s="15">
        <v>0.2</v>
      </c>
      <c r="J304" s="15"/>
      <c r="K304" s="15"/>
      <c r="L304" s="15"/>
      <c r="M304" s="15"/>
      <c r="N304" s="15"/>
      <c r="O304" s="15"/>
    </row>
    <row r="305" spans="1:15" ht="15.75" thickBot="1">
      <c r="A305" s="39"/>
      <c r="B305" s="11" t="s">
        <v>32</v>
      </c>
      <c r="C305" s="51"/>
      <c r="D305" s="838" t="s">
        <v>849</v>
      </c>
      <c r="E305" s="179">
        <f t="shared" ref="E305:O305" si="44">IF(E304&gt;0,(E304*$C303),0)</f>
        <v>2454774.0919558993</v>
      </c>
      <c r="F305" s="20">
        <f t="shared" si="44"/>
        <v>2454774.0919558993</v>
      </c>
      <c r="G305" s="20">
        <f t="shared" si="44"/>
        <v>2454774.0919558993</v>
      </c>
      <c r="H305" s="20">
        <f t="shared" si="44"/>
        <v>2454774.0919558993</v>
      </c>
      <c r="I305" s="20">
        <f t="shared" si="44"/>
        <v>2454774.0919558993</v>
      </c>
      <c r="J305" s="20">
        <f t="shared" si="44"/>
        <v>0</v>
      </c>
      <c r="K305" s="20">
        <f t="shared" si="44"/>
        <v>0</v>
      </c>
      <c r="L305" s="20">
        <f t="shared" si="44"/>
        <v>0</v>
      </c>
      <c r="M305" s="20">
        <f t="shared" si="44"/>
        <v>0</v>
      </c>
      <c r="N305" s="20">
        <f t="shared" si="44"/>
        <v>0</v>
      </c>
      <c r="O305" s="20">
        <f t="shared" si="44"/>
        <v>0</v>
      </c>
    </row>
    <row r="306" spans="1:15" ht="15.75" thickBot="1">
      <c r="A306" s="39"/>
      <c r="B306" s="7"/>
      <c r="C306" s="10"/>
      <c r="D306" s="139"/>
      <c r="E306" s="221"/>
      <c r="F306" s="172"/>
      <c r="G306" s="172"/>
      <c r="H306" s="172"/>
      <c r="I306" s="172"/>
      <c r="J306" s="172"/>
      <c r="K306" s="172"/>
      <c r="L306" s="172"/>
      <c r="M306" s="172"/>
      <c r="N306" s="172"/>
      <c r="O306" s="172"/>
    </row>
    <row r="307" spans="1:15">
      <c r="A307" s="39"/>
      <c r="B307" s="4" t="s">
        <v>12</v>
      </c>
      <c r="C307" s="133" t="str">
        <f>Summary!B57</f>
        <v>D10</v>
      </c>
      <c r="D307" s="828"/>
      <c r="E307" s="156" t="str">
        <f>Summary!C57</f>
        <v>Blank - Nil Benefit</v>
      </c>
      <c r="F307" s="5"/>
      <c r="G307" s="5"/>
      <c r="H307" s="5"/>
      <c r="I307" s="5"/>
      <c r="J307" s="5"/>
      <c r="K307" s="5"/>
      <c r="L307" s="5"/>
      <c r="M307" s="5"/>
      <c r="N307" s="5"/>
      <c r="O307" s="5"/>
    </row>
    <row r="308" spans="1:15">
      <c r="A308" s="39"/>
      <c r="B308" s="7" t="s">
        <v>189</v>
      </c>
      <c r="C308" s="134">
        <f>'D10 Blank - Nil Benefit'!D47</f>
        <v>0</v>
      </c>
      <c r="D308" s="829"/>
      <c r="E308" s="176" t="e">
        <f>VLOOKUP(C308,'Confidence Factors'!$B$6:$D$9,3)</f>
        <v>#N/A</v>
      </c>
      <c r="F308" s="8"/>
      <c r="G308" s="8"/>
      <c r="H308" s="8"/>
      <c r="I308" s="8"/>
      <c r="J308" s="8"/>
      <c r="K308" s="8"/>
      <c r="L308" s="8"/>
      <c r="M308" s="8"/>
      <c r="N308" s="8"/>
      <c r="O308" s="8"/>
    </row>
    <row r="309" spans="1:15">
      <c r="A309" s="39"/>
      <c r="B309" s="7" t="s">
        <v>30</v>
      </c>
      <c r="C309" s="128">
        <f>SUM(E309:O309)</f>
        <v>0</v>
      </c>
      <c r="D309" s="836"/>
      <c r="E309" s="177">
        <v>0</v>
      </c>
      <c r="F309" s="19">
        <v>0</v>
      </c>
      <c r="G309" s="19">
        <v>0</v>
      </c>
      <c r="H309" s="19">
        <v>0</v>
      </c>
      <c r="I309" s="19"/>
      <c r="J309" s="19"/>
      <c r="K309" s="19"/>
      <c r="L309" s="19"/>
      <c r="M309" s="19"/>
      <c r="N309" s="19"/>
      <c r="O309" s="19"/>
    </row>
    <row r="310" spans="1:15">
      <c r="A310" s="39"/>
      <c r="B310" s="7" t="s">
        <v>31</v>
      </c>
      <c r="C310" s="129">
        <f>NPV($C$7,G309:O309)+E309+F309</f>
        <v>0</v>
      </c>
      <c r="D310" s="837"/>
      <c r="E310" s="7"/>
      <c r="F310" s="8"/>
      <c r="G310" s="8"/>
      <c r="H310" s="8"/>
      <c r="I310" s="8"/>
      <c r="J310" s="8"/>
      <c r="K310" s="8"/>
      <c r="L310" s="8"/>
      <c r="M310" s="8"/>
      <c r="N310" s="8"/>
      <c r="O310" s="8"/>
    </row>
    <row r="311" spans="1:15">
      <c r="A311" s="39"/>
      <c r="B311" s="7" t="s">
        <v>4</v>
      </c>
      <c r="C311" s="130" t="str">
        <f>IF(SUM(E311:O311)&gt;1,"CHECK"," ")</f>
        <v xml:space="preserve"> </v>
      </c>
      <c r="D311" s="270"/>
      <c r="E311" s="178">
        <v>0</v>
      </c>
      <c r="F311" s="15">
        <v>1</v>
      </c>
      <c r="G311" s="15">
        <v>0</v>
      </c>
      <c r="H311" s="15">
        <v>0</v>
      </c>
      <c r="I311" s="15">
        <v>0</v>
      </c>
      <c r="J311" s="15"/>
      <c r="K311" s="15"/>
      <c r="L311" s="15"/>
      <c r="M311" s="15"/>
      <c r="N311" s="15"/>
      <c r="O311" s="15"/>
    </row>
    <row r="312" spans="1:15" ht="15.75" thickBot="1">
      <c r="A312" s="39"/>
      <c r="B312" s="11" t="s">
        <v>32</v>
      </c>
      <c r="C312" s="51"/>
      <c r="D312" s="838" t="s">
        <v>111</v>
      </c>
      <c r="E312" s="179">
        <f t="shared" ref="E312:O312" si="45">IF(E311&gt;0,(E311*$C310),0)</f>
        <v>0</v>
      </c>
      <c r="F312" s="20">
        <f t="shared" si="45"/>
        <v>0</v>
      </c>
      <c r="G312" s="20">
        <f t="shared" si="45"/>
        <v>0</v>
      </c>
      <c r="H312" s="20">
        <f t="shared" si="45"/>
        <v>0</v>
      </c>
      <c r="I312" s="20">
        <f t="shared" si="45"/>
        <v>0</v>
      </c>
      <c r="J312" s="20">
        <f t="shared" si="45"/>
        <v>0</v>
      </c>
      <c r="K312" s="20">
        <f t="shared" si="45"/>
        <v>0</v>
      </c>
      <c r="L312" s="20">
        <f t="shared" si="45"/>
        <v>0</v>
      </c>
      <c r="M312" s="20">
        <f t="shared" si="45"/>
        <v>0</v>
      </c>
      <c r="N312" s="20">
        <f t="shared" si="45"/>
        <v>0</v>
      </c>
      <c r="O312" s="20">
        <f t="shared" si="45"/>
        <v>0</v>
      </c>
    </row>
    <row r="313" spans="1:15" ht="15.75" thickBot="1">
      <c r="A313" s="39"/>
      <c r="B313" s="7"/>
      <c r="C313" s="10"/>
      <c r="D313" s="139"/>
      <c r="E313" s="221"/>
      <c r="F313" s="172"/>
      <c r="G313" s="172"/>
      <c r="H313" s="172"/>
      <c r="I313" s="172"/>
      <c r="J313" s="172"/>
      <c r="K313" s="172"/>
      <c r="L313" s="172"/>
      <c r="M313" s="172"/>
      <c r="N313" s="172"/>
      <c r="O313" s="172"/>
    </row>
    <row r="314" spans="1:15">
      <c r="A314" s="39"/>
      <c r="B314" s="4" t="s">
        <v>12</v>
      </c>
      <c r="C314" s="133" t="str">
        <f>Summary!B58</f>
        <v>E1</v>
      </c>
      <c r="D314" s="828"/>
      <c r="E314" s="156" t="str">
        <f>Summary!C58</f>
        <v>Validation - Non-Standard Civils Projects (FRC)</v>
      </c>
      <c r="F314" s="5"/>
      <c r="G314" s="5"/>
      <c r="H314" s="5"/>
      <c r="I314" s="5"/>
      <c r="J314" s="5"/>
      <c r="K314" s="5"/>
      <c r="L314" s="5"/>
      <c r="M314" s="5"/>
      <c r="N314" s="5"/>
      <c r="O314" s="5"/>
    </row>
    <row r="315" spans="1:15">
      <c r="A315" s="39"/>
      <c r="B315" s="7" t="s">
        <v>189</v>
      </c>
      <c r="C315" s="134" t="str">
        <f>'E1 Valdn Non-Std Civils FRC'!D47</f>
        <v>B - Very Good</v>
      </c>
      <c r="D315" s="829"/>
      <c r="E315" s="176">
        <f>VLOOKUP(C315,'Confidence Factors'!$B$6:$D$9,3)</f>
        <v>0.9</v>
      </c>
      <c r="F315" s="8"/>
      <c r="G315" s="8"/>
      <c r="H315" s="8"/>
      <c r="I315" s="8"/>
      <c r="J315" s="8"/>
      <c r="K315" s="8"/>
      <c r="L315" s="8"/>
      <c r="M315" s="8"/>
      <c r="N315" s="8"/>
      <c r="O315" s="8"/>
    </row>
    <row r="316" spans="1:15">
      <c r="A316" s="39"/>
      <c r="B316" s="7" t="s">
        <v>30</v>
      </c>
      <c r="C316" s="128">
        <f>SUM(E316:O316)</f>
        <v>13500000</v>
      </c>
      <c r="D316" s="836"/>
      <c r="E316" s="177">
        <v>0</v>
      </c>
      <c r="F316" s="19">
        <v>0</v>
      </c>
      <c r="G316" s="19">
        <v>0</v>
      </c>
      <c r="H316" s="19">
        <f>'E1 Valdn Non-Std Civils FRC'!L75*'E1 Valdn Non-Std Civils FRC'!D75*'Calcs - Scen 2'!E315</f>
        <v>2700000</v>
      </c>
      <c r="I316" s="19">
        <f>'E1 Valdn Non-Std Civils FRC'!M75*'E1 Valdn Non-Std Civils FRC'!D75*'Calcs - Scen 2'!E315</f>
        <v>2700000</v>
      </c>
      <c r="J316" s="19">
        <f>'E1 Valdn Non-Std Civils FRC'!N75*'E1 Valdn Non-Std Civils FRC'!D75*'Calcs - Scen 2'!E315</f>
        <v>2700000</v>
      </c>
      <c r="K316" s="19">
        <f>'E1 Valdn Non-Std Civils FRC'!O75*'E1 Valdn Non-Std Civils FRC'!D75*'Calcs - Scen 2'!E315</f>
        <v>2700000</v>
      </c>
      <c r="L316" s="19">
        <f>'E1 Valdn Non-Std Civils FRC'!P75*'E1 Valdn Non-Std Civils FRC'!D75*'Calcs - Scen 2'!E315</f>
        <v>2700000</v>
      </c>
      <c r="M316" s="19">
        <v>0</v>
      </c>
      <c r="N316" s="19">
        <v>0</v>
      </c>
      <c r="O316" s="19">
        <v>0</v>
      </c>
    </row>
    <row r="317" spans="1:15">
      <c r="A317" s="39"/>
      <c r="B317" s="7" t="s">
        <v>31</v>
      </c>
      <c r="C317" s="129">
        <f>NPV($C$7,G316:O316)+E316+F316</f>
        <v>11778397.501228042</v>
      </c>
      <c r="D317" s="837"/>
      <c r="E317" s="7"/>
      <c r="F317" s="8"/>
      <c r="G317" s="8"/>
      <c r="H317" s="8"/>
      <c r="I317" s="8"/>
      <c r="J317" s="8"/>
      <c r="K317" s="8"/>
      <c r="L317" s="8"/>
      <c r="M317" s="8"/>
      <c r="N317" s="8"/>
      <c r="O317" s="8"/>
    </row>
    <row r="318" spans="1:15">
      <c r="A318" s="39"/>
      <c r="B318" s="7" t="s">
        <v>4</v>
      </c>
      <c r="C318" s="130" t="str">
        <f>IF(SUM(E318:O318)&gt;1,"CHECK"," ")</f>
        <v xml:space="preserve"> </v>
      </c>
      <c r="D318" s="270"/>
      <c r="E318" s="178">
        <v>0.5</v>
      </c>
      <c r="F318" s="15">
        <v>0.5</v>
      </c>
      <c r="G318" s="15"/>
      <c r="H318" s="15"/>
      <c r="I318" s="15"/>
      <c r="J318" s="15"/>
      <c r="K318" s="15"/>
      <c r="L318" s="15"/>
      <c r="M318" s="15"/>
      <c r="N318" s="15"/>
      <c r="O318" s="15"/>
    </row>
    <row r="319" spans="1:15" ht="15.75" thickBot="1">
      <c r="A319" s="39"/>
      <c r="B319" s="11" t="s">
        <v>32</v>
      </c>
      <c r="C319" s="51"/>
      <c r="D319" s="838" t="s">
        <v>851</v>
      </c>
      <c r="E319" s="179">
        <f t="shared" ref="E319:O319" si="46">IF(E318&gt;0,(E318*$C317),0)</f>
        <v>5889198.750614021</v>
      </c>
      <c r="F319" s="20">
        <f t="shared" si="46"/>
        <v>5889198.750614021</v>
      </c>
      <c r="G319" s="20">
        <f t="shared" si="46"/>
        <v>0</v>
      </c>
      <c r="H319" s="20">
        <f t="shared" si="46"/>
        <v>0</v>
      </c>
      <c r="I319" s="20">
        <f t="shared" si="46"/>
        <v>0</v>
      </c>
      <c r="J319" s="20">
        <f t="shared" si="46"/>
        <v>0</v>
      </c>
      <c r="K319" s="20">
        <f t="shared" si="46"/>
        <v>0</v>
      </c>
      <c r="L319" s="20">
        <f t="shared" si="46"/>
        <v>0</v>
      </c>
      <c r="M319" s="20">
        <f t="shared" si="46"/>
        <v>0</v>
      </c>
      <c r="N319" s="20">
        <f t="shared" si="46"/>
        <v>0</v>
      </c>
      <c r="O319" s="20">
        <f t="shared" si="46"/>
        <v>0</v>
      </c>
    </row>
    <row r="320" spans="1:15" ht="15.75" thickBot="1">
      <c r="A320" s="39"/>
      <c r="B320" s="7"/>
      <c r="C320" s="10"/>
      <c r="D320" s="139"/>
      <c r="E320" s="221"/>
      <c r="F320" s="172"/>
      <c r="G320" s="172"/>
      <c r="H320" s="172"/>
      <c r="I320" s="172"/>
      <c r="J320" s="172"/>
      <c r="K320" s="172"/>
      <c r="L320" s="172"/>
      <c r="M320" s="172"/>
      <c r="N320" s="172"/>
      <c r="O320" s="172"/>
    </row>
    <row r="321" spans="1:15">
      <c r="A321" s="39"/>
      <c r="B321" s="4" t="s">
        <v>12</v>
      </c>
      <c r="C321" s="473" t="str">
        <f>Summary!B59</f>
        <v>E2</v>
      </c>
      <c r="D321" s="832"/>
      <c r="E321" s="156" t="str">
        <f>Summary!C59</f>
        <v>Validation - Standard Accommodation Projects</v>
      </c>
      <c r="F321" s="5"/>
      <c r="G321" s="5"/>
      <c r="H321" s="5"/>
      <c r="I321" s="5"/>
      <c r="J321" s="5"/>
      <c r="K321" s="5"/>
      <c r="L321" s="5"/>
      <c r="M321" s="5"/>
      <c r="N321" s="5"/>
      <c r="O321" s="5"/>
    </row>
    <row r="322" spans="1:15">
      <c r="A322" s="39"/>
      <c r="B322" s="7" t="s">
        <v>189</v>
      </c>
      <c r="C322" s="134" t="str">
        <f>'E2 Validation Std Accom'!D45</f>
        <v>C - Good</v>
      </c>
      <c r="D322" s="829"/>
      <c r="E322" s="176">
        <f>VLOOKUP(C322,'Confidence Factors'!$B$6:$D$9,3)</f>
        <v>0.75</v>
      </c>
      <c r="F322" s="8"/>
      <c r="G322" s="8"/>
      <c r="H322" s="8"/>
      <c r="I322" s="8"/>
      <c r="J322" s="8"/>
      <c r="K322" s="8"/>
      <c r="L322" s="8"/>
      <c r="M322" s="8"/>
      <c r="N322" s="8"/>
      <c r="O322" s="8"/>
    </row>
    <row r="323" spans="1:15">
      <c r="A323" s="39"/>
      <c r="B323" s="7" t="s">
        <v>30</v>
      </c>
      <c r="C323" s="128">
        <f>SUM(E323:O323)</f>
        <v>2025750</v>
      </c>
      <c r="D323" s="836"/>
      <c r="E323" s="177">
        <f>'E2 Validation Std Accom'!I$74*'E2 Validation Std Accom'!$D73*'Calcs - Scen 2'!$E322</f>
        <v>80250</v>
      </c>
      <c r="F323" s="19">
        <f>'E2 Validation Std Accom'!J74*'E2 Validation Std Accom'!D73*'Calcs - Scen 2'!E322</f>
        <v>395250</v>
      </c>
      <c r="G323" s="19">
        <f>'E2 Validation Std Accom'!K74*'E2 Validation Std Accom'!D73*'Calcs - Scen 2'!E322</f>
        <v>395250</v>
      </c>
      <c r="H323" s="19">
        <f>'E2 Validation Std Accom'!L74*'E2 Validation Std Accom'!D73*'Calcs - Scen 2'!E322</f>
        <v>341250</v>
      </c>
      <c r="I323" s="19">
        <f>'E2 Validation Std Accom'!M74*'E2 Validation Std Accom'!D73*'Calcs - Scen 2'!E322</f>
        <v>341250</v>
      </c>
      <c r="J323" s="19">
        <f>'E2 Validation Std Accom'!N74*'E2 Validation Std Accom'!D73*'Calcs - Scen 2'!E322</f>
        <v>341250</v>
      </c>
      <c r="K323" s="19">
        <f>'E2 Validation Std Accom'!O74*'E2 Validation Std Accom'!D73*'Calcs - Scen 2'!E322</f>
        <v>26250</v>
      </c>
      <c r="L323" s="19">
        <f>'E2 Validation Std Accom'!P74*'E2 Validation Std Accom'!$D73*'Calcs - Scen 2'!$E322</f>
        <v>26250</v>
      </c>
      <c r="M323" s="19">
        <f>'E2 Validation Std Accom'!Q74*'E2 Validation Std Accom'!$D73*'Calcs - Scen 2'!$E322</f>
        <v>26250</v>
      </c>
      <c r="N323" s="19">
        <f>'E2 Validation Std Accom'!R74*'E2 Validation Std Accom'!$D73*'Calcs - Scen 2'!$E322</f>
        <v>26250</v>
      </c>
      <c r="O323" s="19">
        <f>'E2 Validation Std Accom'!S74*'E2 Validation Std Accom'!$D73*'Calcs - Scen 2'!$E322</f>
        <v>26250</v>
      </c>
    </row>
    <row r="324" spans="1:15">
      <c r="B324" s="7" t="s">
        <v>31</v>
      </c>
      <c r="C324" s="129">
        <f>NPV($C$7,G323:O323)+E323+F323</f>
        <v>1884395.6346141186</v>
      </c>
      <c r="D324" s="837"/>
      <c r="E324" s="7"/>
      <c r="F324" s="8"/>
      <c r="G324" s="8"/>
      <c r="H324" s="8"/>
      <c r="I324" s="8"/>
      <c r="J324" s="8"/>
      <c r="K324" s="8"/>
      <c r="L324" s="8"/>
      <c r="M324" s="8"/>
      <c r="N324" s="8"/>
      <c r="O324" s="8"/>
    </row>
    <row r="325" spans="1:15">
      <c r="B325" s="7" t="s">
        <v>4</v>
      </c>
      <c r="C325" s="130" t="str">
        <f>IF(SUM(E325:O325)&gt;1,"CHECK"," ")</f>
        <v xml:space="preserve"> </v>
      </c>
      <c r="D325" s="270"/>
      <c r="E325" s="178">
        <f>1/3</f>
        <v>0.33333333333333331</v>
      </c>
      <c r="F325" s="178">
        <f t="shared" ref="F325:G325" si="47">1/3</f>
        <v>0.33333333333333331</v>
      </c>
      <c r="G325" s="178">
        <f t="shared" si="47"/>
        <v>0.33333333333333331</v>
      </c>
      <c r="H325" s="15"/>
      <c r="I325" s="15"/>
      <c r="J325" s="15"/>
      <c r="K325" s="15"/>
      <c r="L325" s="15"/>
      <c r="M325" s="15"/>
      <c r="N325" s="15"/>
      <c r="O325" s="15"/>
    </row>
    <row r="326" spans="1:15" ht="15.75" thickBot="1">
      <c r="B326" s="11" t="s">
        <v>32</v>
      </c>
      <c r="C326" s="51"/>
      <c r="D326" s="139" t="s">
        <v>45</v>
      </c>
      <c r="E326" s="220">
        <f t="shared" ref="E326:O326" si="48">IF(E325&gt;0,(E325*$C324),0)</f>
        <v>628131.87820470612</v>
      </c>
      <c r="F326" s="218">
        <f t="shared" si="48"/>
        <v>628131.87820470612</v>
      </c>
      <c r="G326" s="218">
        <f t="shared" si="48"/>
        <v>628131.87820470612</v>
      </c>
      <c r="H326" s="218">
        <f t="shared" si="48"/>
        <v>0</v>
      </c>
      <c r="I326" s="218">
        <f t="shared" si="48"/>
        <v>0</v>
      </c>
      <c r="J326" s="218">
        <f t="shared" si="48"/>
        <v>0</v>
      </c>
      <c r="K326" s="218">
        <f t="shared" si="48"/>
        <v>0</v>
      </c>
      <c r="L326" s="218">
        <f t="shared" si="48"/>
        <v>0</v>
      </c>
      <c r="M326" s="218">
        <f t="shared" si="48"/>
        <v>0</v>
      </c>
      <c r="N326" s="218">
        <f t="shared" si="48"/>
        <v>0</v>
      </c>
      <c r="O326" s="218">
        <f t="shared" si="48"/>
        <v>0</v>
      </c>
    </row>
    <row r="327" spans="1:15" ht="15.75" thickBot="1">
      <c r="B327" s="7"/>
      <c r="C327" s="10"/>
      <c r="D327" s="139"/>
      <c r="E327" s="221"/>
      <c r="F327" s="172"/>
      <c r="G327" s="172"/>
      <c r="H327" s="172"/>
      <c r="I327" s="172"/>
      <c r="J327" s="172"/>
      <c r="K327" s="172"/>
      <c r="L327" s="172"/>
      <c r="M327" s="172"/>
      <c r="N327" s="172"/>
      <c r="O327" s="172"/>
    </row>
    <row r="328" spans="1:15">
      <c r="B328" s="4" t="s">
        <v>12</v>
      </c>
      <c r="C328" s="473" t="str">
        <f>Summary!B60</f>
        <v>E3</v>
      </c>
      <c r="D328" s="832"/>
      <c r="E328" s="474" t="str">
        <f>Summary!C60</f>
        <v>Validation - CMAL</v>
      </c>
      <c r="F328" s="5"/>
      <c r="G328" s="5"/>
      <c r="H328" s="5"/>
      <c r="I328" s="5"/>
      <c r="J328" s="5"/>
      <c r="K328" s="5"/>
      <c r="L328" s="5"/>
      <c r="M328" s="5"/>
      <c r="N328" s="5"/>
      <c r="O328" s="5"/>
    </row>
    <row r="329" spans="1:15">
      <c r="B329" s="7" t="s">
        <v>189</v>
      </c>
      <c r="C329" s="134" t="str">
        <f>'E3 Validation CMAL'!D45</f>
        <v>D - Moderate</v>
      </c>
      <c r="D329" s="829"/>
      <c r="E329" s="176">
        <f>VLOOKUP(C329,'Confidence Factors'!$B$6:$D$9,3)</f>
        <v>0.55000000000000004</v>
      </c>
      <c r="F329" s="8"/>
      <c r="G329" s="8"/>
      <c r="H329" s="8"/>
      <c r="I329" s="8"/>
      <c r="J329" s="8"/>
      <c r="K329" s="8"/>
      <c r="L329" s="8"/>
      <c r="M329" s="8"/>
      <c r="N329" s="8"/>
      <c r="O329" s="8"/>
    </row>
    <row r="330" spans="1:15">
      <c r="B330" s="7" t="s">
        <v>30</v>
      </c>
      <c r="C330" s="128">
        <f>SUM(E330:O330)</f>
        <v>13264020.000000002</v>
      </c>
      <c r="D330" s="836"/>
      <c r="E330" s="177">
        <v>0</v>
      </c>
      <c r="F330" s="19">
        <v>0</v>
      </c>
      <c r="G330" s="19">
        <f>(('E3 Validation CMAL'!$D68)/25)*'E3 Validation CMAL'!$D73*'Calcs - Scen 2'!$E329</f>
        <v>1473780.0000000002</v>
      </c>
      <c r="H330" s="19">
        <f>(('E3 Validation CMAL'!$D68)/25)*'E3 Validation CMAL'!$D73*'Calcs - Scen 2'!$E329</f>
        <v>1473780.0000000002</v>
      </c>
      <c r="I330" s="19">
        <f>(('E3 Validation CMAL'!$D68)/25)*'E3 Validation CMAL'!$D73*'Calcs - Scen 2'!$E329</f>
        <v>1473780.0000000002</v>
      </c>
      <c r="J330" s="19">
        <f>(('E3 Validation CMAL'!$D68)/25)*'E3 Validation CMAL'!$D73*'Calcs - Scen 2'!$E329</f>
        <v>1473780.0000000002</v>
      </c>
      <c r="K330" s="19">
        <f>(('E3 Validation CMAL'!$D68)/25)*'E3 Validation CMAL'!$D73*'Calcs - Scen 2'!$E329</f>
        <v>1473780.0000000002</v>
      </c>
      <c r="L330" s="19">
        <f>(('E3 Validation CMAL'!$D68)/25)*'E3 Validation CMAL'!$D73*'Calcs - Scen 2'!$E329</f>
        <v>1473780.0000000002</v>
      </c>
      <c r="M330" s="19">
        <f>(('E3 Validation CMAL'!$D68)/25)*'E3 Validation CMAL'!$D73*'Calcs - Scen 2'!$E329</f>
        <v>1473780.0000000002</v>
      </c>
      <c r="N330" s="19">
        <f>(('E3 Validation CMAL'!$D68)/25)*'E3 Validation CMAL'!$D73*'Calcs - Scen 2'!$E329</f>
        <v>1473780.0000000002</v>
      </c>
      <c r="O330" s="19">
        <f>(('E3 Validation CMAL'!$D68)/25)*'E3 Validation CMAL'!$D73*'Calcs - Scen 2'!$E329</f>
        <v>1473780.0000000002</v>
      </c>
    </row>
    <row r="331" spans="1:15">
      <c r="B331" s="7" t="s">
        <v>31</v>
      </c>
      <c r="C331" s="129">
        <f>NPV($C$7,G330:O330)+E330+F330</f>
        <v>11212056.223039756</v>
      </c>
      <c r="D331" s="837"/>
      <c r="E331" s="7"/>
      <c r="F331" s="8"/>
      <c r="G331" s="8"/>
      <c r="H331" s="8"/>
      <c r="I331" s="8"/>
      <c r="J331" s="8"/>
      <c r="K331" s="8"/>
      <c r="L331" s="8"/>
      <c r="M331" s="8"/>
      <c r="N331" s="8"/>
      <c r="O331" s="8"/>
    </row>
    <row r="332" spans="1:15">
      <c r="B332" s="7" t="s">
        <v>4</v>
      </c>
      <c r="C332" s="130" t="str">
        <f>IF(SUM(E332:O332)&gt;1,"CHECK"," ")</f>
        <v xml:space="preserve"> </v>
      </c>
      <c r="D332" s="270"/>
      <c r="E332" s="178">
        <v>0.5</v>
      </c>
      <c r="F332" s="15">
        <v>0.5</v>
      </c>
      <c r="G332" s="15"/>
      <c r="H332" s="15"/>
      <c r="I332" s="15"/>
      <c r="J332" s="15"/>
      <c r="K332" s="15"/>
      <c r="L332" s="15"/>
      <c r="M332" s="15"/>
      <c r="N332" s="15"/>
      <c r="O332" s="15"/>
    </row>
    <row r="333" spans="1:15" ht="15.75" thickBot="1">
      <c r="B333" s="11" t="s">
        <v>32</v>
      </c>
      <c r="C333" s="51"/>
      <c r="D333" s="139" t="s">
        <v>45</v>
      </c>
      <c r="E333" s="220">
        <f t="shared" ref="E333:O333" si="49">IF(E332&gt;0,(E332*$C331),0)</f>
        <v>5606028.1115198778</v>
      </c>
      <c r="F333" s="218">
        <f t="shared" si="49"/>
        <v>5606028.1115198778</v>
      </c>
      <c r="G333" s="218">
        <f t="shared" si="49"/>
        <v>0</v>
      </c>
      <c r="H333" s="218">
        <f t="shared" si="49"/>
        <v>0</v>
      </c>
      <c r="I333" s="218">
        <f t="shared" si="49"/>
        <v>0</v>
      </c>
      <c r="J333" s="218">
        <f t="shared" si="49"/>
        <v>0</v>
      </c>
      <c r="K333" s="218">
        <f t="shared" si="49"/>
        <v>0</v>
      </c>
      <c r="L333" s="218">
        <f t="shared" si="49"/>
        <v>0</v>
      </c>
      <c r="M333" s="218">
        <f t="shared" si="49"/>
        <v>0</v>
      </c>
      <c r="N333" s="218">
        <f t="shared" si="49"/>
        <v>0</v>
      </c>
      <c r="O333" s="218">
        <f t="shared" si="49"/>
        <v>0</v>
      </c>
    </row>
    <row r="334" spans="1:15" ht="15.75" thickBot="1">
      <c r="B334" s="7"/>
      <c r="C334" s="10"/>
      <c r="D334" s="139"/>
      <c r="E334" s="221"/>
      <c r="F334" s="172"/>
      <c r="G334" s="172"/>
      <c r="H334" s="172"/>
      <c r="I334" s="172"/>
      <c r="J334" s="172"/>
      <c r="K334" s="172"/>
      <c r="L334" s="172"/>
      <c r="M334" s="172"/>
      <c r="N334" s="172"/>
      <c r="O334" s="172"/>
    </row>
    <row r="335" spans="1:15">
      <c r="B335" s="4" t="s">
        <v>12</v>
      </c>
      <c r="C335" s="473" t="str">
        <f>Summary!B61</f>
        <v>E4</v>
      </c>
      <c r="D335" s="832"/>
      <c r="E335" s="474" t="str">
        <f>Summary!C61</f>
        <v>Validation - Non-Standard Civils Projects (Borders Railway)</v>
      </c>
      <c r="F335" s="5"/>
      <c r="G335" s="5"/>
      <c r="H335" s="5"/>
      <c r="I335" s="5"/>
      <c r="J335" s="5"/>
      <c r="K335" s="5"/>
      <c r="L335" s="5"/>
      <c r="M335" s="5"/>
      <c r="N335" s="5"/>
      <c r="O335" s="5"/>
    </row>
    <row r="336" spans="1:15">
      <c r="B336" s="7" t="s">
        <v>189</v>
      </c>
      <c r="C336" s="553" t="str">
        <f>'E4 Valdn Non-Std Civils (BOR)'!D47</f>
        <v>C - Good</v>
      </c>
      <c r="D336" s="833"/>
      <c r="E336" s="176">
        <f>VLOOKUP(C336,'Confidence Factors'!$B$6:$D$9,3)</f>
        <v>0.75</v>
      </c>
      <c r="F336" s="8"/>
      <c r="G336" s="8"/>
      <c r="H336" s="8"/>
      <c r="I336" s="8"/>
      <c r="J336" s="8"/>
      <c r="K336" s="8"/>
      <c r="L336" s="8"/>
      <c r="M336" s="8"/>
      <c r="N336" s="8"/>
      <c r="O336" s="8"/>
    </row>
    <row r="337" spans="1:15">
      <c r="B337" s="7" t="s">
        <v>30</v>
      </c>
      <c r="C337" s="128">
        <f>SUM(E337:O337)</f>
        <v>605469.375</v>
      </c>
      <c r="D337" s="836"/>
      <c r="E337" s="177">
        <v>0</v>
      </c>
      <c r="F337" s="19">
        <f>(('E3 Validation CMAL'!$D75)/25)*'E3 Validation CMAL'!$D80*'Calcs - Scen 2'!$E336</f>
        <v>0</v>
      </c>
      <c r="G337" s="19">
        <f>(('E3 Validation CMAL'!$D75)/25)*'E3 Validation CMAL'!$D80*'Calcs - Scen 2'!$E336</f>
        <v>0</v>
      </c>
      <c r="H337" s="19">
        <f>(('E3 Validation CMAL'!$D75)/25)*'E3 Validation CMAL'!$D80*'Calcs - Scen 2'!$E336</f>
        <v>0</v>
      </c>
      <c r="I337" s="19">
        <f>(('E3 Validation CMAL'!$D75)/25)*'E3 Validation CMAL'!$D80*'Calcs - Scen 2'!$E336</f>
        <v>0</v>
      </c>
      <c r="J337" s="19">
        <f>(('E3 Validation CMAL'!$D75)/25)*'E3 Validation CMAL'!$D80*'Calcs - Scen 2'!$E336</f>
        <v>0</v>
      </c>
      <c r="K337" s="19">
        <f>'E4 Valdn Non-Std Civils (BOR)'!O$76*'E4 Valdn Non-Std Civils (BOR)'!$D75*'Calcs - Scen 2'!$E336</f>
        <v>121093.875</v>
      </c>
      <c r="L337" s="19">
        <f>'E4 Valdn Non-Std Civils (BOR)'!P$76*'E4 Valdn Non-Std Civils (BOR)'!$D75*'Calcs - Scen 2'!$E336</f>
        <v>121093.875</v>
      </c>
      <c r="M337" s="19">
        <f>'E4 Valdn Non-Std Civils (BOR)'!Q$76*'E4 Valdn Non-Std Civils (BOR)'!$D75*'Calcs - Scen 2'!$E336</f>
        <v>121093.875</v>
      </c>
      <c r="N337" s="19">
        <f>'E4 Valdn Non-Std Civils (BOR)'!R$76*'E4 Valdn Non-Std Civils (BOR)'!$D75*'Calcs - Scen 2'!$E336</f>
        <v>121093.875</v>
      </c>
      <c r="O337" s="19">
        <f>'E4 Valdn Non-Std Civils (BOR)'!S$76*'E4 Valdn Non-Std Civils (BOR)'!$D75*'Calcs - Scen 2'!$E336</f>
        <v>121093.875</v>
      </c>
    </row>
    <row r="338" spans="1:15">
      <c r="B338" s="7" t="s">
        <v>31</v>
      </c>
      <c r="C338" s="129">
        <f>NPV($C$7,G337:O337)+E337+F337</f>
        <v>476456.84459128283</v>
      </c>
      <c r="D338" s="837"/>
      <c r="E338" s="7"/>
      <c r="F338" s="8"/>
      <c r="G338" s="8"/>
      <c r="H338" s="8"/>
      <c r="I338" s="8"/>
      <c r="J338" s="8"/>
      <c r="K338" s="8"/>
      <c r="L338" s="8"/>
      <c r="M338" s="8"/>
      <c r="N338" s="8"/>
      <c r="O338" s="8"/>
    </row>
    <row r="339" spans="1:15">
      <c r="B339" s="7" t="s">
        <v>4</v>
      </c>
      <c r="C339" s="130" t="str">
        <f>IF(SUM(E339:O339)&gt;1,"CHECK"," ")</f>
        <v xml:space="preserve"> </v>
      </c>
      <c r="D339" s="270"/>
      <c r="E339" s="178">
        <f>1/3</f>
        <v>0.33333333333333331</v>
      </c>
      <c r="F339" s="178">
        <f t="shared" ref="F339:G339" si="50">1/3</f>
        <v>0.33333333333333331</v>
      </c>
      <c r="G339" s="178">
        <f t="shared" si="50"/>
        <v>0.33333333333333331</v>
      </c>
      <c r="H339" s="15"/>
      <c r="I339" s="15"/>
      <c r="J339" s="15"/>
      <c r="K339" s="15"/>
      <c r="L339" s="15"/>
      <c r="M339" s="15"/>
      <c r="N339" s="15"/>
      <c r="O339" s="15"/>
    </row>
    <row r="340" spans="1:15" ht="15.75" thickBot="1">
      <c r="B340" s="11" t="s">
        <v>32</v>
      </c>
      <c r="C340" s="51"/>
      <c r="D340" s="139" t="s">
        <v>851</v>
      </c>
      <c r="E340" s="220">
        <f t="shared" ref="E340:O340" si="51">IF(E339&gt;0,(E339*$C338),0)</f>
        <v>158818.94819709426</v>
      </c>
      <c r="F340" s="220">
        <f t="shared" si="51"/>
        <v>158818.94819709426</v>
      </c>
      <c r="G340" s="220">
        <f t="shared" si="51"/>
        <v>158818.94819709426</v>
      </c>
      <c r="H340" s="218">
        <f t="shared" si="51"/>
        <v>0</v>
      </c>
      <c r="I340" s="218">
        <f t="shared" si="51"/>
        <v>0</v>
      </c>
      <c r="J340" s="218">
        <f t="shared" si="51"/>
        <v>0</v>
      </c>
      <c r="K340" s="218">
        <f t="shared" si="51"/>
        <v>0</v>
      </c>
      <c r="L340" s="218">
        <f t="shared" si="51"/>
        <v>0</v>
      </c>
      <c r="M340" s="218">
        <f t="shared" si="51"/>
        <v>0</v>
      </c>
      <c r="N340" s="218">
        <f t="shared" si="51"/>
        <v>0</v>
      </c>
      <c r="O340" s="218">
        <f t="shared" si="51"/>
        <v>0</v>
      </c>
    </row>
    <row r="341" spans="1:15" ht="15.75" thickBot="1">
      <c r="B341" s="7"/>
      <c r="C341" s="10"/>
      <c r="D341" s="139"/>
      <c r="E341" s="221"/>
      <c r="F341" s="172"/>
      <c r="G341" s="172"/>
      <c r="H341" s="172"/>
      <c r="I341" s="172"/>
      <c r="J341" s="172"/>
      <c r="K341" s="172"/>
      <c r="L341" s="172"/>
      <c r="M341" s="172"/>
      <c r="N341" s="172"/>
      <c r="O341" s="172"/>
    </row>
    <row r="342" spans="1:15">
      <c r="A342" s="39"/>
      <c r="B342" s="4" t="s">
        <v>12</v>
      </c>
      <c r="C342" s="133" t="str">
        <f>Summary!B62</f>
        <v>F1</v>
      </c>
      <c r="D342" s="834"/>
      <c r="E342" s="175" t="str">
        <f>Summary!C62</f>
        <v xml:space="preserve">Operational Projects Support </v>
      </c>
      <c r="F342" s="8"/>
      <c r="G342" s="8"/>
      <c r="H342" s="8"/>
      <c r="I342" s="8"/>
      <c r="J342" s="8"/>
      <c r="K342" s="8"/>
      <c r="L342" s="8"/>
      <c r="M342" s="8"/>
      <c r="N342" s="8"/>
      <c r="O342" s="8"/>
    </row>
    <row r="343" spans="1:15">
      <c r="A343" s="39"/>
      <c r="B343" s="7" t="s">
        <v>189</v>
      </c>
      <c r="C343" s="134" t="str">
        <f>'F1 Ops project support'!D47</f>
        <v>D - Moderate</v>
      </c>
      <c r="D343" s="829"/>
      <c r="E343" s="176">
        <f>VLOOKUP(C343,'Confidence Factors'!$B$6:$D$9,3)</f>
        <v>0.55000000000000004</v>
      </c>
      <c r="F343" s="8"/>
      <c r="G343" s="8"/>
      <c r="H343" s="8"/>
      <c r="I343" s="8"/>
      <c r="J343" s="8"/>
      <c r="K343" s="8"/>
      <c r="L343" s="8"/>
      <c r="M343" s="8"/>
      <c r="N343" s="8"/>
      <c r="O343" s="8"/>
    </row>
    <row r="344" spans="1:15">
      <c r="A344" s="39"/>
      <c r="B344" s="7" t="s">
        <v>30</v>
      </c>
      <c r="C344" s="128">
        <f>SUM(E344:O344)</f>
        <v>12100000</v>
      </c>
      <c r="D344" s="836"/>
      <c r="E344" s="177">
        <v>0</v>
      </c>
      <c r="F344" s="124">
        <v>0</v>
      </c>
      <c r="G344" s="124">
        <f>'F1 Ops project support'!N$59*'F1 Ops project support'!$D75*'Calcs - Scen 2'!$E343</f>
        <v>302500</v>
      </c>
      <c r="H344" s="124">
        <f>'F1 Ops project support'!O$59*'F1 Ops project support'!$D75*'Calcs - Scen 2'!$E343</f>
        <v>1210000</v>
      </c>
      <c r="I344" s="124">
        <f>'F1 Ops project support'!P$59*'F1 Ops project support'!$D75*'Calcs - Scen 2'!$E343</f>
        <v>1512500.0000000002</v>
      </c>
      <c r="J344" s="124">
        <f>'F1 Ops project support'!Q$59*'F1 Ops project support'!$D75*'Calcs - Scen 2'!$E343</f>
        <v>1512500.0000000002</v>
      </c>
      <c r="K344" s="124">
        <f>'F1 Ops project support'!R$59*'F1 Ops project support'!$D75*'Calcs - Scen 2'!$E343</f>
        <v>1512500.0000000002</v>
      </c>
      <c r="L344" s="124">
        <f>'F1 Ops project support'!S$59*'F1 Ops project support'!$D75*'Calcs - Scen 2'!$E343</f>
        <v>1512500.0000000002</v>
      </c>
      <c r="M344" s="124">
        <f>'F1 Ops project support'!T$59*'F1 Ops project support'!$D75*'Calcs - Scen 2'!$E343</f>
        <v>1512500.0000000002</v>
      </c>
      <c r="N344" s="124">
        <f>'F1 Ops project support'!U$59*'F1 Ops project support'!$D75*'Calcs - Scen 2'!$E343</f>
        <v>1512500.0000000002</v>
      </c>
      <c r="O344" s="124">
        <f>'F1 Ops project support'!V$59*'F1 Ops project support'!$D75*'Calcs - Scen 2'!$E343</f>
        <v>1512500.0000000002</v>
      </c>
    </row>
    <row r="345" spans="1:15">
      <c r="A345" s="39"/>
      <c r="B345" s="7" t="s">
        <v>31</v>
      </c>
      <c r="C345" s="129">
        <f>NPV($C$7,G344:O344)+E344+F344</f>
        <v>10055156.73219843</v>
      </c>
      <c r="D345" s="837"/>
      <c r="E345" s="7"/>
      <c r="F345" s="8"/>
      <c r="G345" s="8"/>
      <c r="H345" s="8"/>
      <c r="I345" s="8"/>
      <c r="J345" s="8"/>
      <c r="K345" s="8"/>
      <c r="L345" s="8"/>
      <c r="M345" s="8"/>
      <c r="N345" s="8"/>
      <c r="O345" s="8"/>
    </row>
    <row r="346" spans="1:15">
      <c r="A346" s="39"/>
      <c r="B346" s="7" t="s">
        <v>4</v>
      </c>
      <c r="C346" s="130" t="str">
        <f>IF(SUM(E346:O346)&gt;1,"CHECK"," ")</f>
        <v xml:space="preserve"> </v>
      </c>
      <c r="D346" s="270"/>
      <c r="E346" s="178">
        <v>0.1</v>
      </c>
      <c r="F346" s="15">
        <v>0.15</v>
      </c>
      <c r="G346" s="15">
        <v>0.6</v>
      </c>
      <c r="H346" s="15">
        <v>0.15</v>
      </c>
      <c r="I346" s="15"/>
      <c r="J346" s="15"/>
      <c r="K346" s="15"/>
      <c r="L346" s="15"/>
      <c r="M346" s="15"/>
      <c r="N346" s="15"/>
      <c r="O346" s="15"/>
    </row>
    <row r="347" spans="1:15" ht="15.75" thickBot="1">
      <c r="A347" s="39"/>
      <c r="B347" s="11" t="s">
        <v>32</v>
      </c>
      <c r="C347" s="51"/>
      <c r="D347" s="838" t="s">
        <v>850</v>
      </c>
      <c r="E347" s="179">
        <f>IF(E346&gt;0,(E346*$C345),0)</f>
        <v>1005515.6732198431</v>
      </c>
      <c r="F347" s="20">
        <f t="shared" ref="F347:O347" si="52">IF(F346&gt;0,(F346*$C345),0)</f>
        <v>1508273.5098297645</v>
      </c>
      <c r="G347" s="20">
        <f t="shared" si="52"/>
        <v>6033094.0393190579</v>
      </c>
      <c r="H347" s="20">
        <f t="shared" si="52"/>
        <v>1508273.5098297645</v>
      </c>
      <c r="I347" s="20">
        <f t="shared" si="52"/>
        <v>0</v>
      </c>
      <c r="J347" s="20">
        <f t="shared" si="52"/>
        <v>0</v>
      </c>
      <c r="K347" s="20">
        <f t="shared" si="52"/>
        <v>0</v>
      </c>
      <c r="L347" s="20">
        <f t="shared" si="52"/>
        <v>0</v>
      </c>
      <c r="M347" s="20">
        <f t="shared" si="52"/>
        <v>0</v>
      </c>
      <c r="N347" s="20">
        <f t="shared" si="52"/>
        <v>0</v>
      </c>
      <c r="O347" s="20">
        <f t="shared" si="52"/>
        <v>0</v>
      </c>
    </row>
    <row r="348" spans="1:15" ht="15.75" thickBot="1">
      <c r="A348" s="39"/>
      <c r="B348" s="7"/>
      <c r="C348" s="10"/>
      <c r="D348" s="139"/>
      <c r="E348" s="7"/>
      <c r="F348" s="8"/>
      <c r="G348" s="8"/>
      <c r="H348" s="8"/>
      <c r="I348" s="8"/>
      <c r="J348" s="8"/>
      <c r="K348" s="8"/>
      <c r="L348" s="8"/>
      <c r="M348" s="8"/>
      <c r="N348" s="8"/>
      <c r="O348" s="8"/>
    </row>
    <row r="349" spans="1:15">
      <c r="A349" s="39"/>
      <c r="B349" s="4" t="s">
        <v>12</v>
      </c>
      <c r="C349" s="133" t="str">
        <f>Summary!B63</f>
        <v>G1</v>
      </c>
      <c r="D349" s="828"/>
      <c r="E349" s="156" t="str">
        <f>Summary!C63</f>
        <v>Waste - Procurement Timetable Benefits - Avoided Disposal Costs - Projects other than Clyde Valley</v>
      </c>
      <c r="F349" s="5"/>
      <c r="G349" s="5"/>
      <c r="H349" s="5"/>
      <c r="I349" s="5"/>
      <c r="J349" s="5"/>
      <c r="K349" s="5"/>
      <c r="L349" s="5"/>
      <c r="M349" s="5"/>
      <c r="N349" s="5"/>
      <c r="O349" s="5"/>
    </row>
    <row r="350" spans="1:15">
      <c r="A350" s="39"/>
      <c r="B350" s="7" t="s">
        <v>189</v>
      </c>
      <c r="C350" s="134" t="str">
        <f>'G1 Wst Proc Time Benefits'!D47</f>
        <v>C - Good</v>
      </c>
      <c r="D350" s="829"/>
      <c r="E350" s="176">
        <f>VLOOKUP(C350,'Confidence Factors'!$B$6:$D$9,3)</f>
        <v>0.75</v>
      </c>
      <c r="F350" s="8"/>
      <c r="G350" s="8"/>
      <c r="H350" s="8"/>
      <c r="I350" s="8"/>
      <c r="J350" s="8"/>
      <c r="K350" s="8"/>
      <c r="L350" s="8"/>
      <c r="M350" s="8"/>
      <c r="N350" s="8"/>
      <c r="O350" s="8"/>
    </row>
    <row r="351" spans="1:15">
      <c r="A351" s="39"/>
      <c r="B351" s="7" t="s">
        <v>30</v>
      </c>
      <c r="C351" s="128">
        <f>SUM(E351:O351)</f>
        <v>439687.5</v>
      </c>
      <c r="D351" s="836"/>
      <c r="E351" s="177">
        <v>0</v>
      </c>
      <c r="F351" s="19">
        <v>0</v>
      </c>
      <c r="G351" s="19">
        <v>0</v>
      </c>
      <c r="H351" s="19">
        <v>0</v>
      </c>
      <c r="I351" s="19">
        <v>0</v>
      </c>
      <c r="J351" s="19">
        <f>752500*'G1 Wst Proc Time Benefits'!D75*'Calcs - Scen 2'!E350</f>
        <v>282187.5</v>
      </c>
      <c r="K351" s="19">
        <v>0</v>
      </c>
      <c r="L351" s="19"/>
      <c r="M351" s="19">
        <f>420000*'G1 Wst Proc Time Benefits'!D75*'Calcs - Scen 2'!E350</f>
        <v>157500</v>
      </c>
      <c r="N351" s="19"/>
      <c r="O351" s="19"/>
    </row>
    <row r="352" spans="1:15">
      <c r="A352" s="39"/>
      <c r="B352" s="7" t="s">
        <v>31</v>
      </c>
      <c r="C352" s="129">
        <f>NPV($C$7,G351:O351)+E351+F351</f>
        <v>374036.45510716201</v>
      </c>
      <c r="D352" s="837"/>
      <c r="E352" s="7"/>
      <c r="F352" s="8"/>
      <c r="G352" s="8"/>
      <c r="H352" s="8"/>
      <c r="I352" s="8"/>
      <c r="J352" s="8"/>
      <c r="K352" s="8"/>
      <c r="L352" s="8"/>
      <c r="M352" s="8"/>
      <c r="N352" s="8"/>
      <c r="O352" s="8"/>
    </row>
    <row r="353" spans="1:15">
      <c r="A353" s="39"/>
      <c r="B353" s="7" t="s">
        <v>4</v>
      </c>
      <c r="C353" s="130" t="str">
        <f>IF(SUM(E353:O353)&gt;1,"CHECK"," ")</f>
        <v xml:space="preserve"> </v>
      </c>
      <c r="D353" s="270"/>
      <c r="E353" s="178">
        <v>0.2</v>
      </c>
      <c r="F353" s="15">
        <v>0.3</v>
      </c>
      <c r="G353" s="15">
        <v>0.3</v>
      </c>
      <c r="H353" s="15">
        <v>0.2</v>
      </c>
      <c r="I353" s="15"/>
      <c r="J353" s="15"/>
      <c r="K353" s="15"/>
      <c r="L353" s="15"/>
      <c r="M353" s="15"/>
      <c r="N353" s="15"/>
      <c r="O353" s="15"/>
    </row>
    <row r="354" spans="1:15" ht="15.75" thickBot="1">
      <c r="A354" s="39"/>
      <c r="B354" s="11" t="s">
        <v>32</v>
      </c>
      <c r="C354" s="51"/>
      <c r="D354" s="838" t="s">
        <v>842</v>
      </c>
      <c r="E354" s="179">
        <f>IF(E353&gt;0,(E353*$C352),0)</f>
        <v>74807.291021432407</v>
      </c>
      <c r="F354" s="20">
        <f t="shared" ref="F354:O354" si="53">IF(F353&gt;0,(F353*$C352),0)</f>
        <v>112210.9365321486</v>
      </c>
      <c r="G354" s="20">
        <f t="shared" si="53"/>
        <v>112210.9365321486</v>
      </c>
      <c r="H354" s="20">
        <f t="shared" si="53"/>
        <v>74807.291021432407</v>
      </c>
      <c r="I354" s="20">
        <f t="shared" si="53"/>
        <v>0</v>
      </c>
      <c r="J354" s="20">
        <f t="shared" si="53"/>
        <v>0</v>
      </c>
      <c r="K354" s="20">
        <f t="shared" si="53"/>
        <v>0</v>
      </c>
      <c r="L354" s="20">
        <f t="shared" si="53"/>
        <v>0</v>
      </c>
      <c r="M354" s="20">
        <f t="shared" si="53"/>
        <v>0</v>
      </c>
      <c r="N354" s="20">
        <f t="shared" si="53"/>
        <v>0</v>
      </c>
      <c r="O354" s="20">
        <f t="shared" si="53"/>
        <v>0</v>
      </c>
    </row>
    <row r="355" spans="1:15" ht="15.75" thickBot="1">
      <c r="B355" s="7"/>
      <c r="C355" s="10"/>
      <c r="D355" s="139"/>
      <c r="E355" s="7"/>
      <c r="F355" s="8"/>
      <c r="G355" s="8"/>
      <c r="H355" s="8"/>
      <c r="I355" s="8"/>
      <c r="J355" s="8"/>
      <c r="K355" s="8"/>
      <c r="L355" s="8"/>
      <c r="M355" s="8"/>
      <c r="N355" s="8"/>
      <c r="O355" s="8"/>
    </row>
    <row r="356" spans="1:15">
      <c r="B356" s="4" t="s">
        <v>12</v>
      </c>
      <c r="C356" s="133" t="str">
        <f>Summary!B64</f>
        <v>G2</v>
      </c>
      <c r="D356" s="828"/>
      <c r="E356" s="156" t="str">
        <f>Summary!C64</f>
        <v>Waste - Service Cost Benefits (Reduced Gate Fees) - Projects other than Clyde Valley</v>
      </c>
      <c r="F356" s="5"/>
      <c r="G356" s="5"/>
      <c r="H356" s="5"/>
      <c r="I356" s="5"/>
      <c r="J356" s="5"/>
      <c r="K356" s="5"/>
      <c r="L356" s="5"/>
      <c r="M356" s="5"/>
      <c r="N356" s="5"/>
      <c r="O356" s="5"/>
    </row>
    <row r="357" spans="1:15">
      <c r="B357" s="7" t="s">
        <v>189</v>
      </c>
      <c r="C357" s="134" t="str">
        <f>'G2 Wst Serv Cost Benefits'!D47</f>
        <v>C - Good</v>
      </c>
      <c r="D357" s="829"/>
      <c r="E357" s="176">
        <f>VLOOKUP(C357,'Confidence Factors'!$B$6:$D$9,3)</f>
        <v>0.75</v>
      </c>
      <c r="F357" s="8"/>
      <c r="G357" s="8"/>
      <c r="H357" s="8"/>
      <c r="I357" s="8"/>
      <c r="J357" s="8"/>
      <c r="K357" s="8"/>
      <c r="L357" s="8"/>
      <c r="M357" s="8"/>
      <c r="N357" s="8"/>
      <c r="O357" s="8"/>
    </row>
    <row r="358" spans="1:15">
      <c r="B358" s="7" t="s">
        <v>30</v>
      </c>
      <c r="C358" s="128">
        <f>SUM(E358:O358)</f>
        <v>2593350</v>
      </c>
      <c r="D358" s="836"/>
      <c r="E358" s="177">
        <v>0</v>
      </c>
      <c r="F358" s="19">
        <v>0</v>
      </c>
      <c r="G358" s="19">
        <v>0</v>
      </c>
      <c r="H358" s="19">
        <v>0</v>
      </c>
      <c r="I358" s="19">
        <v>0</v>
      </c>
      <c r="J358" s="19">
        <f>'G2 Wst Serv Cost Benefits'!I$84*'G2 Wst Serv Cost Benefits'!$D75*'Calcs - Scen 2'!$E357</f>
        <v>247725</v>
      </c>
      <c r="K358" s="19">
        <f>'G2 Wst Serv Cost Benefits'!J$84*'G2 Wst Serv Cost Benefits'!$D75*'Calcs - Scen 2'!$E357</f>
        <v>247725</v>
      </c>
      <c r="L358" s="19">
        <f>'G2 Wst Serv Cost Benefits'!K$84*'G2 Wst Serv Cost Benefits'!$D75*'Calcs - Scen 2'!$E357</f>
        <v>247725</v>
      </c>
      <c r="M358" s="19">
        <f>'G2 Wst Serv Cost Benefits'!L$84*'G2 Wst Serv Cost Benefits'!$D75*'Calcs - Scen 2'!$E357</f>
        <v>616725</v>
      </c>
      <c r="N358" s="19">
        <f>'G2 Wst Serv Cost Benefits'!M$84*'G2 Wst Serv Cost Benefits'!$D75*'Calcs - Scen 2'!$E357</f>
        <v>616725</v>
      </c>
      <c r="O358" s="19">
        <f>'G2 Wst Serv Cost Benefits'!N$84*'G2 Wst Serv Cost Benefits'!$D75*'Calcs - Scen 2'!$E357</f>
        <v>616725</v>
      </c>
    </row>
    <row r="359" spans="1:15">
      <c r="B359" s="7" t="s">
        <v>31</v>
      </c>
      <c r="C359" s="129">
        <f>NPV($C$7,G358:O358)+E358+F358</f>
        <v>2031578.8767866301</v>
      </c>
      <c r="D359" s="837"/>
      <c r="E359" s="7"/>
      <c r="F359" s="8"/>
      <c r="G359" s="8"/>
      <c r="H359" s="8"/>
      <c r="I359" s="8"/>
      <c r="J359" s="8"/>
      <c r="K359" s="8"/>
      <c r="L359" s="8"/>
      <c r="M359" s="8"/>
      <c r="N359" s="8"/>
      <c r="O359" s="8"/>
    </row>
    <row r="360" spans="1:15">
      <c r="B360" s="7" t="s">
        <v>4</v>
      </c>
      <c r="C360" s="130" t="str">
        <f>IF(SUM(E360:O360)&gt;1,"CHECK"," ")</f>
        <v xml:space="preserve"> </v>
      </c>
      <c r="D360" s="270"/>
      <c r="E360" s="178">
        <v>0.2</v>
      </c>
      <c r="F360" s="15">
        <v>0.3</v>
      </c>
      <c r="G360" s="15">
        <v>0.3</v>
      </c>
      <c r="H360" s="15">
        <v>0.2</v>
      </c>
      <c r="I360" s="15"/>
      <c r="J360" s="15"/>
      <c r="K360" s="15"/>
      <c r="L360" s="15"/>
      <c r="M360" s="15"/>
      <c r="N360" s="15"/>
      <c r="O360" s="15"/>
    </row>
    <row r="361" spans="1:15" ht="15.75" thickBot="1">
      <c r="B361" s="11" t="s">
        <v>32</v>
      </c>
      <c r="C361" s="51"/>
      <c r="D361" s="838" t="s">
        <v>842</v>
      </c>
      <c r="E361" s="179">
        <f>IF(E360&gt;0,(E360*$C359),0)</f>
        <v>406315.77535732603</v>
      </c>
      <c r="F361" s="20">
        <f t="shared" ref="F361:O361" si="54">IF(F360&gt;0,(F360*$C359),0)</f>
        <v>609473.66303598904</v>
      </c>
      <c r="G361" s="20">
        <f t="shared" si="54"/>
        <v>609473.66303598904</v>
      </c>
      <c r="H361" s="20">
        <f t="shared" si="54"/>
        <v>406315.77535732603</v>
      </c>
      <c r="I361" s="20">
        <f t="shared" si="54"/>
        <v>0</v>
      </c>
      <c r="J361" s="20">
        <f t="shared" si="54"/>
        <v>0</v>
      </c>
      <c r="K361" s="20">
        <f t="shared" si="54"/>
        <v>0</v>
      </c>
      <c r="L361" s="20">
        <f t="shared" si="54"/>
        <v>0</v>
      </c>
      <c r="M361" s="20">
        <f t="shared" si="54"/>
        <v>0</v>
      </c>
      <c r="N361" s="20">
        <f t="shared" si="54"/>
        <v>0</v>
      </c>
      <c r="O361" s="20">
        <f t="shared" si="54"/>
        <v>0</v>
      </c>
    </row>
    <row r="362" spans="1:15" ht="15.75" thickBot="1">
      <c r="B362" s="7"/>
      <c r="C362" s="10"/>
      <c r="D362" s="139"/>
      <c r="E362" s="7"/>
      <c r="F362" s="8"/>
      <c r="G362" s="8"/>
      <c r="H362" s="8"/>
      <c r="I362" s="8"/>
      <c r="J362" s="8"/>
      <c r="K362" s="8"/>
      <c r="L362" s="8"/>
      <c r="M362" s="8"/>
      <c r="N362" s="8"/>
      <c r="O362" s="8"/>
    </row>
    <row r="363" spans="1:15">
      <c r="B363" s="4" t="s">
        <v>12</v>
      </c>
      <c r="C363" s="133" t="str">
        <f>Summary!B65</f>
        <v>G3</v>
      </c>
      <c r="D363" s="828"/>
      <c r="E363" s="156" t="str">
        <f>Summary!C65</f>
        <v>Waste - Reduced Gate Fees - Clyde Valley</v>
      </c>
      <c r="F363" s="5"/>
      <c r="G363" s="5"/>
      <c r="H363" s="5"/>
      <c r="I363" s="5"/>
      <c r="J363" s="5"/>
      <c r="K363" s="5"/>
      <c r="L363" s="5"/>
      <c r="M363" s="5"/>
      <c r="N363" s="5"/>
      <c r="O363" s="5"/>
    </row>
    <row r="364" spans="1:15">
      <c r="B364" s="7" t="s">
        <v>189</v>
      </c>
      <c r="C364" s="134" t="str">
        <f>'G3 Waste Reduced Gate Fees CV'!D47</f>
        <v>D - Moderate</v>
      </c>
      <c r="D364" s="829"/>
      <c r="E364" s="176">
        <f>VLOOKUP(C364,'Confidence Factors'!$B$6:$D$9,3)</f>
        <v>0.55000000000000004</v>
      </c>
      <c r="F364" s="8"/>
      <c r="G364" s="8"/>
      <c r="H364" s="8"/>
      <c r="I364" s="8"/>
      <c r="J364" s="8"/>
      <c r="K364" s="8"/>
      <c r="L364" s="8"/>
      <c r="M364" s="8"/>
      <c r="N364" s="8"/>
      <c r="O364" s="8"/>
    </row>
    <row r="365" spans="1:15">
      <c r="B365" s="7" t="s">
        <v>30</v>
      </c>
      <c r="C365" s="128">
        <f>SUM(E365:O365)</f>
        <v>9798525</v>
      </c>
      <c r="D365" s="836"/>
      <c r="E365" s="177">
        <v>0</v>
      </c>
      <c r="F365" s="19">
        <v>0</v>
      </c>
      <c r="G365" s="19">
        <v>0</v>
      </c>
      <c r="H365" s="19">
        <v>0</v>
      </c>
      <c r="I365" s="19">
        <v>0</v>
      </c>
      <c r="J365" s="19">
        <f>'G3 Waste Reduced Gate Fees CV'!H$75*'G3 Waste Reduced Gate Fees CV'!$D75*'Calcs - Scen 2'!$E364</f>
        <v>824175.00000000012</v>
      </c>
      <c r="K365" s="19">
        <f>'G3 Waste Reduced Gate Fees CV'!I$75*'G3 Waste Reduced Gate Fees CV'!$D75*'Calcs - Scen 2'!$E364</f>
        <v>1098900</v>
      </c>
      <c r="L365" s="19">
        <f>'G3 Waste Reduced Gate Fees CV'!J$75*'G3 Waste Reduced Gate Fees CV'!$D75*'Calcs - Scen 2'!$E364</f>
        <v>2051280.0000000002</v>
      </c>
      <c r="M365" s="19">
        <f>'G3 Waste Reduced Gate Fees CV'!K$75*'G3 Waste Reduced Gate Fees CV'!$D75*'Calcs - Scen 2'!$E364</f>
        <v>1996335.0000000002</v>
      </c>
      <c r="N365" s="19">
        <f>'G3 Waste Reduced Gate Fees CV'!L$75*'G3 Waste Reduced Gate Fees CV'!$D75*'Calcs - Scen 2'!$E364</f>
        <v>1941390.0000000002</v>
      </c>
      <c r="O365" s="19">
        <f>'G3 Waste Reduced Gate Fees CV'!M$75*'G3 Waste Reduced Gate Fees CV'!$D75*'Calcs - Scen 2'!$E364</f>
        <v>1886445.0000000002</v>
      </c>
    </row>
    <row r="366" spans="1:15">
      <c r="B366" s="7" t="s">
        <v>31</v>
      </c>
      <c r="C366" s="129">
        <f>NPV($C$7,G365:O365)+E365+F365</f>
        <v>7739741.2021815479</v>
      </c>
      <c r="D366" s="837"/>
      <c r="E366" s="7"/>
      <c r="F366" s="8"/>
      <c r="G366" s="8"/>
      <c r="H366" s="8"/>
      <c r="I366" s="8"/>
      <c r="J366" s="8"/>
      <c r="K366" s="8"/>
      <c r="L366" s="8"/>
      <c r="M366" s="8"/>
      <c r="N366" s="8"/>
      <c r="O366" s="8"/>
    </row>
    <row r="367" spans="1:15">
      <c r="B367" s="7" t="s">
        <v>4</v>
      </c>
      <c r="C367" s="130" t="str">
        <f>IF(SUM(E367:O367)&gt;1,"CHECK"," ")</f>
        <v xml:space="preserve"> </v>
      </c>
      <c r="D367" s="270"/>
      <c r="E367" s="178">
        <v>0</v>
      </c>
      <c r="F367" s="15">
        <f>1/3</f>
        <v>0.33333333333333331</v>
      </c>
      <c r="G367" s="15">
        <f t="shared" ref="G367:H367" si="55">1/3</f>
        <v>0.33333333333333331</v>
      </c>
      <c r="H367" s="15">
        <f t="shared" si="55"/>
        <v>0.33333333333333331</v>
      </c>
      <c r="I367" s="15"/>
      <c r="J367" s="15"/>
      <c r="K367" s="15"/>
      <c r="L367" s="15"/>
      <c r="M367" s="15"/>
      <c r="N367" s="15"/>
      <c r="O367" s="15"/>
    </row>
    <row r="368" spans="1:15" ht="15.75" thickBot="1">
      <c r="B368" s="11" t="s">
        <v>32</v>
      </c>
      <c r="C368" s="51"/>
      <c r="D368" s="838" t="s">
        <v>842</v>
      </c>
      <c r="E368" s="179">
        <f>IF(E367&gt;0,(E367*$C366),0)</f>
        <v>0</v>
      </c>
      <c r="F368" s="20">
        <f t="shared" ref="F368:O368" si="56">IF(F367&gt;0,(F367*$C366),0)</f>
        <v>2579913.7340605156</v>
      </c>
      <c r="G368" s="20">
        <f t="shared" si="56"/>
        <v>2579913.7340605156</v>
      </c>
      <c r="H368" s="20">
        <f t="shared" si="56"/>
        <v>2579913.7340605156</v>
      </c>
      <c r="I368" s="20">
        <f t="shared" si="56"/>
        <v>0</v>
      </c>
      <c r="J368" s="20">
        <f t="shared" si="56"/>
        <v>0</v>
      </c>
      <c r="K368" s="20">
        <f t="shared" si="56"/>
        <v>0</v>
      </c>
      <c r="L368" s="20">
        <f t="shared" si="56"/>
        <v>0</v>
      </c>
      <c r="M368" s="20">
        <f t="shared" si="56"/>
        <v>0</v>
      </c>
      <c r="N368" s="20">
        <f t="shared" si="56"/>
        <v>0</v>
      </c>
      <c r="O368" s="20">
        <f t="shared" si="56"/>
        <v>0</v>
      </c>
    </row>
    <row r="369" spans="2:15" ht="15.75" thickBot="1">
      <c r="B369" s="7"/>
      <c r="C369" s="10"/>
      <c r="D369" s="139"/>
      <c r="E369" s="7"/>
      <c r="F369" s="8"/>
      <c r="G369" s="8"/>
      <c r="H369" s="8"/>
      <c r="I369" s="8"/>
      <c r="J369" s="8"/>
      <c r="K369" s="8"/>
      <c r="L369" s="8"/>
      <c r="M369" s="8"/>
      <c r="N369" s="8"/>
      <c r="O369" s="8"/>
    </row>
    <row r="370" spans="2:15">
      <c r="B370" s="4" t="s">
        <v>12</v>
      </c>
      <c r="C370" s="133" t="str">
        <f>Summary!B66</f>
        <v>G4</v>
      </c>
      <c r="D370" s="828"/>
      <c r="E370" s="156" t="str">
        <f>Summary!C66</f>
        <v>Budget Recast - Initial Benefit Identification</v>
      </c>
      <c r="F370" s="5"/>
      <c r="G370" s="5"/>
      <c r="H370" s="5"/>
      <c r="I370" s="5"/>
      <c r="J370" s="5"/>
      <c r="K370" s="5"/>
      <c r="L370" s="5"/>
      <c r="M370" s="5"/>
      <c r="N370" s="5"/>
      <c r="O370" s="5"/>
    </row>
    <row r="371" spans="2:15">
      <c r="B371" s="7" t="s">
        <v>189</v>
      </c>
      <c r="C371" s="134" t="str">
        <f>'G4 Budget Recast Immediate Save'!D47</f>
        <v>C - Good</v>
      </c>
      <c r="D371" s="829"/>
      <c r="E371" s="176">
        <f>VLOOKUP(C371,'Confidence Factors'!$B$6:$D$9,3)</f>
        <v>0.75</v>
      </c>
      <c r="F371" s="8"/>
      <c r="G371" s="8"/>
      <c r="H371" s="8"/>
      <c r="I371" s="8"/>
      <c r="J371" s="8"/>
      <c r="K371" s="8"/>
      <c r="L371" s="8"/>
      <c r="M371" s="8"/>
      <c r="N371" s="8"/>
      <c r="O371" s="8"/>
    </row>
    <row r="372" spans="2:15">
      <c r="B372" s="7" t="s">
        <v>30</v>
      </c>
      <c r="C372" s="128">
        <f>SUM(E372:O372)</f>
        <v>37717875</v>
      </c>
      <c r="D372" s="836"/>
      <c r="E372" s="177">
        <v>0</v>
      </c>
      <c r="F372" s="19">
        <v>0</v>
      </c>
      <c r="G372" s="19">
        <f>'G4 Budget Recast Immediate Save'!I$73*'G4 Budget Recast Immediate Save'!$D75*'Calcs - Scen 2'!$E371</f>
        <v>7406250</v>
      </c>
      <c r="H372" s="19">
        <f>'G4 Budget Recast Immediate Save'!J$73*'G4 Budget Recast Immediate Save'!$D75*'Calcs - Scen 2'!$E371</f>
        <v>7406250</v>
      </c>
      <c r="I372" s="19">
        <f>'G4 Budget Recast Immediate Save'!K$73*'G4 Budget Recast Immediate Save'!$D75*'Calcs - Scen 2'!$E371</f>
        <v>8562375</v>
      </c>
      <c r="J372" s="19">
        <f>'G4 Budget Recast Immediate Save'!L$73*'G4 Budget Recast Immediate Save'!$D75*'Calcs - Scen 2'!$E371</f>
        <v>8562375</v>
      </c>
      <c r="K372" s="19">
        <f>'G4 Budget Recast Immediate Save'!M$73*'G4 Budget Recast Immediate Save'!$D75*'Calcs - Scen 2'!$E371</f>
        <v>1156125</v>
      </c>
      <c r="L372" s="19">
        <f>'G4 Budget Recast Immediate Save'!N$73*'G4 Budget Recast Immediate Save'!$D75*'Calcs - Scen 2'!$E371</f>
        <v>1156125</v>
      </c>
      <c r="M372" s="19">
        <f>'G4 Budget Recast Immediate Save'!O$73*'G4 Budget Recast Immediate Save'!$D75*'Calcs - Scen 2'!$E371</f>
        <v>1156125</v>
      </c>
      <c r="N372" s="19">
        <f>'G4 Budget Recast Immediate Save'!P$73*'G4 Budget Recast Immediate Save'!$D75*'Calcs - Scen 2'!$E371</f>
        <v>1156125</v>
      </c>
      <c r="O372" s="19">
        <f>'G4 Budget Recast Immediate Save'!Q$73*'G4 Budget Recast Immediate Save'!$D75*'Calcs - Scen 2'!$E371</f>
        <v>1156125</v>
      </c>
    </row>
    <row r="373" spans="2:15">
      <c r="B373" s="7" t="s">
        <v>31</v>
      </c>
      <c r="C373" s="129">
        <f>NPV($C$7,G372:O372)+E372+F372</f>
        <v>33802895.409881175</v>
      </c>
      <c r="D373" s="837"/>
      <c r="E373" s="7"/>
      <c r="F373" s="8"/>
      <c r="G373" s="8"/>
      <c r="H373" s="8"/>
      <c r="I373" s="8"/>
      <c r="J373" s="8"/>
      <c r="K373" s="8"/>
      <c r="L373" s="8"/>
      <c r="M373" s="8"/>
      <c r="N373" s="8"/>
      <c r="O373" s="8"/>
    </row>
    <row r="374" spans="2:15">
      <c r="B374" s="7" t="s">
        <v>4</v>
      </c>
      <c r="C374" s="130" t="str">
        <f>IF(SUM(E374:O374)&gt;1,"CHECK"," ")</f>
        <v xml:space="preserve"> </v>
      </c>
      <c r="D374" s="270"/>
      <c r="E374" s="178">
        <v>0</v>
      </c>
      <c r="F374" s="15">
        <v>0.9</v>
      </c>
      <c r="G374" s="15">
        <v>0.1</v>
      </c>
      <c r="H374" s="15"/>
      <c r="I374" s="15"/>
      <c r="J374" s="15"/>
      <c r="K374" s="15"/>
      <c r="L374" s="15"/>
      <c r="M374" s="15"/>
      <c r="N374" s="15"/>
      <c r="O374" s="15"/>
    </row>
    <row r="375" spans="2:15" ht="15.75" thickBot="1">
      <c r="B375" s="11" t="s">
        <v>32</v>
      </c>
      <c r="C375" s="51"/>
      <c r="D375" s="838" t="s">
        <v>66</v>
      </c>
      <c r="E375" s="179">
        <f>IF(E374&gt;0,(E374*$C373),0)</f>
        <v>0</v>
      </c>
      <c r="F375" s="20">
        <f t="shared" ref="F375:O375" si="57">IF(F374&gt;0,(F374*$C373),0)</f>
        <v>30422605.868893057</v>
      </c>
      <c r="G375" s="20">
        <f t="shared" si="57"/>
        <v>3380289.5409881175</v>
      </c>
      <c r="H375" s="20">
        <f t="shared" si="57"/>
        <v>0</v>
      </c>
      <c r="I375" s="20">
        <f t="shared" si="57"/>
        <v>0</v>
      </c>
      <c r="J375" s="20">
        <f t="shared" si="57"/>
        <v>0</v>
      </c>
      <c r="K375" s="20">
        <f t="shared" si="57"/>
        <v>0</v>
      </c>
      <c r="L375" s="20">
        <f t="shared" si="57"/>
        <v>0</v>
      </c>
      <c r="M375" s="20">
        <f t="shared" si="57"/>
        <v>0</v>
      </c>
      <c r="N375" s="20">
        <f t="shared" si="57"/>
        <v>0</v>
      </c>
      <c r="O375" s="20">
        <f t="shared" si="57"/>
        <v>0</v>
      </c>
    </row>
    <row r="376" spans="2:15" ht="15.75" thickBot="1">
      <c r="B376" s="221"/>
      <c r="C376" s="222"/>
      <c r="D376" s="838"/>
      <c r="E376" s="221"/>
      <c r="F376" s="172"/>
      <c r="G376" s="172"/>
      <c r="H376" s="172"/>
      <c r="I376" s="172"/>
      <c r="J376" s="172"/>
      <c r="K376" s="172"/>
      <c r="L376" s="172"/>
      <c r="M376" s="172"/>
      <c r="N376" s="172"/>
      <c r="O376" s="172"/>
    </row>
    <row r="377" spans="2:15">
      <c r="B377" s="4" t="s">
        <v>12</v>
      </c>
      <c r="C377" s="133" t="str">
        <f>Summary!B67</f>
        <v>G5</v>
      </c>
      <c r="D377" s="828"/>
      <c r="E377" s="156" t="str">
        <f>Summary!C67</f>
        <v xml:space="preserve">Asset Management </v>
      </c>
      <c r="F377" s="5"/>
      <c r="G377" s="5"/>
      <c r="H377" s="5"/>
      <c r="I377" s="5"/>
      <c r="J377" s="5"/>
      <c r="K377" s="5"/>
      <c r="L377" s="5"/>
      <c r="M377" s="5"/>
      <c r="N377" s="5"/>
      <c r="O377" s="5"/>
    </row>
    <row r="378" spans="2:15">
      <c r="B378" s="7" t="s">
        <v>189</v>
      </c>
      <c r="C378" s="134" t="str">
        <f>'G5 Asset Mgt'!D47</f>
        <v>D - Moderate</v>
      </c>
      <c r="D378" s="829"/>
      <c r="E378" s="176">
        <f>VLOOKUP(C378,'Confidence Factors'!$B$6:$D$9,3)</f>
        <v>0.55000000000000004</v>
      </c>
      <c r="F378" s="8"/>
      <c r="G378" s="8"/>
      <c r="H378" s="8"/>
      <c r="I378" s="8"/>
      <c r="J378" s="8"/>
      <c r="K378" s="8"/>
      <c r="L378" s="8"/>
      <c r="M378" s="8"/>
      <c r="N378" s="8"/>
      <c r="O378" s="8"/>
    </row>
    <row r="379" spans="2:15">
      <c r="B379" s="7" t="s">
        <v>30</v>
      </c>
      <c r="C379" s="128">
        <f>SUM(E379:O379)</f>
        <v>173525000</v>
      </c>
      <c r="D379" s="836"/>
      <c r="E379" s="177">
        <v>0</v>
      </c>
      <c r="F379" s="19">
        <v>0</v>
      </c>
      <c r="G379" s="19">
        <f>'G5 Asset Mgt'!J$103*'G5 Asset Mgt'!$D75*'Calcs - Scen 1'!$D378</f>
        <v>2062500.0000000002</v>
      </c>
      <c r="H379" s="19">
        <f>'G5 Asset Mgt'!K$103*'G5 Asset Mgt'!$D75*'Calcs - Scen 1'!$D378</f>
        <v>4812500</v>
      </c>
      <c r="I379" s="19">
        <f>'G5 Asset Mgt'!L$103*'G5 Asset Mgt'!$D75*'Calcs - Scen 1'!$D378</f>
        <v>10312500</v>
      </c>
      <c r="J379" s="19">
        <f>'G5 Asset Mgt'!M$103*'G5 Asset Mgt'!$D75*'Calcs - Scen 1'!$D378</f>
        <v>19662500</v>
      </c>
      <c r="K379" s="19">
        <f>'G5 Asset Mgt'!N$103*'G5 Asset Mgt'!$D75*'Calcs - Scen 1'!$D378</f>
        <v>31075000.000000004</v>
      </c>
      <c r="L379" s="19">
        <f>'G5 Asset Mgt'!O$103*'G5 Asset Mgt'!$D75*'Calcs - Scen 1'!$D378</f>
        <v>30937500.000000004</v>
      </c>
      <c r="M379" s="19">
        <f>'G5 Asset Mgt'!P$103*'G5 Asset Mgt'!$D75*'Calcs - Scen 1'!$D378</f>
        <v>30387500.000000004</v>
      </c>
      <c r="N379" s="19">
        <f>'G5 Asset Mgt'!Q$103*'G5 Asset Mgt'!$D75*'Calcs - Scen 1'!$D378</f>
        <v>26262500.000000004</v>
      </c>
      <c r="O379" s="19">
        <f>'G5 Asset Mgt'!R$103*'G5 Asset Mgt'!$D75*'Calcs - Scen 1'!$D378</f>
        <v>18012500</v>
      </c>
    </row>
    <row r="380" spans="2:15">
      <c r="B380" s="7" t="s">
        <v>31</v>
      </c>
      <c r="C380" s="129">
        <f>NPV($C$7,G379:O379)+E379+F379</f>
        <v>141297958.6159004</v>
      </c>
      <c r="D380" s="837"/>
      <c r="E380" s="7"/>
      <c r="F380" s="8"/>
      <c r="G380" s="8"/>
      <c r="H380" s="8"/>
      <c r="I380" s="8"/>
      <c r="J380" s="8"/>
      <c r="K380" s="8"/>
      <c r="L380" s="8"/>
      <c r="M380" s="8"/>
      <c r="N380" s="8"/>
      <c r="O380" s="8"/>
    </row>
    <row r="381" spans="2:15">
      <c r="B381" s="7" t="s">
        <v>4</v>
      </c>
      <c r="C381" s="130" t="str">
        <f>IF(SUM(E381:O381)&gt;1,"CHECK"," ")</f>
        <v xml:space="preserve"> </v>
      </c>
      <c r="D381" s="270"/>
      <c r="E381" s="178">
        <v>0</v>
      </c>
      <c r="F381" s="15">
        <v>0.05</v>
      </c>
      <c r="G381" s="15">
        <v>0.35</v>
      </c>
      <c r="H381" s="15">
        <v>0.3</v>
      </c>
      <c r="I381" s="15">
        <v>0.1</v>
      </c>
      <c r="J381" s="15">
        <v>0.1</v>
      </c>
      <c r="K381" s="15">
        <v>0.1</v>
      </c>
      <c r="L381" s="15"/>
      <c r="M381" s="15"/>
      <c r="N381" s="15"/>
      <c r="O381" s="15"/>
    </row>
    <row r="382" spans="2:15" ht="15.75" thickBot="1">
      <c r="B382" s="11" t="s">
        <v>32</v>
      </c>
      <c r="C382" s="51"/>
      <c r="D382" s="838" t="s">
        <v>66</v>
      </c>
      <c r="E382" s="179">
        <f>IF(E381&gt;0,(E381*$C380),0)</f>
        <v>0</v>
      </c>
      <c r="F382" s="20">
        <f t="shared" ref="F382:O382" si="58">IF(F381&gt;0,(F381*$C380),0)</f>
        <v>7064897.9307950204</v>
      </c>
      <c r="G382" s="20">
        <f t="shared" si="58"/>
        <v>49454285.515565135</v>
      </c>
      <c r="H382" s="20">
        <f t="shared" si="58"/>
        <v>42389387.584770121</v>
      </c>
      <c r="I382" s="20">
        <f t="shared" si="58"/>
        <v>14129795.861590041</v>
      </c>
      <c r="J382" s="20">
        <f t="shared" si="58"/>
        <v>14129795.861590041</v>
      </c>
      <c r="K382" s="20">
        <f t="shared" si="58"/>
        <v>14129795.861590041</v>
      </c>
      <c r="L382" s="20">
        <f t="shared" si="58"/>
        <v>0</v>
      </c>
      <c r="M382" s="20">
        <f t="shared" si="58"/>
        <v>0</v>
      </c>
      <c r="N382" s="20">
        <f t="shared" si="58"/>
        <v>0</v>
      </c>
      <c r="O382" s="20">
        <f t="shared" si="58"/>
        <v>0</v>
      </c>
    </row>
    <row r="383" spans="2:15" ht="15.75" thickBot="1">
      <c r="B383" s="221"/>
      <c r="C383" s="222"/>
      <c r="D383" s="240"/>
      <c r="E383" s="221"/>
      <c r="F383" s="172"/>
      <c r="G383" s="172"/>
      <c r="H383" s="172"/>
      <c r="I383" s="172"/>
      <c r="J383" s="172"/>
      <c r="K383" s="172"/>
      <c r="L383" s="172"/>
      <c r="M383" s="172"/>
      <c r="N383" s="172"/>
      <c r="O383" s="172"/>
    </row>
    <row r="384" spans="2:15">
      <c r="B384" s="4" t="s">
        <v>12</v>
      </c>
      <c r="C384" s="133" t="str">
        <f>Summary!B68</f>
        <v>G6</v>
      </c>
      <c r="D384" s="828"/>
      <c r="E384" s="156" t="str">
        <f>Summary!C68</f>
        <v xml:space="preserve">NPD Programme - Needs not Wants - Scrutiny &amp; Challenge </v>
      </c>
      <c r="F384" s="5"/>
      <c r="G384" s="5"/>
      <c r="H384" s="5"/>
      <c r="I384" s="5"/>
      <c r="J384" s="5"/>
      <c r="K384" s="5"/>
      <c r="L384" s="5"/>
      <c r="M384" s="5"/>
      <c r="N384" s="5"/>
      <c r="O384" s="5"/>
    </row>
    <row r="385" spans="2:44">
      <c r="B385" s="7" t="s">
        <v>189</v>
      </c>
      <c r="C385" s="134" t="str">
        <f>'G6 NPD Prog Scrutiny &amp;Challenge'!D47</f>
        <v>D - Moderate</v>
      </c>
      <c r="D385" s="829"/>
      <c r="E385" s="176">
        <f>VLOOKUP(C385,'Confidence Factors'!$B$6:$D$9,3)</f>
        <v>0.55000000000000004</v>
      </c>
      <c r="F385" s="8"/>
      <c r="G385" s="8"/>
      <c r="H385" s="8"/>
      <c r="I385" s="8"/>
      <c r="J385" s="8"/>
      <c r="K385" s="8"/>
      <c r="L385" s="8"/>
      <c r="M385" s="8"/>
      <c r="N385" s="8"/>
      <c r="O385" s="8"/>
    </row>
    <row r="386" spans="2:44">
      <c r="B386" s="7" t="s">
        <v>30</v>
      </c>
      <c r="C386" s="128">
        <f>SUM(E386:O386)</f>
        <v>5720000</v>
      </c>
      <c r="D386" s="836"/>
      <c r="E386" s="177">
        <v>0</v>
      </c>
      <c r="F386" s="19">
        <v>0</v>
      </c>
      <c r="G386" s="19">
        <f>'G4 Budget Recast Immediate Save'!I$73*'G4 Budget Recast Immediate Save'!$D89*'Calcs - Scen 1'!$D385</f>
        <v>0</v>
      </c>
      <c r="H386" s="19">
        <f>'G4 Budget Recast Immediate Save'!J$73*'G4 Budget Recast Immediate Save'!$D89*'Calcs - Scen 1'!$D385</f>
        <v>0</v>
      </c>
      <c r="I386" s="19">
        <v>0</v>
      </c>
      <c r="J386" s="19">
        <f>'G6 NPD Prog Scrutiny &amp;Challenge'!P$87*'G6 NPD Prog Scrutiny &amp;Challenge'!$D75*'Calcs - Scen 1'!$D385</f>
        <v>110000.00000000001</v>
      </c>
      <c r="K386" s="19">
        <f>'G6 NPD Prog Scrutiny &amp;Challenge'!Q$87*'G6 NPD Prog Scrutiny &amp;Challenge'!$D75*'Calcs - Scen 1'!$D385</f>
        <v>770000.00000000012</v>
      </c>
      <c r="L386" s="19">
        <f>'G6 NPD Prog Scrutiny &amp;Challenge'!R$87*'G6 NPD Prog Scrutiny &amp;Challenge'!$D75*'Calcs - Scen 1'!$D385</f>
        <v>1210000</v>
      </c>
      <c r="M386" s="19">
        <f>'G6 NPD Prog Scrutiny &amp;Challenge'!S$87*'G6 NPD Prog Scrutiny &amp;Challenge'!$D75*'Calcs - Scen 1'!$D385</f>
        <v>1210000</v>
      </c>
      <c r="N386" s="19">
        <f>'G6 NPD Prog Scrutiny &amp;Challenge'!T$87*'G6 NPD Prog Scrutiny &amp;Challenge'!$D75*'Calcs - Scen 1'!$D385</f>
        <v>1210000</v>
      </c>
      <c r="O386" s="216">
        <f>'G6 NPD Prog Scrutiny &amp;Challenge'!U$87*'G6 NPD Prog Scrutiny &amp;Challenge'!$D75*'Calcs - Scen 1'!$D385</f>
        <v>1210000</v>
      </c>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c r="AO386" s="114"/>
      <c r="AP386" s="114"/>
      <c r="AQ386" s="114"/>
      <c r="AR386" s="65"/>
    </row>
    <row r="387" spans="2:44">
      <c r="B387" s="7" t="s">
        <v>31</v>
      </c>
      <c r="C387" s="129">
        <f>NPV($C$7,G386:O386)+E386+F386</f>
        <v>4486265.2849388057</v>
      </c>
      <c r="D387" s="837"/>
      <c r="E387" s="7"/>
      <c r="F387" s="8"/>
      <c r="G387" s="8"/>
      <c r="H387" s="8"/>
      <c r="I387" s="8"/>
      <c r="J387" s="8"/>
      <c r="K387" s="8"/>
      <c r="L387" s="8"/>
      <c r="M387" s="8"/>
      <c r="N387" s="8"/>
      <c r="O387" s="8"/>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row>
    <row r="388" spans="2:44">
      <c r="B388" s="7" t="s">
        <v>4</v>
      </c>
      <c r="C388" s="130" t="str">
        <f>IF(SUM(E388:O388)&gt;1,"CHECK"," ")</f>
        <v xml:space="preserve"> </v>
      </c>
      <c r="D388" s="270"/>
      <c r="E388" s="178">
        <v>0</v>
      </c>
      <c r="F388" s="15">
        <v>0.1</v>
      </c>
      <c r="G388" s="15">
        <v>0.6</v>
      </c>
      <c r="H388" s="15">
        <v>0.3</v>
      </c>
      <c r="I388" s="15">
        <v>0</v>
      </c>
      <c r="J388" s="15">
        <v>0</v>
      </c>
      <c r="K388" s="15">
        <v>0</v>
      </c>
      <c r="L388" s="15"/>
      <c r="M388" s="15"/>
      <c r="N388" s="15"/>
      <c r="O388" s="146"/>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65"/>
    </row>
    <row r="389" spans="2:44" ht="15.75" thickBot="1">
      <c r="B389" s="11" t="s">
        <v>32</v>
      </c>
      <c r="C389" s="51"/>
      <c r="D389" s="838" t="s">
        <v>847</v>
      </c>
      <c r="E389" s="179">
        <f>IF(E388&gt;0,(E388*$C387),0)</f>
        <v>0</v>
      </c>
      <c r="F389" s="20">
        <f t="shared" ref="F389:O389" si="59">IF(F388&gt;0,(F388*$C387),0)</f>
        <v>448626.52849388059</v>
      </c>
      <c r="G389" s="20">
        <f t="shared" si="59"/>
        <v>2691759.1709632832</v>
      </c>
      <c r="H389" s="20">
        <f t="shared" si="59"/>
        <v>1345879.5854816416</v>
      </c>
      <c r="I389" s="20">
        <f t="shared" si="59"/>
        <v>0</v>
      </c>
      <c r="J389" s="20">
        <f t="shared" si="59"/>
        <v>0</v>
      </c>
      <c r="K389" s="20">
        <f t="shared" si="59"/>
        <v>0</v>
      </c>
      <c r="L389" s="20">
        <f t="shared" si="59"/>
        <v>0</v>
      </c>
      <c r="M389" s="20">
        <f t="shared" si="59"/>
        <v>0</v>
      </c>
      <c r="N389" s="20">
        <f t="shared" si="59"/>
        <v>0</v>
      </c>
      <c r="O389" s="20">
        <f t="shared" si="59"/>
        <v>0</v>
      </c>
    </row>
    <row r="390" spans="2:44" ht="15.75" thickBot="1">
      <c r="B390" s="221"/>
      <c r="C390" s="222"/>
      <c r="D390" s="240"/>
      <c r="E390" s="221"/>
      <c r="F390" s="172"/>
      <c r="G390" s="172"/>
      <c r="H390" s="172"/>
      <c r="I390" s="172"/>
      <c r="J390" s="172"/>
      <c r="K390" s="172"/>
      <c r="L390" s="172"/>
      <c r="M390" s="172"/>
      <c r="N390" s="172"/>
      <c r="O390" s="172"/>
    </row>
  </sheetData>
  <autoFilter ref="D7:D389">
    <filterColumn colId="0"/>
  </autoFilter>
  <pageMargins left="0.70866141732283472" right="0.70866141732283472" top="0.74803149606299213" bottom="0.74803149606299213" header="0.31496062992125984" footer="0.31496062992125984"/>
  <pageSetup paperSize="9" scale="25" fitToHeight="3" orientation="landscape" r:id="rId1"/>
</worksheet>
</file>

<file path=xl/worksheets/sheet60.xml><?xml version="1.0" encoding="utf-8"?>
<worksheet xmlns="http://schemas.openxmlformats.org/spreadsheetml/2006/main" xmlns:r="http://schemas.openxmlformats.org/officeDocument/2006/relationships">
  <sheetPr>
    <pageSetUpPr fitToPage="1"/>
  </sheetPr>
  <dimension ref="B1:AL81"/>
  <sheetViews>
    <sheetView topLeftCell="A54" zoomScale="75" zoomScaleNormal="75" workbookViewId="0">
      <selection activeCell="L21" sqref="L21"/>
    </sheetView>
  </sheetViews>
  <sheetFormatPr defaultRowHeight="15"/>
  <cols>
    <col min="1" max="2" width="3.7109375" customWidth="1"/>
    <col min="3" max="3" width="61.42578125" bestFit="1" customWidth="1"/>
    <col min="4" max="4" width="34.28515625" style="26" bestFit="1" customWidth="1"/>
    <col min="5" max="5" width="4.7109375" customWidth="1"/>
    <col min="6" max="7" width="3.7109375" customWidth="1"/>
    <col min="8" max="8" width="17" hidden="1" customWidth="1"/>
    <col min="9" max="9" width="0" hidden="1" customWidth="1"/>
    <col min="10" max="10" width="23.42578125" hidden="1" customWidth="1"/>
    <col min="11" max="11" width="6.7109375" customWidth="1"/>
    <col min="12" max="12" width="21.7109375" customWidth="1"/>
    <col min="13" max="13" width="13.7109375" customWidth="1"/>
    <col min="14" max="14" width="10.42578125" bestFit="1" customWidth="1"/>
  </cols>
  <sheetData>
    <row r="1" spans="2:6" ht="18.75">
      <c r="B1" s="25" t="s">
        <v>60</v>
      </c>
    </row>
    <row r="2" spans="2:6" ht="18.75">
      <c r="B2" s="25" t="s">
        <v>347</v>
      </c>
    </row>
    <row r="3" spans="2:6" ht="18.75">
      <c r="B3" s="280" t="s">
        <v>369</v>
      </c>
    </row>
    <row r="4" spans="2:6" ht="19.5" thickBot="1">
      <c r="B4" s="38"/>
      <c r="C4" s="50"/>
    </row>
    <row r="5" spans="2:6" ht="18.75">
      <c r="B5" s="356"/>
      <c r="C5" s="386" t="s">
        <v>105</v>
      </c>
      <c r="D5" s="358"/>
      <c r="E5" s="359"/>
      <c r="F5" s="360"/>
    </row>
    <row r="6" spans="2:6" ht="18.75">
      <c r="B6" s="361"/>
      <c r="C6" s="387" t="s">
        <v>369</v>
      </c>
      <c r="D6" s="363"/>
      <c r="E6" s="364"/>
      <c r="F6" s="365"/>
    </row>
    <row r="7" spans="2:6" ht="18.75">
      <c r="B7" s="361"/>
      <c r="C7" s="387" t="s">
        <v>104</v>
      </c>
      <c r="D7" s="363"/>
      <c r="E7" s="364"/>
      <c r="F7" s="365"/>
    </row>
    <row r="8" spans="2:6" s="32" customFormat="1">
      <c r="B8" s="366"/>
      <c r="C8" s="388"/>
      <c r="D8" s="368"/>
      <c r="E8" s="369"/>
      <c r="F8" s="370"/>
    </row>
    <row r="9" spans="2:6" s="32" customFormat="1">
      <c r="B9" s="366"/>
      <c r="C9" s="388" t="s">
        <v>103</v>
      </c>
      <c r="D9" s="371"/>
      <c r="E9" s="369"/>
      <c r="F9" s="370"/>
    </row>
    <row r="10" spans="2:6" s="32" customFormat="1">
      <c r="B10" s="366"/>
      <c r="C10" s="388" t="s">
        <v>102</v>
      </c>
      <c r="D10" s="390" t="s">
        <v>221</v>
      </c>
      <c r="E10" s="369"/>
      <c r="F10" s="370"/>
    </row>
    <row r="11" spans="2:6" s="32" customFormat="1">
      <c r="B11" s="366"/>
      <c r="C11" s="367" t="s">
        <v>109</v>
      </c>
      <c r="D11" s="389">
        <v>40231</v>
      </c>
      <c r="E11" s="369"/>
      <c r="F11" s="370"/>
    </row>
    <row r="12" spans="2:6" s="32" customFormat="1">
      <c r="B12" s="366"/>
      <c r="C12" s="388" t="s">
        <v>101</v>
      </c>
      <c r="D12" s="373">
        <v>40816</v>
      </c>
      <c r="E12" s="369"/>
      <c r="F12" s="370"/>
    </row>
    <row r="13" spans="2:6" s="32" customFormat="1">
      <c r="B13" s="366"/>
      <c r="C13" s="388"/>
      <c r="D13" s="368"/>
      <c r="E13" s="369"/>
      <c r="F13" s="370"/>
    </row>
    <row r="14" spans="2:6">
      <c r="B14" s="361"/>
      <c r="C14" s="388" t="s">
        <v>100</v>
      </c>
      <c r="D14" s="374" t="s">
        <v>99</v>
      </c>
      <c r="E14" s="374"/>
      <c r="F14" s="365"/>
    </row>
    <row r="15" spans="2:6">
      <c r="B15" s="361"/>
      <c r="C15" s="364"/>
      <c r="D15" s="374" t="s">
        <v>98</v>
      </c>
      <c r="E15" s="374" t="s">
        <v>96</v>
      </c>
      <c r="F15" s="365"/>
    </row>
    <row r="16" spans="2:6">
      <c r="B16" s="361"/>
      <c r="C16" s="364"/>
      <c r="D16" s="374" t="s">
        <v>97</v>
      </c>
      <c r="E16" s="374"/>
      <c r="F16" s="365"/>
    </row>
    <row r="17" spans="2:6">
      <c r="B17" s="361"/>
      <c r="C17" s="364"/>
      <c r="D17" s="374" t="s">
        <v>45</v>
      </c>
      <c r="E17" s="374"/>
      <c r="F17" s="365"/>
    </row>
    <row r="18" spans="2:6">
      <c r="B18" s="361"/>
      <c r="C18" s="364"/>
      <c r="D18" s="374" t="s">
        <v>95</v>
      </c>
      <c r="E18" s="375" t="s">
        <v>106</v>
      </c>
      <c r="F18" s="365"/>
    </row>
    <row r="19" spans="2:6">
      <c r="B19" s="361"/>
      <c r="C19" s="364"/>
      <c r="D19" s="374" t="s">
        <v>66</v>
      </c>
      <c r="E19" s="374"/>
      <c r="F19" s="365"/>
    </row>
    <row r="20" spans="2:6">
      <c r="B20" s="361"/>
      <c r="C20" s="364"/>
      <c r="D20" s="363"/>
      <c r="E20" s="364"/>
      <c r="F20" s="365"/>
    </row>
    <row r="21" spans="2:6">
      <c r="B21" s="361"/>
      <c r="C21" s="376" t="s">
        <v>65</v>
      </c>
      <c r="D21" s="371"/>
      <c r="E21" s="364"/>
      <c r="F21" s="365"/>
    </row>
    <row r="22" spans="2:6">
      <c r="B22" s="361"/>
      <c r="C22" s="377"/>
      <c r="D22" s="363"/>
      <c r="E22" s="364"/>
      <c r="F22" s="365"/>
    </row>
    <row r="23" spans="2:6">
      <c r="B23" s="361"/>
      <c r="C23" s="388" t="s">
        <v>94</v>
      </c>
      <c r="D23" s="371" t="s">
        <v>66</v>
      </c>
      <c r="E23" s="364"/>
      <c r="F23" s="365"/>
    </row>
    <row r="24" spans="2:6" hidden="1">
      <c r="B24" s="361"/>
      <c r="C24" s="388"/>
      <c r="D24" s="371"/>
      <c r="E24" s="364"/>
      <c r="F24" s="365"/>
    </row>
    <row r="25" spans="2:6" hidden="1">
      <c r="B25" s="361"/>
      <c r="C25" s="388"/>
      <c r="D25" s="371" t="s">
        <v>93</v>
      </c>
      <c r="E25" s="364"/>
      <c r="F25" s="365"/>
    </row>
    <row r="26" spans="2:6" hidden="1">
      <c r="B26" s="361"/>
      <c r="C26" s="388"/>
      <c r="D26" s="371" t="s">
        <v>58</v>
      </c>
      <c r="E26" s="364"/>
      <c r="F26" s="365"/>
    </row>
    <row r="27" spans="2:6" hidden="1">
      <c r="B27" s="361"/>
      <c r="C27" s="388"/>
      <c r="D27" s="371" t="s">
        <v>92</v>
      </c>
      <c r="E27" s="364"/>
      <c r="F27" s="365"/>
    </row>
    <row r="28" spans="2:6" hidden="1">
      <c r="B28" s="361"/>
      <c r="C28" s="388"/>
      <c r="D28" s="371" t="s">
        <v>91</v>
      </c>
      <c r="E28" s="364"/>
      <c r="F28" s="365"/>
    </row>
    <row r="29" spans="2:6" hidden="1">
      <c r="B29" s="361"/>
      <c r="C29" s="388"/>
      <c r="D29" s="371" t="s">
        <v>90</v>
      </c>
      <c r="E29" s="364"/>
      <c r="F29" s="365"/>
    </row>
    <row r="30" spans="2:6" hidden="1">
      <c r="B30" s="361"/>
      <c r="C30" s="388"/>
      <c r="D30" s="371" t="s">
        <v>89</v>
      </c>
      <c r="E30" s="364"/>
      <c r="F30" s="365"/>
    </row>
    <row r="31" spans="2:6" hidden="1">
      <c r="B31" s="361"/>
      <c r="C31" s="388"/>
      <c r="D31" s="371" t="s">
        <v>88</v>
      </c>
      <c r="E31" s="364"/>
      <c r="F31" s="365"/>
    </row>
    <row r="32" spans="2:6" hidden="1">
      <c r="B32" s="361"/>
      <c r="C32" s="388"/>
      <c r="D32" s="371" t="s">
        <v>87</v>
      </c>
      <c r="E32" s="364"/>
      <c r="F32" s="365"/>
    </row>
    <row r="33" spans="2:6" hidden="1">
      <c r="B33" s="361"/>
      <c r="C33" s="388"/>
      <c r="D33" s="371" t="s">
        <v>86</v>
      </c>
      <c r="E33" s="364"/>
      <c r="F33" s="365"/>
    </row>
    <row r="34" spans="2:6" hidden="1">
      <c r="B34" s="361"/>
      <c r="C34" s="388"/>
      <c r="D34" s="371" t="s">
        <v>85</v>
      </c>
      <c r="E34" s="364"/>
      <c r="F34" s="365"/>
    </row>
    <row r="35" spans="2:6" hidden="1">
      <c r="B35" s="361"/>
      <c r="C35" s="388"/>
      <c r="D35" s="371" t="s">
        <v>84</v>
      </c>
      <c r="E35" s="364"/>
      <c r="F35" s="365"/>
    </row>
    <row r="36" spans="2:6" hidden="1">
      <c r="B36" s="361"/>
      <c r="C36" s="388"/>
      <c r="D36" s="371" t="s">
        <v>83</v>
      </c>
      <c r="E36" s="364"/>
      <c r="F36" s="365"/>
    </row>
    <row r="37" spans="2:6" hidden="1">
      <c r="B37" s="361"/>
      <c r="C37" s="388"/>
      <c r="D37" s="371" t="s">
        <v>82</v>
      </c>
      <c r="E37" s="364"/>
      <c r="F37" s="365"/>
    </row>
    <row r="38" spans="2:6" hidden="1">
      <c r="B38" s="361"/>
      <c r="C38" s="388"/>
      <c r="D38" s="371" t="s">
        <v>81</v>
      </c>
      <c r="E38" s="364"/>
      <c r="F38" s="365"/>
    </row>
    <row r="39" spans="2:6" hidden="1">
      <c r="B39" s="361"/>
      <c r="C39" s="388"/>
      <c r="D39" s="378" t="s">
        <v>66</v>
      </c>
      <c r="E39" s="364"/>
      <c r="F39" s="365"/>
    </row>
    <row r="40" spans="2:6">
      <c r="B40" s="361"/>
      <c r="C40" s="388"/>
      <c r="D40" s="363"/>
      <c r="E40" s="364"/>
      <c r="F40" s="365"/>
    </row>
    <row r="41" spans="2:6" ht="30">
      <c r="B41" s="361"/>
      <c r="C41" s="376" t="s">
        <v>65</v>
      </c>
      <c r="D41" s="371" t="s">
        <v>120</v>
      </c>
      <c r="E41" s="364"/>
      <c r="F41" s="365"/>
    </row>
    <row r="42" spans="2:6">
      <c r="B42" s="361"/>
      <c r="C42" s="377"/>
      <c r="D42" s="363"/>
      <c r="E42" s="364"/>
      <c r="F42" s="365"/>
    </row>
    <row r="43" spans="2:6" ht="18.75">
      <c r="B43" s="392"/>
      <c r="C43" s="405" t="s">
        <v>80</v>
      </c>
      <c r="D43" s="394"/>
      <c r="E43" s="395"/>
      <c r="F43" s="396"/>
    </row>
    <row r="44" spans="2:6" ht="150">
      <c r="B44" s="392"/>
      <c r="C44" s="406" t="s">
        <v>79</v>
      </c>
      <c r="D44" s="399" t="s">
        <v>501</v>
      </c>
      <c r="E44" s="395"/>
      <c r="F44" s="396"/>
    </row>
    <row r="45" spans="2:6">
      <c r="B45" s="392"/>
      <c r="C45" s="406" t="s">
        <v>78</v>
      </c>
      <c r="D45" s="399"/>
      <c r="E45" s="395"/>
      <c r="F45" s="396"/>
    </row>
    <row r="46" spans="2:6" ht="75">
      <c r="B46" s="392"/>
      <c r="C46" s="407" t="s">
        <v>77</v>
      </c>
      <c r="D46" s="399" t="s">
        <v>573</v>
      </c>
      <c r="E46" s="395"/>
      <c r="F46" s="396"/>
    </row>
    <row r="47" spans="2:6" ht="30">
      <c r="B47" s="392"/>
      <c r="C47" s="400" t="s">
        <v>76</v>
      </c>
      <c r="D47" s="399" t="s">
        <v>278</v>
      </c>
      <c r="E47" s="401"/>
      <c r="F47" s="396"/>
    </row>
    <row r="48" spans="2:6" hidden="1">
      <c r="B48" s="392"/>
      <c r="C48" s="400"/>
      <c r="D48" s="402" t="s">
        <v>209</v>
      </c>
      <c r="E48" s="395"/>
      <c r="F48" s="396"/>
    </row>
    <row r="49" spans="2:38" hidden="1">
      <c r="B49" s="392"/>
      <c r="C49" s="400"/>
      <c r="D49" s="402" t="s">
        <v>277</v>
      </c>
      <c r="E49" s="395"/>
      <c r="F49" s="396"/>
    </row>
    <row r="50" spans="2:38" hidden="1">
      <c r="B50" s="392"/>
      <c r="C50" s="400"/>
      <c r="D50" s="402" t="s">
        <v>276</v>
      </c>
      <c r="E50" s="395"/>
      <c r="F50" s="396"/>
    </row>
    <row r="51" spans="2:38" hidden="1">
      <c r="B51" s="392"/>
      <c r="C51" s="400"/>
      <c r="D51" s="402" t="s">
        <v>278</v>
      </c>
      <c r="E51" s="395"/>
      <c r="F51" s="396"/>
    </row>
    <row r="52" spans="2:38">
      <c r="B52" s="392"/>
      <c r="C52" s="408"/>
      <c r="D52" s="404"/>
      <c r="E52" s="395"/>
      <c r="F52" s="396"/>
      <c r="N52" t="s">
        <v>6</v>
      </c>
      <c r="O52" t="s">
        <v>7</v>
      </c>
      <c r="P52" t="s">
        <v>8</v>
      </c>
      <c r="Q52" t="s">
        <v>9</v>
      </c>
      <c r="R52" t="s">
        <v>10</v>
      </c>
      <c r="S52" t="s">
        <v>11</v>
      </c>
      <c r="T52" t="s">
        <v>13</v>
      </c>
      <c r="U52" t="s">
        <v>14</v>
      </c>
      <c r="V52" t="s">
        <v>15</v>
      </c>
      <c r="W52" t="s">
        <v>16</v>
      </c>
      <c r="X52" t="s">
        <v>557</v>
      </c>
      <c r="Y52" t="s">
        <v>558</v>
      </c>
      <c r="Z52" t="s">
        <v>559</v>
      </c>
      <c r="AA52" t="s">
        <v>560</v>
      </c>
      <c r="AB52" t="s">
        <v>561</v>
      </c>
      <c r="AC52" t="s">
        <v>562</v>
      </c>
      <c r="AD52" t="s">
        <v>563</v>
      </c>
      <c r="AE52" t="s">
        <v>564</v>
      </c>
      <c r="AF52" t="s">
        <v>565</v>
      </c>
      <c r="AG52" t="s">
        <v>566</v>
      </c>
      <c r="AH52" t="s">
        <v>567</v>
      </c>
      <c r="AI52" t="s">
        <v>568</v>
      </c>
      <c r="AJ52" t="s">
        <v>569</v>
      </c>
      <c r="AK52" t="s">
        <v>570</v>
      </c>
      <c r="AL52" t="s">
        <v>571</v>
      </c>
    </row>
    <row r="53" spans="2:38" ht="18.75">
      <c r="B53" s="346"/>
      <c r="C53" s="416" t="s">
        <v>75</v>
      </c>
      <c r="D53" s="412"/>
      <c r="E53" s="349"/>
      <c r="F53" s="350"/>
      <c r="M53" t="s">
        <v>503</v>
      </c>
      <c r="N53">
        <v>0.2</v>
      </c>
      <c r="O53">
        <v>0.8</v>
      </c>
      <c r="P53">
        <v>1</v>
      </c>
      <c r="Q53">
        <v>1</v>
      </c>
      <c r="R53">
        <v>1</v>
      </c>
      <c r="S53">
        <v>1</v>
      </c>
      <c r="T53">
        <v>1</v>
      </c>
      <c r="U53">
        <v>1</v>
      </c>
      <c r="V53">
        <v>1</v>
      </c>
      <c r="W53">
        <v>1</v>
      </c>
      <c r="X53">
        <v>1</v>
      </c>
      <c r="Y53">
        <v>1</v>
      </c>
      <c r="Z53">
        <v>1</v>
      </c>
      <c r="AA53">
        <v>1</v>
      </c>
      <c r="AB53">
        <v>1</v>
      </c>
      <c r="AC53">
        <v>1</v>
      </c>
      <c r="AD53">
        <v>1</v>
      </c>
      <c r="AE53">
        <v>1</v>
      </c>
      <c r="AF53">
        <v>1</v>
      </c>
      <c r="AG53">
        <v>1</v>
      </c>
      <c r="AH53">
        <v>1</v>
      </c>
      <c r="AI53">
        <v>1</v>
      </c>
      <c r="AJ53">
        <v>1</v>
      </c>
      <c r="AK53">
        <v>1</v>
      </c>
      <c r="AL53">
        <v>1</v>
      </c>
    </row>
    <row r="54" spans="2:38">
      <c r="B54" s="346"/>
      <c r="C54" s="417" t="s">
        <v>74</v>
      </c>
      <c r="D54" s="413" t="s">
        <v>73</v>
      </c>
      <c r="E54" s="349"/>
      <c r="F54" s="350"/>
      <c r="M54" t="s">
        <v>504</v>
      </c>
      <c r="N54">
        <v>5500</v>
      </c>
    </row>
    <row r="55" spans="2:38" hidden="1">
      <c r="B55" s="346"/>
      <c r="C55" s="355"/>
      <c r="D55" s="414"/>
      <c r="E55" s="349"/>
      <c r="F55" s="350"/>
    </row>
    <row r="56" spans="2:38" hidden="1">
      <c r="B56" s="346"/>
      <c r="C56" s="355"/>
      <c r="D56" s="413" t="s">
        <v>73</v>
      </c>
      <c r="E56" s="349"/>
      <c r="F56" s="350"/>
    </row>
    <row r="57" spans="2:38" hidden="1">
      <c r="B57" s="346"/>
      <c r="C57" s="355"/>
      <c r="D57" s="413" t="s">
        <v>72</v>
      </c>
      <c r="E57" s="349"/>
      <c r="F57" s="350"/>
    </row>
    <row r="58" spans="2:38" hidden="1">
      <c r="B58" s="346"/>
      <c r="C58" s="355"/>
      <c r="D58" s="413" t="s">
        <v>71</v>
      </c>
      <c r="E58" s="349"/>
      <c r="F58" s="350"/>
    </row>
    <row r="59" spans="2:38">
      <c r="B59" s="346"/>
      <c r="C59" s="417"/>
      <c r="D59" s="412"/>
      <c r="E59" s="349"/>
      <c r="F59" s="350"/>
      <c r="L59" s="506" t="s">
        <v>505</v>
      </c>
      <c r="M59" s="506"/>
      <c r="N59" s="506">
        <f>N60*1000</f>
        <v>1100000</v>
      </c>
      <c r="O59" s="506">
        <f t="shared" ref="O59:R59" si="0">O60*1000</f>
        <v>4400000</v>
      </c>
      <c r="P59" s="506">
        <f t="shared" si="0"/>
        <v>5500000</v>
      </c>
      <c r="Q59" s="506">
        <f t="shared" si="0"/>
        <v>5500000</v>
      </c>
      <c r="R59" s="506">
        <f t="shared" si="0"/>
        <v>5500000</v>
      </c>
      <c r="S59" s="506">
        <f t="shared" ref="S59" si="1">S60*1000</f>
        <v>5500000</v>
      </c>
      <c r="T59" s="506">
        <f t="shared" ref="T59" si="2">T60*1000</f>
        <v>5500000</v>
      </c>
      <c r="U59" s="506">
        <f t="shared" ref="U59:V59" si="3">U60*1000</f>
        <v>5500000</v>
      </c>
      <c r="V59" s="506">
        <f t="shared" si="3"/>
        <v>5500000</v>
      </c>
      <c r="W59" s="506">
        <f t="shared" ref="W59" si="4">W60*1000</f>
        <v>5500000</v>
      </c>
      <c r="X59" s="506">
        <f t="shared" ref="X59" si="5">X60*1000</f>
        <v>5500000</v>
      </c>
      <c r="Y59" s="506">
        <f t="shared" ref="Y59:Z59" si="6">Y60*1000</f>
        <v>5500000</v>
      </c>
      <c r="Z59" s="506">
        <f t="shared" si="6"/>
        <v>5500000</v>
      </c>
      <c r="AA59" s="506">
        <f t="shared" ref="AA59" si="7">AA60*1000</f>
        <v>5500000</v>
      </c>
      <c r="AB59" s="506">
        <f t="shared" ref="AB59" si="8">AB60*1000</f>
        <v>5500000</v>
      </c>
      <c r="AC59" s="506">
        <f t="shared" ref="AC59:AD59" si="9">AC60*1000</f>
        <v>5500000</v>
      </c>
      <c r="AD59" s="506">
        <f t="shared" si="9"/>
        <v>5500000</v>
      </c>
      <c r="AE59" s="506">
        <f t="shared" ref="AE59" si="10">AE60*1000</f>
        <v>5500000</v>
      </c>
      <c r="AF59" s="506">
        <f t="shared" ref="AF59" si="11">AF60*1000</f>
        <v>5500000</v>
      </c>
      <c r="AG59" s="506">
        <f t="shared" ref="AG59:AH59" si="12">AG60*1000</f>
        <v>5500000</v>
      </c>
      <c r="AH59" s="506">
        <f t="shared" si="12"/>
        <v>5500000</v>
      </c>
      <c r="AI59" s="506">
        <f t="shared" ref="AI59" si="13">AI60*1000</f>
        <v>5500000</v>
      </c>
      <c r="AJ59" s="506">
        <f t="shared" ref="AJ59" si="14">AJ60*1000</f>
        <v>5500000</v>
      </c>
      <c r="AK59" s="506">
        <f t="shared" ref="AK59:AL59" si="15">AK60*1000</f>
        <v>5500000</v>
      </c>
      <c r="AL59" s="506">
        <f t="shared" si="15"/>
        <v>5500000</v>
      </c>
    </row>
    <row r="60" spans="2:38">
      <c r="B60" s="346"/>
      <c r="C60" s="417" t="s">
        <v>70</v>
      </c>
      <c r="D60" s="413" t="s">
        <v>68</v>
      </c>
      <c r="E60" s="349"/>
      <c r="F60" s="350"/>
      <c r="L60" s="39" t="s">
        <v>505</v>
      </c>
      <c r="M60" s="39"/>
      <c r="N60" s="39">
        <v>1100</v>
      </c>
      <c r="O60" s="39">
        <v>4400</v>
      </c>
      <c r="P60" s="39">
        <v>5500</v>
      </c>
      <c r="Q60" s="39">
        <v>5500</v>
      </c>
      <c r="R60" s="39">
        <v>5500</v>
      </c>
      <c r="S60" s="39">
        <v>5500</v>
      </c>
      <c r="T60" s="39">
        <v>5500</v>
      </c>
      <c r="U60" s="39">
        <v>5500</v>
      </c>
      <c r="V60" s="39">
        <v>5500</v>
      </c>
      <c r="W60" s="39">
        <v>5500</v>
      </c>
      <c r="X60" s="39">
        <v>5500</v>
      </c>
      <c r="Y60" s="39">
        <v>5500</v>
      </c>
      <c r="Z60" s="39">
        <v>5500</v>
      </c>
      <c r="AA60" s="39">
        <v>5500</v>
      </c>
      <c r="AB60" s="39">
        <v>5500</v>
      </c>
      <c r="AC60" s="39">
        <v>5500</v>
      </c>
      <c r="AD60" s="39">
        <v>5500</v>
      </c>
      <c r="AE60" s="39">
        <v>5500</v>
      </c>
      <c r="AF60" s="39">
        <v>5500</v>
      </c>
      <c r="AG60" s="39">
        <v>5500</v>
      </c>
      <c r="AH60" s="39">
        <v>5500</v>
      </c>
      <c r="AI60" s="39">
        <v>5500</v>
      </c>
      <c r="AJ60" s="39">
        <v>5500</v>
      </c>
      <c r="AK60" s="39">
        <v>5500</v>
      </c>
      <c r="AL60" s="39">
        <v>5500</v>
      </c>
    </row>
    <row r="61" spans="2:38" hidden="1">
      <c r="B61" s="346"/>
      <c r="C61" s="417"/>
      <c r="D61" s="415" t="s">
        <v>69</v>
      </c>
      <c r="E61" s="411"/>
      <c r="F61" s="350"/>
    </row>
    <row r="62" spans="2:38" hidden="1">
      <c r="B62" s="346"/>
      <c r="C62" s="417"/>
      <c r="D62" s="415" t="s">
        <v>68</v>
      </c>
      <c r="E62" s="411"/>
      <c r="F62" s="350"/>
    </row>
    <row r="63" spans="2:38" hidden="1">
      <c r="B63" s="346"/>
      <c r="C63" s="417"/>
      <c r="D63" s="415" t="s">
        <v>67</v>
      </c>
      <c r="E63" s="411"/>
      <c r="F63" s="350"/>
    </row>
    <row r="64" spans="2:38" hidden="1">
      <c r="B64" s="346"/>
      <c r="C64" s="417"/>
      <c r="D64" s="415" t="s">
        <v>66</v>
      </c>
      <c r="E64" s="411"/>
      <c r="F64" s="350"/>
    </row>
    <row r="65" spans="2:32">
      <c r="B65" s="346"/>
      <c r="C65" s="354" t="s">
        <v>65</v>
      </c>
      <c r="D65" s="413"/>
      <c r="E65" s="349"/>
      <c r="F65" s="350"/>
      <c r="L65" t="s">
        <v>506</v>
      </c>
      <c r="M65">
        <v>85370.260757701762</v>
      </c>
    </row>
    <row r="66" spans="2:32">
      <c r="B66" s="346"/>
      <c r="C66" s="417"/>
      <c r="D66" s="412"/>
      <c r="E66" s="349"/>
      <c r="F66" s="350"/>
      <c r="M66" t="s">
        <v>507</v>
      </c>
      <c r="N66" t="s">
        <v>508</v>
      </c>
      <c r="O66" t="s">
        <v>509</v>
      </c>
    </row>
    <row r="67" spans="2:32" ht="18.75">
      <c r="B67" s="419"/>
      <c r="C67" s="443" t="s">
        <v>64</v>
      </c>
      <c r="D67" s="434"/>
      <c r="E67" s="422"/>
      <c r="F67" s="423"/>
      <c r="L67" t="s">
        <v>510</v>
      </c>
      <c r="M67">
        <v>0.25</v>
      </c>
      <c r="N67">
        <v>0.6</v>
      </c>
      <c r="O67">
        <v>0.15</v>
      </c>
    </row>
    <row r="68" spans="2:32">
      <c r="B68" s="419"/>
      <c r="C68" s="444" t="s">
        <v>63</v>
      </c>
      <c r="D68" s="437"/>
      <c r="E68" s="422"/>
      <c r="F68" s="423"/>
    </row>
    <row r="69" spans="2:32">
      <c r="B69" s="419"/>
      <c r="C69" s="418" t="s">
        <v>107</v>
      </c>
      <c r="D69" s="425"/>
      <c r="E69" s="422"/>
      <c r="F69" s="423"/>
      <c r="L69" t="s">
        <v>511</v>
      </c>
      <c r="M69">
        <v>21342.565189425441</v>
      </c>
    </row>
    <row r="70" spans="2:32">
      <c r="B70" s="419"/>
      <c r="C70" s="418" t="s">
        <v>119</v>
      </c>
      <c r="D70" s="437">
        <f>SUM(N60:AL60)*1000</f>
        <v>132000000</v>
      </c>
      <c r="E70" s="422"/>
      <c r="F70" s="423"/>
      <c r="H70" s="505" t="s">
        <v>106</v>
      </c>
      <c r="J70" s="39"/>
      <c r="K70" s="39"/>
      <c r="L70" s="39"/>
      <c r="M70" s="39"/>
      <c r="N70" s="39"/>
      <c r="O70" s="39"/>
      <c r="P70" s="39"/>
      <c r="Q70" s="39"/>
      <c r="R70" s="39"/>
      <c r="S70" s="39"/>
      <c r="T70" s="39"/>
      <c r="U70" s="39"/>
      <c r="V70" s="39"/>
      <c r="W70" s="39"/>
      <c r="X70" s="39"/>
      <c r="Y70" s="39"/>
      <c r="Z70" s="39"/>
      <c r="AA70" s="39"/>
      <c r="AB70" s="39"/>
      <c r="AC70" s="39"/>
      <c r="AD70" s="39"/>
      <c r="AE70" s="39"/>
      <c r="AF70" s="39"/>
    </row>
    <row r="71" spans="2:32">
      <c r="B71" s="419"/>
      <c r="C71" s="444"/>
      <c r="D71" s="433"/>
      <c r="E71" s="422"/>
      <c r="F71" s="423"/>
      <c r="J71" s="39"/>
      <c r="K71" s="39"/>
      <c r="L71" s="39"/>
      <c r="M71" s="39"/>
      <c r="N71" s="39"/>
      <c r="O71" s="39"/>
      <c r="P71" s="39"/>
      <c r="Q71" s="39"/>
      <c r="R71" s="39"/>
      <c r="S71" s="39"/>
      <c r="T71" s="39"/>
      <c r="U71" s="39"/>
      <c r="V71" s="39"/>
      <c r="W71" s="39"/>
      <c r="X71" s="39"/>
      <c r="Y71" s="39"/>
      <c r="Z71" s="39"/>
      <c r="AA71" s="39"/>
      <c r="AB71" s="39"/>
      <c r="AC71" s="39"/>
      <c r="AD71" s="39"/>
      <c r="AE71" s="39"/>
      <c r="AF71" s="39"/>
    </row>
    <row r="72" spans="2:32" ht="30">
      <c r="B72" s="419"/>
      <c r="C72" s="418" t="s">
        <v>223</v>
      </c>
      <c r="D72" s="426" t="s">
        <v>502</v>
      </c>
      <c r="E72" s="422"/>
      <c r="F72" s="423"/>
      <c r="J72" s="39"/>
      <c r="K72" s="39"/>
      <c r="L72" s="39"/>
      <c r="M72" s="39"/>
      <c r="N72" s="39"/>
      <c r="O72" s="39"/>
      <c r="P72" s="39"/>
      <c r="Q72" s="39"/>
      <c r="R72" s="39"/>
      <c r="S72" s="39"/>
      <c r="T72" s="39"/>
      <c r="U72" s="39"/>
      <c r="V72" s="39"/>
      <c r="W72" s="39"/>
      <c r="X72" s="39"/>
      <c r="Y72" s="39"/>
      <c r="Z72" s="39"/>
      <c r="AA72" s="39"/>
      <c r="AB72" s="39"/>
      <c r="AC72" s="39"/>
      <c r="AD72" s="39"/>
      <c r="AE72" s="39"/>
      <c r="AF72" s="39"/>
    </row>
    <row r="73" spans="2:32" ht="30.75" customHeight="1">
      <c r="B73" s="419"/>
      <c r="C73" s="444" t="s">
        <v>62</v>
      </c>
      <c r="D73" s="438" t="s">
        <v>574</v>
      </c>
      <c r="E73" s="422"/>
      <c r="F73" s="423"/>
      <c r="J73" s="39"/>
      <c r="K73" s="39"/>
      <c r="L73" s="39"/>
      <c r="M73" s="39"/>
      <c r="N73" s="39"/>
      <c r="O73" s="39"/>
      <c r="P73" s="39"/>
      <c r="Q73" s="39"/>
      <c r="R73" s="39"/>
      <c r="S73" s="39"/>
      <c r="T73" s="39"/>
      <c r="U73" s="39"/>
      <c r="V73" s="39"/>
      <c r="W73" s="39"/>
      <c r="X73" s="39"/>
      <c r="Y73" s="39"/>
      <c r="Z73" s="39"/>
      <c r="AA73" s="39"/>
      <c r="AB73" s="39"/>
      <c r="AC73" s="39"/>
      <c r="AD73" s="39"/>
      <c r="AE73" s="39"/>
      <c r="AF73" s="39"/>
    </row>
    <row r="74" spans="2:32">
      <c r="B74" s="419"/>
      <c r="C74" s="444"/>
      <c r="D74" s="434"/>
      <c r="E74" s="422"/>
      <c r="F74" s="423"/>
      <c r="J74" s="39"/>
      <c r="K74" s="39"/>
      <c r="L74" s="39" t="s">
        <v>106</v>
      </c>
      <c r="M74" s="39"/>
      <c r="N74" s="39"/>
      <c r="O74" s="39"/>
      <c r="P74" s="39"/>
      <c r="Q74" s="39"/>
      <c r="R74" s="39"/>
      <c r="S74" s="39"/>
      <c r="T74" s="39"/>
      <c r="U74" s="39"/>
      <c r="V74" s="39"/>
      <c r="W74" s="39"/>
      <c r="X74" s="39"/>
      <c r="Y74" s="39"/>
      <c r="Z74" s="39"/>
      <c r="AA74" s="39"/>
      <c r="AB74" s="39"/>
      <c r="AC74" s="39"/>
      <c r="AD74" s="39"/>
      <c r="AE74" s="39"/>
      <c r="AF74" s="39"/>
    </row>
    <row r="75" spans="2:32">
      <c r="B75" s="419"/>
      <c r="C75" s="444" t="s">
        <v>61</v>
      </c>
      <c r="D75" s="425">
        <v>0.5</v>
      </c>
      <c r="E75" s="422"/>
      <c r="F75" s="423"/>
      <c r="J75" s="39"/>
      <c r="K75" s="39"/>
      <c r="L75" s="39"/>
      <c r="M75" s="39"/>
      <c r="N75" s="39"/>
      <c r="O75" s="39"/>
      <c r="P75" s="39"/>
      <c r="Q75" s="39"/>
      <c r="R75" s="39"/>
      <c r="S75" s="39"/>
      <c r="T75" s="39"/>
      <c r="U75" s="39"/>
      <c r="V75" s="39"/>
      <c r="W75" s="39"/>
      <c r="X75" s="39"/>
      <c r="Y75" s="39"/>
      <c r="Z75" s="39"/>
      <c r="AA75" s="39"/>
      <c r="AB75" s="39"/>
      <c r="AC75" s="39"/>
      <c r="AD75" s="39"/>
      <c r="AE75" s="39"/>
      <c r="AF75" s="39"/>
    </row>
    <row r="76" spans="2:32">
      <c r="B76" s="419"/>
      <c r="C76" s="1073" t="s">
        <v>1</v>
      </c>
      <c r="D76" s="1074"/>
      <c r="E76" s="422"/>
      <c r="F76" s="423"/>
      <c r="J76" s="39"/>
      <c r="K76" s="39"/>
      <c r="L76" s="39"/>
      <c r="M76" s="39"/>
      <c r="N76" s="39"/>
      <c r="O76" s="39"/>
      <c r="P76" s="39"/>
      <c r="Q76" s="39"/>
      <c r="R76" s="39"/>
      <c r="S76" s="39"/>
      <c r="T76" s="39"/>
      <c r="U76" s="39"/>
      <c r="V76" s="39"/>
      <c r="W76" s="39"/>
      <c r="X76" s="39"/>
      <c r="Y76" s="39"/>
      <c r="Z76" s="39"/>
      <c r="AA76" s="39"/>
      <c r="AB76" s="39"/>
      <c r="AC76" s="39"/>
      <c r="AD76" s="39"/>
      <c r="AE76" s="39"/>
      <c r="AF76" s="39"/>
    </row>
    <row r="77" spans="2:32">
      <c r="B77" s="419"/>
      <c r="C77" s="446"/>
      <c r="D77" s="421"/>
      <c r="E77" s="422"/>
      <c r="F77" s="423"/>
      <c r="J77" s="39"/>
      <c r="K77" s="39"/>
      <c r="L77" s="39"/>
      <c r="M77" s="39"/>
      <c r="N77" s="39"/>
      <c r="O77" s="39"/>
      <c r="P77" s="39"/>
      <c r="Q77" s="39"/>
      <c r="R77" s="39"/>
      <c r="S77" s="39"/>
      <c r="T77" s="39"/>
      <c r="U77" s="39"/>
      <c r="V77" s="39"/>
      <c r="W77" s="39"/>
      <c r="X77" s="39"/>
      <c r="Y77" s="39"/>
      <c r="Z77" s="39"/>
      <c r="AA77" s="39"/>
      <c r="AB77" s="39"/>
      <c r="AC77" s="39"/>
      <c r="AD77" s="39"/>
      <c r="AE77" s="39"/>
      <c r="AF77" s="39"/>
    </row>
    <row r="78" spans="2:32" ht="15.75" thickBot="1">
      <c r="B78" s="429"/>
      <c r="C78" s="430"/>
      <c r="D78" s="431"/>
      <c r="E78" s="430"/>
      <c r="F78" s="432"/>
      <c r="J78" s="39"/>
      <c r="K78" s="39"/>
      <c r="L78" s="39"/>
      <c r="M78" s="39"/>
      <c r="N78" s="39"/>
      <c r="O78" s="39"/>
      <c r="P78" s="39"/>
      <c r="Q78" s="39"/>
      <c r="R78" s="39"/>
      <c r="S78" s="39"/>
      <c r="T78" s="39"/>
      <c r="U78" s="39"/>
      <c r="V78" s="39"/>
      <c r="W78" s="39"/>
      <c r="X78" s="39"/>
      <c r="Y78" s="39"/>
      <c r="Z78" s="39"/>
      <c r="AA78" s="39"/>
      <c r="AB78" s="39"/>
      <c r="AC78" s="39"/>
      <c r="AD78" s="39"/>
      <c r="AE78" s="39"/>
      <c r="AF78" s="39"/>
    </row>
    <row r="79" spans="2:32">
      <c r="J79" s="39"/>
      <c r="K79" s="39"/>
      <c r="L79" s="39"/>
      <c r="M79" s="39"/>
      <c r="N79" s="39"/>
      <c r="O79" s="39"/>
      <c r="P79" s="39"/>
      <c r="Q79" s="39"/>
      <c r="R79" s="39"/>
      <c r="S79" s="39"/>
      <c r="T79" s="39"/>
      <c r="U79" s="39"/>
      <c r="V79" s="39"/>
      <c r="W79" s="39"/>
      <c r="X79" s="39"/>
      <c r="Y79" s="39"/>
      <c r="Z79" s="39"/>
      <c r="AA79" s="39"/>
      <c r="AB79" s="39"/>
      <c r="AC79" s="39"/>
      <c r="AD79" s="39"/>
      <c r="AE79" s="39"/>
      <c r="AF79" s="39"/>
    </row>
    <row r="80" spans="2:32">
      <c r="J80" s="39"/>
      <c r="K80" s="39"/>
      <c r="L80" s="39"/>
      <c r="M80" s="39"/>
      <c r="N80" s="39"/>
      <c r="O80" s="39"/>
      <c r="P80" s="39"/>
      <c r="Q80" s="39"/>
      <c r="R80" s="39"/>
      <c r="S80" s="39"/>
      <c r="T80" s="39"/>
      <c r="U80" s="39"/>
      <c r="V80" s="39"/>
      <c r="W80" s="39"/>
      <c r="X80" s="39"/>
      <c r="Y80" s="39"/>
      <c r="Z80" s="39"/>
      <c r="AA80" s="39"/>
      <c r="AB80" s="39"/>
      <c r="AC80" s="39"/>
      <c r="AD80" s="39"/>
      <c r="AE80" s="39"/>
      <c r="AF80" s="39"/>
    </row>
    <row r="81" spans="10:32">
      <c r="J81" s="39"/>
      <c r="K81" s="39"/>
      <c r="L81" s="39"/>
      <c r="M81" s="39"/>
      <c r="N81" s="39"/>
      <c r="O81" s="39"/>
      <c r="P81" s="39"/>
      <c r="Q81" s="39"/>
      <c r="R81" s="39"/>
      <c r="S81" s="39"/>
      <c r="T81" s="39"/>
      <c r="U81" s="39"/>
      <c r="V81" s="39"/>
      <c r="W81" s="39"/>
      <c r="X81" s="39"/>
      <c r="Y81" s="39"/>
      <c r="Z81" s="39"/>
      <c r="AA81" s="39"/>
      <c r="AB81" s="39"/>
      <c r="AC81" s="39"/>
      <c r="AD81" s="39"/>
      <c r="AE81" s="39"/>
      <c r="AF81" s="39"/>
    </row>
  </sheetData>
  <mergeCells count="1">
    <mergeCell ref="C76:D76"/>
  </mergeCells>
  <phoneticPr fontId="19" type="noConversion"/>
  <dataValidations count="3">
    <dataValidation type="list" allowBlank="1" showInputMessage="1" showErrorMessage="1" sqref="D54">
      <formula1>$D$55:$D$58</formula1>
    </dataValidation>
    <dataValidation type="list" allowBlank="1" showInputMessage="1" showErrorMessage="1" sqref="D47">
      <formula1>$D$48:$D$51</formula1>
    </dataValidation>
    <dataValidation type="list" allowBlank="1" showInputMessage="1" showErrorMessage="1" sqref="D60">
      <formula1>$D$61:$D$64</formula1>
    </dataValidation>
  </dataValidations>
  <pageMargins left="0.7" right="0.7" top="0.75" bottom="0.75" header="0.3" footer="0.3"/>
  <pageSetup paperSize="9" scale="33" orientation="landscape" copies="2" r:id="rId1"/>
</worksheet>
</file>

<file path=xl/worksheets/sheet61.xml><?xml version="1.0" encoding="utf-8"?>
<worksheet xmlns="http://schemas.openxmlformats.org/spreadsheetml/2006/main" xmlns:r="http://schemas.openxmlformats.org/officeDocument/2006/relationships">
  <sheetPr>
    <pageSetUpPr fitToPage="1"/>
  </sheetPr>
  <dimension ref="B1:F78"/>
  <sheetViews>
    <sheetView topLeftCell="A73" zoomScale="75" zoomScaleNormal="75" workbookViewId="0">
      <selection activeCell="B1" sqref="B1:G78"/>
    </sheetView>
  </sheetViews>
  <sheetFormatPr defaultRowHeight="15"/>
  <cols>
    <col min="1" max="2" width="3.7109375" customWidth="1"/>
    <col min="3" max="3" width="61.42578125" bestFit="1" customWidth="1"/>
    <col min="4" max="4" width="34.28515625" style="26" bestFit="1" customWidth="1"/>
    <col min="5" max="5" width="5.85546875" bestFit="1" customWidth="1"/>
    <col min="6" max="7" width="3.7109375" customWidth="1"/>
    <col min="8" max="8" width="9.28515625" bestFit="1" customWidth="1"/>
  </cols>
  <sheetData>
    <row r="1" spans="2:6" ht="18.75">
      <c r="B1" s="25" t="s">
        <v>60</v>
      </c>
    </row>
    <row r="2" spans="2:6" ht="18.75">
      <c r="B2" s="25" t="s">
        <v>347</v>
      </c>
      <c r="C2" s="25"/>
    </row>
    <row r="3" spans="2:6" ht="18.75">
      <c r="B3" s="280" t="s">
        <v>462</v>
      </c>
      <c r="C3" s="33"/>
    </row>
    <row r="4" spans="2:6" ht="19.5" thickBot="1">
      <c r="B4" s="25"/>
      <c r="C4" s="33"/>
    </row>
    <row r="5" spans="2:6" ht="18.75">
      <c r="B5" s="356"/>
      <c r="C5" s="357" t="s">
        <v>105</v>
      </c>
      <c r="D5" s="358"/>
      <c r="E5" s="359"/>
      <c r="F5" s="360"/>
    </row>
    <row r="6" spans="2:6" ht="18.75">
      <c r="B6" s="361"/>
      <c r="C6" s="362" t="s">
        <v>220</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372" t="s">
        <v>269</v>
      </c>
      <c r="E10" s="369"/>
      <c r="F10" s="370"/>
    </row>
    <row r="11" spans="2:6" s="32" customFormat="1">
      <c r="B11" s="366"/>
      <c r="C11" s="367" t="s">
        <v>109</v>
      </c>
      <c r="D11" s="373">
        <v>40235</v>
      </c>
      <c r="E11" s="369"/>
      <c r="F11" s="370"/>
    </row>
    <row r="12" spans="2:6" s="32" customFormat="1">
      <c r="B12" s="366"/>
      <c r="C12" s="367" t="s">
        <v>101</v>
      </c>
      <c r="D12" s="373">
        <v>40451</v>
      </c>
      <c r="E12" s="369"/>
      <c r="F12" s="370"/>
    </row>
    <row r="13" spans="2:6" s="32" customFormat="1">
      <c r="B13" s="366"/>
      <c r="C13" s="367"/>
      <c r="D13" s="368"/>
      <c r="E13" s="369"/>
      <c r="F13" s="370"/>
    </row>
    <row r="14" spans="2:6">
      <c r="B14" s="361"/>
      <c r="C14" s="367" t="s">
        <v>100</v>
      </c>
      <c r="D14" s="383" t="s">
        <v>99</v>
      </c>
      <c r="E14" s="374" t="s">
        <v>96</v>
      </c>
      <c r="F14" s="365"/>
    </row>
    <row r="15" spans="2:6">
      <c r="B15" s="361"/>
      <c r="C15" s="364"/>
      <c r="D15" s="383" t="s">
        <v>98</v>
      </c>
      <c r="E15" s="374"/>
      <c r="F15" s="365"/>
    </row>
    <row r="16" spans="2:6">
      <c r="B16" s="361"/>
      <c r="C16" s="364"/>
      <c r="D16" s="383" t="s">
        <v>97</v>
      </c>
      <c r="E16" s="375"/>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92</v>
      </c>
      <c r="E23" s="364"/>
      <c r="F23" s="365"/>
    </row>
    <row r="24" spans="2:6" hidden="1">
      <c r="B24" s="361"/>
      <c r="C24" s="367"/>
      <c r="D24" s="382"/>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80"/>
      <c r="E40" s="364"/>
      <c r="F40" s="365"/>
    </row>
    <row r="41" spans="2:6">
      <c r="B41" s="361"/>
      <c r="C41" s="376" t="s">
        <v>65</v>
      </c>
      <c r="D41" s="382"/>
      <c r="E41" s="364"/>
      <c r="F41" s="365"/>
    </row>
    <row r="42" spans="2:6">
      <c r="B42" s="361"/>
      <c r="C42" s="377"/>
      <c r="D42" s="380"/>
      <c r="E42" s="364"/>
      <c r="F42" s="365"/>
    </row>
    <row r="43" spans="2:6" ht="18.75">
      <c r="B43" s="392"/>
      <c r="C43" s="393" t="s">
        <v>80</v>
      </c>
      <c r="D43" s="404"/>
      <c r="E43" s="395"/>
      <c r="F43" s="396"/>
    </row>
    <row r="44" spans="2:6">
      <c r="B44" s="392"/>
      <c r="C44" s="391" t="s">
        <v>79</v>
      </c>
      <c r="D44" s="399" t="s">
        <v>693</v>
      </c>
      <c r="E44" s="395"/>
      <c r="F44" s="396"/>
    </row>
    <row r="45" spans="2:6">
      <c r="B45" s="392"/>
      <c r="C45" s="391" t="s">
        <v>78</v>
      </c>
      <c r="D45" s="399" t="s">
        <v>693</v>
      </c>
      <c r="E45" s="395"/>
      <c r="F45" s="396"/>
    </row>
    <row r="46" spans="2:6" ht="30">
      <c r="B46" s="392"/>
      <c r="C46" s="398" t="s">
        <v>77</v>
      </c>
      <c r="D46" s="399" t="s">
        <v>693</v>
      </c>
      <c r="E46" s="395"/>
      <c r="F46" s="396"/>
    </row>
    <row r="47" spans="2:6" ht="30">
      <c r="B47" s="392"/>
      <c r="C47" s="400" t="s">
        <v>76</v>
      </c>
      <c r="D47" s="399" t="s">
        <v>276</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67</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6">
      <c r="B65" s="346"/>
      <c r="C65" s="354" t="s">
        <v>65</v>
      </c>
      <c r="D65" s="413"/>
      <c r="E65" s="349"/>
      <c r="F65" s="350"/>
    </row>
    <row r="66" spans="2:6">
      <c r="B66" s="346"/>
      <c r="C66" s="351"/>
      <c r="D66" s="412"/>
      <c r="E66" s="349"/>
      <c r="F66" s="350"/>
    </row>
    <row r="67" spans="2:6" ht="18.75">
      <c r="B67" s="419"/>
      <c r="C67" s="420" t="s">
        <v>64</v>
      </c>
      <c r="D67" s="434"/>
      <c r="E67" s="422"/>
      <c r="F67" s="423"/>
    </row>
    <row r="68" spans="2:6">
      <c r="B68" s="419"/>
      <c r="C68" s="418" t="s">
        <v>118</v>
      </c>
      <c r="D68" s="424" t="s">
        <v>106</v>
      </c>
      <c r="E68" s="422"/>
      <c r="F68" s="423"/>
    </row>
    <row r="69" spans="2:6">
      <c r="B69" s="419"/>
      <c r="C69" s="418" t="s">
        <v>107</v>
      </c>
      <c r="D69" s="427"/>
      <c r="E69" s="422"/>
      <c r="F69" s="423"/>
    </row>
    <row r="70" spans="2:6">
      <c r="B70" s="419"/>
      <c r="C70" s="418" t="s">
        <v>119</v>
      </c>
      <c r="D70" s="424">
        <v>1172500</v>
      </c>
      <c r="E70" s="422"/>
      <c r="F70" s="423"/>
    </row>
    <row r="71" spans="2:6">
      <c r="B71" s="419"/>
      <c r="C71" s="418"/>
      <c r="D71" s="433"/>
      <c r="E71" s="422"/>
      <c r="F71" s="423"/>
    </row>
    <row r="72" spans="2:6" ht="30">
      <c r="B72" s="419"/>
      <c r="C72" s="418" t="s">
        <v>223</v>
      </c>
      <c r="D72" s="426" t="s">
        <v>702</v>
      </c>
      <c r="E72" s="422"/>
      <c r="F72" s="423"/>
    </row>
    <row r="73" spans="2:6">
      <c r="B73" s="419"/>
      <c r="C73" s="418" t="s">
        <v>62</v>
      </c>
      <c r="D73" s="426" t="s">
        <v>703</v>
      </c>
      <c r="E73" s="422"/>
      <c r="F73" s="423"/>
    </row>
    <row r="74" spans="2:6">
      <c r="B74" s="419"/>
      <c r="C74" s="418"/>
      <c r="D74" s="433"/>
      <c r="E74" s="422"/>
      <c r="F74" s="423"/>
    </row>
    <row r="75" spans="2:6">
      <c r="B75" s="419"/>
      <c r="C75" s="418" t="s">
        <v>61</v>
      </c>
      <c r="D75" s="427">
        <v>0.5</v>
      </c>
      <c r="E75" s="422"/>
      <c r="F75" s="423"/>
    </row>
    <row r="76" spans="2:6">
      <c r="B76" s="419"/>
      <c r="C76" s="418"/>
      <c r="D76" s="433" t="s">
        <v>2</v>
      </c>
      <c r="E76" s="422"/>
      <c r="F76" s="423"/>
    </row>
    <row r="77" spans="2:6">
      <c r="B77" s="419"/>
      <c r="C77" s="428"/>
      <c r="D77" s="421"/>
      <c r="E77" s="422"/>
      <c r="F77" s="423"/>
    </row>
    <row r="78" spans="2:6" ht="15.75" thickBot="1">
      <c r="B78" s="429"/>
      <c r="C78" s="430"/>
      <c r="D78" s="431"/>
      <c r="E78" s="430"/>
      <c r="F78" s="432"/>
    </row>
  </sheetData>
  <phoneticPr fontId="19" type="noConversion"/>
  <dataValidations count="7">
    <dataValidation type="list" allowBlank="1" showInputMessage="1" showErrorMessage="1" sqref="D60">
      <formula1>$D$61:$D$64</formula1>
    </dataValidation>
    <dataValidation type="list" allowBlank="1" showInputMessage="1" showErrorMessage="1" sqref="D54">
      <formula1>$D$56:$D$58</formula1>
    </dataValidation>
    <dataValidation type="list" allowBlank="1" showInputMessage="1" showErrorMessage="1" sqref="D23">
      <formula1>$D$25:$D$39</formula1>
    </dataValidation>
    <dataValidation type="list" allowBlank="1" showInputMessage="1" showErrorMessage="1" sqref="D47">
      <formula1>$D$48:$D$51</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77" orientation="portrait" copies="2" r:id="rId1"/>
</worksheet>
</file>

<file path=xl/worksheets/sheet62.xml><?xml version="1.0" encoding="utf-8"?>
<worksheet xmlns="http://schemas.openxmlformats.org/spreadsheetml/2006/main" xmlns:r="http://schemas.openxmlformats.org/officeDocument/2006/relationships">
  <sheetPr>
    <pageSetUpPr fitToPage="1"/>
  </sheetPr>
  <dimension ref="B1:AJ84"/>
  <sheetViews>
    <sheetView topLeftCell="A73" zoomScale="75" zoomScaleNormal="75" workbookViewId="0">
      <selection activeCell="F78" sqref="B1:F78"/>
    </sheetView>
  </sheetViews>
  <sheetFormatPr defaultRowHeight="15"/>
  <cols>
    <col min="1" max="2" width="3.7109375" customWidth="1"/>
    <col min="3" max="3" width="77.28515625" customWidth="1"/>
    <col min="4" max="4" width="48.140625" style="26" customWidth="1"/>
    <col min="5" max="5" width="5.85546875" bestFit="1" customWidth="1"/>
    <col min="6" max="7" width="3.7109375" customWidth="1"/>
    <col min="8" max="8" width="20.140625" customWidth="1"/>
    <col min="12" max="12" width="9.28515625" bestFit="1" customWidth="1"/>
    <col min="24" max="24" width="9.28515625" bestFit="1" customWidth="1"/>
  </cols>
  <sheetData>
    <row r="1" spans="2:6" ht="18.75">
      <c r="B1" s="25" t="s">
        <v>60</v>
      </c>
    </row>
    <row r="2" spans="2:6" ht="18.75">
      <c r="B2" s="25" t="s">
        <v>347</v>
      </c>
    </row>
    <row r="3" spans="2:6" ht="18.75">
      <c r="B3" s="280" t="s">
        <v>465</v>
      </c>
      <c r="C3" s="33"/>
    </row>
    <row r="4" spans="2:6" ht="19.5" thickBot="1">
      <c r="B4" s="25"/>
      <c r="C4" s="33"/>
    </row>
    <row r="5" spans="2:6" ht="18.75">
      <c r="B5" s="356"/>
      <c r="C5" s="357" t="s">
        <v>105</v>
      </c>
      <c r="D5" s="358"/>
      <c r="E5" s="359"/>
      <c r="F5" s="360"/>
    </row>
    <row r="6" spans="2:6" ht="37.5">
      <c r="B6" s="361"/>
      <c r="C6" s="475" t="s">
        <v>466</v>
      </c>
      <c r="D6" s="363"/>
      <c r="E6" s="364"/>
      <c r="F6" s="365"/>
    </row>
    <row r="7" spans="2:6" ht="18.75">
      <c r="B7" s="361"/>
      <c r="C7" s="362"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372" t="s">
        <v>268</v>
      </c>
      <c r="E10" s="369"/>
      <c r="F10" s="370"/>
    </row>
    <row r="11" spans="2:6" s="32" customFormat="1">
      <c r="B11" s="366"/>
      <c r="C11" s="367" t="s">
        <v>109</v>
      </c>
      <c r="D11" s="373">
        <v>40235</v>
      </c>
      <c r="E11" s="369"/>
      <c r="F11" s="370"/>
    </row>
    <row r="12" spans="2:6" s="32" customFormat="1">
      <c r="B12" s="366"/>
      <c r="C12" s="367" t="s">
        <v>101</v>
      </c>
      <c r="D12" s="373">
        <v>40451</v>
      </c>
      <c r="E12" s="369"/>
      <c r="F12" s="370"/>
    </row>
    <row r="13" spans="2:6" s="32" customFormat="1">
      <c r="B13" s="366"/>
      <c r="C13" s="367"/>
      <c r="D13" s="368"/>
      <c r="E13" s="369"/>
      <c r="F13" s="370"/>
    </row>
    <row r="14" spans="2:6">
      <c r="B14" s="361"/>
      <c r="C14" s="367" t="s">
        <v>100</v>
      </c>
      <c r="D14" s="383" t="s">
        <v>99</v>
      </c>
      <c r="E14" s="374" t="s">
        <v>96</v>
      </c>
      <c r="F14" s="365"/>
    </row>
    <row r="15" spans="2:6">
      <c r="B15" s="361"/>
      <c r="C15" s="364"/>
      <c r="D15" s="383" t="s">
        <v>98</v>
      </c>
      <c r="E15" s="374"/>
      <c r="F15" s="365"/>
    </row>
    <row r="16" spans="2:6">
      <c r="B16" s="361"/>
      <c r="C16" s="364"/>
      <c r="D16" s="383" t="s">
        <v>97</v>
      </c>
      <c r="E16" s="375"/>
      <c r="F16" s="365"/>
    </row>
    <row r="17" spans="2:6">
      <c r="B17" s="361"/>
      <c r="C17" s="364"/>
      <c r="D17" s="383" t="s">
        <v>45</v>
      </c>
      <c r="E17" s="374"/>
      <c r="F17" s="365"/>
    </row>
    <row r="18" spans="2:6">
      <c r="B18" s="361"/>
      <c r="C18" s="364"/>
      <c r="D18" s="383" t="s">
        <v>95</v>
      </c>
      <c r="E18" s="374"/>
      <c r="F18" s="365"/>
    </row>
    <row r="19" spans="2:6">
      <c r="B19" s="361"/>
      <c r="C19" s="364"/>
      <c r="D19" s="383" t="s">
        <v>66</v>
      </c>
      <c r="E19" s="374"/>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92</v>
      </c>
      <c r="E23" s="364"/>
      <c r="F23" s="365"/>
    </row>
    <row r="24" spans="2:6" hidden="1">
      <c r="B24" s="361"/>
      <c r="C24" s="367"/>
      <c r="D24" s="382"/>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80"/>
      <c r="E40" s="364"/>
      <c r="F40" s="365"/>
    </row>
    <row r="41" spans="2:6">
      <c r="B41" s="361"/>
      <c r="C41" s="376" t="s">
        <v>65</v>
      </c>
      <c r="D41" s="382"/>
      <c r="E41" s="364"/>
      <c r="F41" s="365"/>
    </row>
    <row r="42" spans="2:6">
      <c r="B42" s="361"/>
      <c r="C42" s="377"/>
      <c r="D42" s="380"/>
      <c r="E42" s="364"/>
      <c r="F42" s="365"/>
    </row>
    <row r="43" spans="2:6" ht="18.75">
      <c r="B43" s="392"/>
      <c r="C43" s="393" t="s">
        <v>80</v>
      </c>
      <c r="D43" s="404"/>
      <c r="E43" s="395"/>
      <c r="F43" s="396"/>
    </row>
    <row r="44" spans="2:6">
      <c r="B44" s="392"/>
      <c r="C44" s="391" t="s">
        <v>79</v>
      </c>
      <c r="D44" s="399" t="s">
        <v>693</v>
      </c>
      <c r="E44" s="395"/>
      <c r="F44" s="396"/>
    </row>
    <row r="45" spans="2:6">
      <c r="B45" s="392"/>
      <c r="C45" s="391" t="s">
        <v>78</v>
      </c>
      <c r="D45" s="399" t="s">
        <v>693</v>
      </c>
      <c r="E45" s="395"/>
      <c r="F45" s="396"/>
    </row>
    <row r="46" spans="2:6" ht="30">
      <c r="B46" s="392"/>
      <c r="C46" s="398" t="s">
        <v>77</v>
      </c>
      <c r="D46" s="399" t="s">
        <v>693</v>
      </c>
      <c r="E46" s="395"/>
      <c r="F46" s="396"/>
    </row>
    <row r="47" spans="2:6" ht="30">
      <c r="B47" s="392"/>
      <c r="C47" s="400" t="s">
        <v>76</v>
      </c>
      <c r="D47" s="399" t="s">
        <v>276</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67</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36">
      <c r="B65" s="346"/>
      <c r="C65" s="354" t="s">
        <v>65</v>
      </c>
      <c r="D65" s="413"/>
      <c r="E65" s="349"/>
      <c r="F65" s="350"/>
    </row>
    <row r="66" spans="2:36">
      <c r="B66" s="346"/>
      <c r="C66" s="351"/>
      <c r="D66" s="412"/>
      <c r="E66" s="349"/>
      <c r="F66" s="350"/>
    </row>
    <row r="67" spans="2:36" ht="18.75">
      <c r="B67" s="419"/>
      <c r="C67" s="420" t="s">
        <v>64</v>
      </c>
      <c r="D67" s="434"/>
      <c r="E67" s="422"/>
      <c r="F67" s="423"/>
    </row>
    <row r="68" spans="2:36">
      <c r="B68" s="419"/>
      <c r="C68" s="418" t="s">
        <v>118</v>
      </c>
      <c r="D68" s="424" t="s">
        <v>106</v>
      </c>
      <c r="E68" s="422"/>
      <c r="F68" s="423"/>
    </row>
    <row r="69" spans="2:36">
      <c r="B69" s="419"/>
      <c r="C69" s="418" t="s">
        <v>107</v>
      </c>
      <c r="D69" s="427"/>
      <c r="E69" s="422"/>
      <c r="F69" s="423"/>
    </row>
    <row r="70" spans="2:36">
      <c r="B70" s="419"/>
      <c r="C70" s="418" t="s">
        <v>119</v>
      </c>
      <c r="D70" s="424">
        <v>40659000</v>
      </c>
      <c r="E70" s="422"/>
      <c r="F70" s="423"/>
    </row>
    <row r="71" spans="2:36">
      <c r="B71" s="419"/>
      <c r="C71" s="418"/>
      <c r="D71" s="433"/>
      <c r="E71" s="422"/>
      <c r="F71" s="423"/>
    </row>
    <row r="72" spans="2:36">
      <c r="B72" s="419"/>
      <c r="C72" s="418" t="s">
        <v>223</v>
      </c>
      <c r="D72" s="426" t="s">
        <v>702</v>
      </c>
      <c r="E72" s="422"/>
      <c r="F72" s="423"/>
    </row>
    <row r="73" spans="2:36" ht="39" customHeight="1">
      <c r="B73" s="419"/>
      <c r="C73" s="418" t="s">
        <v>62</v>
      </c>
      <c r="D73" s="490" t="s">
        <v>704</v>
      </c>
      <c r="E73" s="422"/>
      <c r="F73" s="423"/>
    </row>
    <row r="74" spans="2:36">
      <c r="B74" s="419"/>
      <c r="C74" s="418"/>
      <c r="D74" s="433"/>
      <c r="E74" s="422"/>
      <c r="F74" s="423"/>
    </row>
    <row r="75" spans="2:36">
      <c r="B75" s="419"/>
      <c r="C75" s="418" t="s">
        <v>61</v>
      </c>
      <c r="D75" s="427">
        <v>0.5</v>
      </c>
      <c r="E75" s="422"/>
      <c r="F75" s="423"/>
    </row>
    <row r="76" spans="2:36">
      <c r="B76" s="419"/>
      <c r="C76" s="418"/>
      <c r="D76" s="433" t="s">
        <v>2</v>
      </c>
      <c r="E76" s="422"/>
      <c r="F76" s="423"/>
    </row>
    <row r="77" spans="2:36">
      <c r="B77" s="419"/>
      <c r="C77" s="428"/>
      <c r="D77" s="421"/>
      <c r="E77" s="422"/>
      <c r="F77" s="423"/>
    </row>
    <row r="78" spans="2:36" ht="15.75" thickBot="1">
      <c r="B78" s="429"/>
      <c r="C78" s="430"/>
      <c r="D78" s="431"/>
      <c r="E78" s="430"/>
      <c r="F78" s="432"/>
    </row>
    <row r="79" spans="2:36">
      <c r="H79" t="s">
        <v>705</v>
      </c>
      <c r="I79" t="s">
        <v>417</v>
      </c>
      <c r="J79" t="s">
        <v>418</v>
      </c>
      <c r="K79" t="s">
        <v>419</v>
      </c>
      <c r="L79" t="s">
        <v>420</v>
      </c>
      <c r="M79" t="s">
        <v>421</v>
      </c>
      <c r="N79" t="s">
        <v>422</v>
      </c>
      <c r="O79" t="s">
        <v>423</v>
      </c>
      <c r="P79" t="s">
        <v>424</v>
      </c>
      <c r="Q79" t="s">
        <v>425</v>
      </c>
      <c r="R79" t="s">
        <v>426</v>
      </c>
      <c r="S79" t="s">
        <v>427</v>
      </c>
      <c r="T79" t="s">
        <v>428</v>
      </c>
      <c r="U79" t="s">
        <v>429</v>
      </c>
      <c r="V79" t="s">
        <v>430</v>
      </c>
      <c r="W79" t="s">
        <v>431</v>
      </c>
      <c r="X79" t="s">
        <v>432</v>
      </c>
      <c r="Y79" t="s">
        <v>433</v>
      </c>
      <c r="Z79" t="s">
        <v>434</v>
      </c>
      <c r="AA79" t="s">
        <v>435</v>
      </c>
      <c r="AB79" t="s">
        <v>436</v>
      </c>
      <c r="AC79" t="s">
        <v>437</v>
      </c>
      <c r="AD79" t="s">
        <v>438</v>
      </c>
      <c r="AE79" t="s">
        <v>439</v>
      </c>
      <c r="AF79" t="s">
        <v>440</v>
      </c>
      <c r="AG79" t="s">
        <v>441</v>
      </c>
      <c r="AH79" t="s">
        <v>442</v>
      </c>
      <c r="AI79" t="s">
        <v>443</v>
      </c>
      <c r="AJ79" t="s">
        <v>444</v>
      </c>
    </row>
    <row r="80" spans="2:36">
      <c r="H80" s="491"/>
      <c r="I80">
        <v>45600</v>
      </c>
      <c r="J80">
        <f>I80</f>
        <v>45600</v>
      </c>
      <c r="K80">
        <f t="shared" ref="K80:W80" si="0">J80</f>
        <v>45600</v>
      </c>
      <c r="L80">
        <f t="shared" si="0"/>
        <v>45600</v>
      </c>
      <c r="M80">
        <f t="shared" si="0"/>
        <v>45600</v>
      </c>
      <c r="N80">
        <f t="shared" si="0"/>
        <v>45600</v>
      </c>
      <c r="O80">
        <f t="shared" si="0"/>
        <v>45600</v>
      </c>
      <c r="P80">
        <f t="shared" si="0"/>
        <v>45600</v>
      </c>
      <c r="Q80">
        <f t="shared" si="0"/>
        <v>45600</v>
      </c>
      <c r="R80">
        <f t="shared" si="0"/>
        <v>45600</v>
      </c>
      <c r="S80">
        <f t="shared" si="0"/>
        <v>45600</v>
      </c>
      <c r="T80">
        <f t="shared" si="0"/>
        <v>45600</v>
      </c>
      <c r="U80">
        <f t="shared" si="0"/>
        <v>45600</v>
      </c>
      <c r="V80">
        <f t="shared" si="0"/>
        <v>45600</v>
      </c>
      <c r="W80">
        <f t="shared" si="0"/>
        <v>45600</v>
      </c>
    </row>
    <row r="81" spans="8:36">
      <c r="H81" s="491"/>
      <c r="I81">
        <v>615000</v>
      </c>
      <c r="J81">
        <f t="shared" ref="J81:AG83" si="1">I81</f>
        <v>615000</v>
      </c>
      <c r="K81">
        <f t="shared" si="1"/>
        <v>615000</v>
      </c>
      <c r="L81">
        <f t="shared" si="1"/>
        <v>615000</v>
      </c>
      <c r="M81">
        <f t="shared" si="1"/>
        <v>615000</v>
      </c>
      <c r="N81">
        <f t="shared" si="1"/>
        <v>615000</v>
      </c>
      <c r="O81">
        <f t="shared" si="1"/>
        <v>615000</v>
      </c>
      <c r="P81">
        <f t="shared" si="1"/>
        <v>615000</v>
      </c>
      <c r="Q81">
        <f t="shared" si="1"/>
        <v>615000</v>
      </c>
      <c r="R81">
        <f t="shared" si="1"/>
        <v>615000</v>
      </c>
      <c r="S81">
        <f t="shared" si="1"/>
        <v>615000</v>
      </c>
      <c r="T81">
        <f t="shared" si="1"/>
        <v>615000</v>
      </c>
      <c r="U81">
        <f t="shared" si="1"/>
        <v>615000</v>
      </c>
      <c r="V81">
        <f t="shared" si="1"/>
        <v>615000</v>
      </c>
      <c r="W81">
        <f t="shared" si="1"/>
        <v>615000</v>
      </c>
      <c r="X81">
        <f t="shared" si="1"/>
        <v>615000</v>
      </c>
      <c r="Y81">
        <f t="shared" si="1"/>
        <v>615000</v>
      </c>
      <c r="Z81">
        <f t="shared" si="1"/>
        <v>615000</v>
      </c>
      <c r="AA81">
        <f t="shared" si="1"/>
        <v>615000</v>
      </c>
      <c r="AB81">
        <f t="shared" si="1"/>
        <v>615000</v>
      </c>
      <c r="AC81">
        <f t="shared" si="1"/>
        <v>615000</v>
      </c>
      <c r="AD81">
        <f t="shared" si="1"/>
        <v>615000</v>
      </c>
      <c r="AE81">
        <f t="shared" si="1"/>
        <v>615000</v>
      </c>
      <c r="AF81">
        <f t="shared" si="1"/>
        <v>615000</v>
      </c>
      <c r="AG81">
        <f t="shared" si="1"/>
        <v>615000</v>
      </c>
    </row>
    <row r="82" spans="8:36">
      <c r="L82">
        <v>615000</v>
      </c>
      <c r="M82">
        <f t="shared" si="1"/>
        <v>615000</v>
      </c>
      <c r="N82">
        <f t="shared" si="1"/>
        <v>615000</v>
      </c>
      <c r="O82">
        <f t="shared" si="1"/>
        <v>615000</v>
      </c>
      <c r="P82">
        <f t="shared" si="1"/>
        <v>615000</v>
      </c>
      <c r="Q82">
        <f t="shared" si="1"/>
        <v>615000</v>
      </c>
      <c r="R82">
        <f t="shared" si="1"/>
        <v>615000</v>
      </c>
      <c r="S82">
        <f t="shared" si="1"/>
        <v>615000</v>
      </c>
      <c r="T82">
        <f t="shared" si="1"/>
        <v>615000</v>
      </c>
      <c r="U82">
        <f t="shared" si="1"/>
        <v>615000</v>
      </c>
      <c r="V82">
        <f t="shared" si="1"/>
        <v>615000</v>
      </c>
      <c r="W82">
        <f t="shared" si="1"/>
        <v>615000</v>
      </c>
      <c r="X82">
        <f t="shared" si="1"/>
        <v>615000</v>
      </c>
      <c r="Y82">
        <f t="shared" si="1"/>
        <v>615000</v>
      </c>
      <c r="Z82">
        <f t="shared" si="1"/>
        <v>615000</v>
      </c>
      <c r="AA82">
        <f t="shared" si="1"/>
        <v>615000</v>
      </c>
      <c r="AB82">
        <f t="shared" si="1"/>
        <v>615000</v>
      </c>
      <c r="AC82">
        <f t="shared" si="1"/>
        <v>615000</v>
      </c>
      <c r="AD82">
        <f t="shared" si="1"/>
        <v>615000</v>
      </c>
      <c r="AE82">
        <f t="shared" si="1"/>
        <v>615000</v>
      </c>
      <c r="AF82">
        <f t="shared" si="1"/>
        <v>615000</v>
      </c>
      <c r="AG82">
        <f t="shared" si="1"/>
        <v>615000</v>
      </c>
      <c r="AH82">
        <f t="shared" ref="AH82:AJ83" si="2">AG82</f>
        <v>615000</v>
      </c>
      <c r="AI82">
        <f t="shared" si="2"/>
        <v>615000</v>
      </c>
      <c r="AJ82">
        <f t="shared" si="2"/>
        <v>615000</v>
      </c>
    </row>
    <row r="83" spans="8:36">
      <c r="L83">
        <v>369000</v>
      </c>
      <c r="M83">
        <f t="shared" si="1"/>
        <v>369000</v>
      </c>
      <c r="N83">
        <f t="shared" si="1"/>
        <v>369000</v>
      </c>
      <c r="O83">
        <f t="shared" si="1"/>
        <v>369000</v>
      </c>
      <c r="P83">
        <f t="shared" si="1"/>
        <v>369000</v>
      </c>
      <c r="Q83">
        <f t="shared" si="1"/>
        <v>369000</v>
      </c>
      <c r="R83">
        <f t="shared" si="1"/>
        <v>369000</v>
      </c>
      <c r="S83">
        <f t="shared" si="1"/>
        <v>369000</v>
      </c>
      <c r="T83">
        <f t="shared" si="1"/>
        <v>369000</v>
      </c>
      <c r="U83">
        <f t="shared" si="1"/>
        <v>369000</v>
      </c>
      <c r="V83">
        <f t="shared" si="1"/>
        <v>369000</v>
      </c>
      <c r="W83">
        <f t="shared" si="1"/>
        <v>369000</v>
      </c>
      <c r="X83">
        <f t="shared" si="1"/>
        <v>369000</v>
      </c>
      <c r="Y83">
        <f t="shared" si="1"/>
        <v>369000</v>
      </c>
      <c r="Z83">
        <f t="shared" si="1"/>
        <v>369000</v>
      </c>
      <c r="AA83">
        <f t="shared" si="1"/>
        <v>369000</v>
      </c>
      <c r="AB83">
        <f t="shared" si="1"/>
        <v>369000</v>
      </c>
      <c r="AC83">
        <f t="shared" si="1"/>
        <v>369000</v>
      </c>
      <c r="AD83">
        <f t="shared" si="1"/>
        <v>369000</v>
      </c>
      <c r="AE83">
        <f t="shared" si="1"/>
        <v>369000</v>
      </c>
      <c r="AF83">
        <f t="shared" si="1"/>
        <v>369000</v>
      </c>
      <c r="AG83">
        <f t="shared" si="1"/>
        <v>369000</v>
      </c>
      <c r="AH83">
        <f t="shared" si="2"/>
        <v>369000</v>
      </c>
      <c r="AI83">
        <f t="shared" si="2"/>
        <v>369000</v>
      </c>
      <c r="AJ83">
        <f t="shared" si="2"/>
        <v>369000</v>
      </c>
    </row>
    <row r="84" spans="8:36">
      <c r="H84" s="573">
        <f>SUM(I84:AJ84)</f>
        <v>40659000</v>
      </c>
      <c r="I84">
        <f>SUM(I80:I83)</f>
        <v>660600</v>
      </c>
      <c r="J84">
        <f t="shared" ref="J84:AJ84" si="3">SUM(J80:J83)</f>
        <v>660600</v>
      </c>
      <c r="K84">
        <f t="shared" si="3"/>
        <v>660600</v>
      </c>
      <c r="L84">
        <f t="shared" si="3"/>
        <v>1644600</v>
      </c>
      <c r="M84">
        <f t="shared" si="3"/>
        <v>1644600</v>
      </c>
      <c r="N84">
        <f t="shared" si="3"/>
        <v>1644600</v>
      </c>
      <c r="O84">
        <f t="shared" si="3"/>
        <v>1644600</v>
      </c>
      <c r="P84">
        <f t="shared" si="3"/>
        <v>1644600</v>
      </c>
      <c r="Q84">
        <f t="shared" si="3"/>
        <v>1644600</v>
      </c>
      <c r="R84">
        <f t="shared" si="3"/>
        <v>1644600</v>
      </c>
      <c r="S84">
        <f t="shared" si="3"/>
        <v>1644600</v>
      </c>
      <c r="T84">
        <f t="shared" si="3"/>
        <v>1644600</v>
      </c>
      <c r="U84">
        <f t="shared" si="3"/>
        <v>1644600</v>
      </c>
      <c r="V84">
        <f t="shared" si="3"/>
        <v>1644600</v>
      </c>
      <c r="W84">
        <f t="shared" si="3"/>
        <v>1644600</v>
      </c>
      <c r="X84">
        <f t="shared" si="3"/>
        <v>1599000</v>
      </c>
      <c r="Y84">
        <f t="shared" si="3"/>
        <v>1599000</v>
      </c>
      <c r="Z84">
        <f t="shared" si="3"/>
        <v>1599000</v>
      </c>
      <c r="AA84">
        <f t="shared" si="3"/>
        <v>1599000</v>
      </c>
      <c r="AB84">
        <f t="shared" si="3"/>
        <v>1599000</v>
      </c>
      <c r="AC84">
        <f t="shared" si="3"/>
        <v>1599000</v>
      </c>
      <c r="AD84">
        <f t="shared" si="3"/>
        <v>1599000</v>
      </c>
      <c r="AE84">
        <f t="shared" si="3"/>
        <v>1599000</v>
      </c>
      <c r="AF84">
        <f t="shared" si="3"/>
        <v>1599000</v>
      </c>
      <c r="AG84">
        <f t="shared" si="3"/>
        <v>1599000</v>
      </c>
      <c r="AH84">
        <f t="shared" si="3"/>
        <v>984000</v>
      </c>
      <c r="AI84">
        <f t="shared" si="3"/>
        <v>984000</v>
      </c>
      <c r="AJ84">
        <f t="shared" si="3"/>
        <v>984000</v>
      </c>
    </row>
  </sheetData>
  <phoneticPr fontId="19" type="noConversion"/>
  <dataValidations count="7">
    <dataValidation type="list" allowBlank="1" showInputMessage="1" showErrorMessage="1" sqref="D60">
      <formula1>$D$61:$D$64</formula1>
    </dataValidation>
    <dataValidation type="list" allowBlank="1" showInputMessage="1" showErrorMessage="1" sqref="D54">
      <formula1>$D$56:$D$58</formula1>
    </dataValidation>
    <dataValidation type="list" allowBlank="1" showInputMessage="1" showErrorMessage="1" sqref="D23">
      <formula1>$D$25:$D$39</formula1>
    </dataValidation>
    <dataValidation type="list" allowBlank="1" showInputMessage="1" showErrorMessage="1" sqref="D47">
      <formula1>$D$48:$D$51</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formula1>$D$28:$D$32</formula1>
    </dataValidation>
  </dataValidations>
  <pageMargins left="0.7" right="0.7" top="0.75" bottom="0.75" header="0.3" footer="0.3"/>
  <pageSetup paperSize="9" scale="20" orientation="portrait" copies="2" r:id="rId1"/>
</worksheet>
</file>

<file path=xl/worksheets/sheet63.xml><?xml version="1.0" encoding="utf-8"?>
<worksheet xmlns="http://schemas.openxmlformats.org/spreadsheetml/2006/main" xmlns:r="http://schemas.openxmlformats.org/officeDocument/2006/relationships">
  <sheetPr>
    <pageSetUpPr fitToPage="1"/>
  </sheetPr>
  <dimension ref="B1:T78"/>
  <sheetViews>
    <sheetView topLeftCell="A9" zoomScale="75" zoomScaleNormal="75" workbookViewId="0">
      <selection activeCell="F78" sqref="B1:F78"/>
    </sheetView>
  </sheetViews>
  <sheetFormatPr defaultRowHeight="15"/>
  <cols>
    <col min="1" max="2" width="3.7109375" customWidth="1"/>
    <col min="3" max="3" width="61.42578125" bestFit="1" customWidth="1"/>
    <col min="4" max="4" width="48.140625" style="26" customWidth="1"/>
    <col min="5" max="5" width="5.85546875" bestFit="1" customWidth="1"/>
    <col min="6" max="7" width="3.7109375" customWidth="1"/>
    <col min="8" max="8" width="11.42578125" customWidth="1"/>
    <col min="9" max="9" width="9.28515625" bestFit="1" customWidth="1"/>
    <col min="10" max="13" width="10.42578125" bestFit="1" customWidth="1"/>
    <col min="14" max="18" width="9.28515625" bestFit="1" customWidth="1"/>
    <col min="20" max="20" width="11" customWidth="1"/>
    <col min="24" max="24" width="9.28515625" bestFit="1" customWidth="1"/>
  </cols>
  <sheetData>
    <row r="1" spans="2:18" ht="18.75">
      <c r="B1" s="25" t="s">
        <v>60</v>
      </c>
      <c r="D1" s="34"/>
    </row>
    <row r="2" spans="2:18" ht="18.75">
      <c r="B2" s="25" t="s">
        <v>347</v>
      </c>
      <c r="D2" s="34"/>
    </row>
    <row r="3" spans="2:18" ht="18.75">
      <c r="B3" s="280" t="s">
        <v>467</v>
      </c>
      <c r="D3" s="34"/>
    </row>
    <row r="4" spans="2:18" ht="19.5" thickBot="1">
      <c r="B4" s="25"/>
      <c r="C4" s="33"/>
      <c r="D4" s="34"/>
    </row>
    <row r="5" spans="2:18" ht="19.5" customHeight="1">
      <c r="B5" s="356"/>
      <c r="C5" s="386" t="s">
        <v>105</v>
      </c>
      <c r="D5" s="379"/>
      <c r="E5" s="359"/>
      <c r="F5" s="360"/>
    </row>
    <row r="6" spans="2:18" ht="38.25" customHeight="1">
      <c r="B6" s="361"/>
      <c r="C6" s="555" t="s">
        <v>468</v>
      </c>
      <c r="D6" s="380"/>
      <c r="E6" s="364"/>
      <c r="F6" s="365"/>
    </row>
    <row r="7" spans="2:18" ht="18.75">
      <c r="B7" s="361"/>
      <c r="C7" s="555" t="s">
        <v>104</v>
      </c>
      <c r="D7" s="380"/>
      <c r="E7" s="364"/>
      <c r="F7" s="365"/>
    </row>
    <row r="8" spans="2:18" s="32" customFormat="1">
      <c r="B8" s="366"/>
      <c r="C8" s="388"/>
      <c r="D8" s="381"/>
      <c r="E8" s="369"/>
      <c r="F8" s="370"/>
    </row>
    <row r="9" spans="2:18" s="32" customFormat="1">
      <c r="B9" s="366"/>
      <c r="C9" s="388" t="s">
        <v>103</v>
      </c>
      <c r="D9" s="382"/>
      <c r="E9" s="369"/>
      <c r="F9" s="370"/>
    </row>
    <row r="10" spans="2:18" s="32" customFormat="1">
      <c r="B10" s="366"/>
      <c r="C10" s="388" t="s">
        <v>102</v>
      </c>
      <c r="D10" s="453" t="s">
        <v>445</v>
      </c>
      <c r="E10" s="369"/>
      <c r="F10" s="370"/>
      <c r="G10" s="493"/>
    </row>
    <row r="11" spans="2:18" s="32" customFormat="1">
      <c r="B11" s="366"/>
      <c r="C11" s="388" t="s">
        <v>109</v>
      </c>
      <c r="D11" s="389">
        <v>40644</v>
      </c>
      <c r="E11" s="369"/>
      <c r="F11" s="370"/>
      <c r="G11" s="493"/>
    </row>
    <row r="12" spans="2:18" s="32" customFormat="1">
      <c r="B12" s="366"/>
      <c r="C12" s="388" t="s">
        <v>101</v>
      </c>
      <c r="D12" s="389">
        <v>40816</v>
      </c>
      <c r="E12" s="369"/>
      <c r="F12" s="370"/>
      <c r="G12" s="65"/>
      <c r="H12"/>
      <c r="I12"/>
      <c r="J12"/>
      <c r="K12"/>
      <c r="L12"/>
      <c r="M12"/>
      <c r="N12"/>
      <c r="O12"/>
      <c r="P12"/>
      <c r="Q12"/>
      <c r="R12"/>
    </row>
    <row r="13" spans="2:18" s="32" customFormat="1">
      <c r="B13" s="366"/>
      <c r="C13" s="388"/>
      <c r="D13" s="381"/>
      <c r="E13" s="369"/>
      <c r="F13" s="370"/>
      <c r="G13" s="65"/>
      <c r="H13"/>
      <c r="I13"/>
      <c r="J13"/>
      <c r="K13"/>
      <c r="L13"/>
      <c r="M13"/>
      <c r="N13"/>
      <c r="O13"/>
      <c r="P13"/>
      <c r="Q13"/>
      <c r="R13"/>
    </row>
    <row r="14" spans="2:18">
      <c r="B14" s="361"/>
      <c r="C14" s="388" t="s">
        <v>100</v>
      </c>
      <c r="D14" s="383" t="s">
        <v>99</v>
      </c>
      <c r="E14" s="374" t="s">
        <v>96</v>
      </c>
      <c r="F14" s="365"/>
      <c r="G14" s="65"/>
      <c r="H14" s="517"/>
      <c r="I14" s="517"/>
      <c r="J14" s="517"/>
    </row>
    <row r="15" spans="2:18">
      <c r="B15" s="361"/>
      <c r="C15" s="364"/>
      <c r="D15" s="383" t="s">
        <v>98</v>
      </c>
      <c r="E15" s="374"/>
      <c r="F15" s="365"/>
      <c r="G15" s="65"/>
    </row>
    <row r="16" spans="2:18">
      <c r="B16" s="361"/>
      <c r="C16" s="364"/>
      <c r="D16" s="383" t="s">
        <v>97</v>
      </c>
      <c r="E16" s="375"/>
      <c r="F16" s="365"/>
      <c r="G16" s="65"/>
    </row>
    <row r="17" spans="2:7">
      <c r="B17" s="361"/>
      <c r="C17" s="364"/>
      <c r="D17" s="383" t="s">
        <v>45</v>
      </c>
      <c r="E17" s="374"/>
      <c r="F17" s="365"/>
      <c r="G17" s="65"/>
    </row>
    <row r="18" spans="2:7">
      <c r="B18" s="361"/>
      <c r="C18" s="364"/>
      <c r="D18" s="383" t="s">
        <v>95</v>
      </c>
      <c r="E18" s="374"/>
      <c r="F18" s="365"/>
      <c r="G18" s="65"/>
    </row>
    <row r="19" spans="2:7">
      <c r="B19" s="361"/>
      <c r="C19" s="364"/>
      <c r="D19" s="383" t="s">
        <v>66</v>
      </c>
      <c r="E19" s="374"/>
      <c r="F19" s="365"/>
      <c r="G19" s="65"/>
    </row>
    <row r="20" spans="2:7">
      <c r="B20" s="361"/>
      <c r="C20" s="364"/>
      <c r="D20" s="380"/>
      <c r="E20" s="364"/>
      <c r="F20" s="365"/>
      <c r="G20" s="65"/>
    </row>
    <row r="21" spans="2:7">
      <c r="B21" s="361"/>
      <c r="C21" s="376" t="s">
        <v>65</v>
      </c>
      <c r="D21" s="382"/>
      <c r="E21" s="364"/>
      <c r="F21" s="365"/>
      <c r="G21" s="65"/>
    </row>
    <row r="22" spans="2:7">
      <c r="B22" s="361"/>
      <c r="C22" s="377"/>
      <c r="D22" s="380"/>
      <c r="E22" s="364"/>
      <c r="F22" s="365"/>
      <c r="G22" s="65"/>
    </row>
    <row r="23" spans="2:7">
      <c r="B23" s="361"/>
      <c r="C23" s="388" t="s">
        <v>94</v>
      </c>
      <c r="D23" s="382" t="s">
        <v>92</v>
      </c>
      <c r="E23" s="364"/>
      <c r="F23" s="365"/>
      <c r="G23" s="65"/>
    </row>
    <row r="24" spans="2:7" hidden="1">
      <c r="B24" s="361"/>
      <c r="C24" s="388"/>
      <c r="D24" s="382"/>
      <c r="E24" s="364"/>
      <c r="F24" s="365"/>
      <c r="G24" s="65"/>
    </row>
    <row r="25" spans="2:7" hidden="1">
      <c r="B25" s="361"/>
      <c r="C25" s="388"/>
      <c r="D25" s="371" t="s">
        <v>93</v>
      </c>
      <c r="E25" s="364"/>
      <c r="F25" s="365"/>
      <c r="G25" s="65"/>
    </row>
    <row r="26" spans="2:7" hidden="1">
      <c r="B26" s="361"/>
      <c r="C26" s="388"/>
      <c r="D26" s="371" t="s">
        <v>58</v>
      </c>
      <c r="E26" s="364"/>
      <c r="F26" s="365"/>
      <c r="G26" s="65"/>
    </row>
    <row r="27" spans="2:7" hidden="1">
      <c r="B27" s="361"/>
      <c r="C27" s="388"/>
      <c r="D27" s="371" t="s">
        <v>92</v>
      </c>
      <c r="E27" s="364"/>
      <c r="F27" s="365"/>
      <c r="G27" s="65"/>
    </row>
    <row r="28" spans="2:7" hidden="1">
      <c r="B28" s="361"/>
      <c r="C28" s="388"/>
      <c r="D28" s="371" t="s">
        <v>91</v>
      </c>
      <c r="E28" s="364"/>
      <c r="F28" s="365"/>
      <c r="G28" s="65"/>
    </row>
    <row r="29" spans="2:7" hidden="1">
      <c r="B29" s="361"/>
      <c r="C29" s="388"/>
      <c r="D29" s="371" t="s">
        <v>90</v>
      </c>
      <c r="E29" s="364"/>
      <c r="F29" s="365"/>
      <c r="G29" s="65"/>
    </row>
    <row r="30" spans="2:7" hidden="1">
      <c r="B30" s="361"/>
      <c r="C30" s="388"/>
      <c r="D30" s="371" t="s">
        <v>89</v>
      </c>
      <c r="E30" s="364"/>
      <c r="F30" s="365"/>
      <c r="G30" s="65"/>
    </row>
    <row r="31" spans="2:7" hidden="1">
      <c r="B31" s="361"/>
      <c r="C31" s="388"/>
      <c r="D31" s="371" t="s">
        <v>88</v>
      </c>
      <c r="E31" s="364"/>
      <c r="F31" s="365"/>
      <c r="G31" s="65"/>
    </row>
    <row r="32" spans="2:7" hidden="1">
      <c r="B32" s="361"/>
      <c r="C32" s="388"/>
      <c r="D32" s="371" t="s">
        <v>87</v>
      </c>
      <c r="E32" s="364"/>
      <c r="F32" s="365"/>
      <c r="G32" s="65"/>
    </row>
    <row r="33" spans="2:7" hidden="1">
      <c r="B33" s="361"/>
      <c r="C33" s="388"/>
      <c r="D33" s="371" t="s">
        <v>86</v>
      </c>
      <c r="E33" s="364"/>
      <c r="F33" s="365"/>
      <c r="G33" s="65"/>
    </row>
    <row r="34" spans="2:7" hidden="1">
      <c r="B34" s="361"/>
      <c r="C34" s="388"/>
      <c r="D34" s="371" t="s">
        <v>85</v>
      </c>
      <c r="E34" s="364"/>
      <c r="F34" s="365"/>
      <c r="G34" s="65"/>
    </row>
    <row r="35" spans="2:7" hidden="1">
      <c r="B35" s="361"/>
      <c r="C35" s="388"/>
      <c r="D35" s="371" t="s">
        <v>84</v>
      </c>
      <c r="E35" s="364"/>
      <c r="F35" s="365"/>
      <c r="G35" s="65"/>
    </row>
    <row r="36" spans="2:7" hidden="1">
      <c r="B36" s="361"/>
      <c r="C36" s="388"/>
      <c r="D36" s="371" t="s">
        <v>83</v>
      </c>
      <c r="E36" s="364"/>
      <c r="F36" s="365"/>
      <c r="G36" s="65"/>
    </row>
    <row r="37" spans="2:7" hidden="1">
      <c r="B37" s="361"/>
      <c r="C37" s="388"/>
      <c r="D37" s="371" t="s">
        <v>82</v>
      </c>
      <c r="E37" s="364"/>
      <c r="F37" s="365"/>
      <c r="G37" s="65"/>
    </row>
    <row r="38" spans="2:7" hidden="1">
      <c r="B38" s="361"/>
      <c r="C38" s="388"/>
      <c r="D38" s="371" t="s">
        <v>81</v>
      </c>
      <c r="E38" s="364"/>
      <c r="F38" s="365"/>
      <c r="G38" s="65"/>
    </row>
    <row r="39" spans="2:7" hidden="1">
      <c r="B39" s="361"/>
      <c r="C39" s="388"/>
      <c r="D39" s="378" t="s">
        <v>66</v>
      </c>
      <c r="E39" s="364"/>
      <c r="F39" s="365"/>
      <c r="G39" s="65"/>
    </row>
    <row r="40" spans="2:7">
      <c r="B40" s="361"/>
      <c r="C40" s="388"/>
      <c r="D40" s="380"/>
      <c r="E40" s="364"/>
      <c r="F40" s="365"/>
      <c r="G40" s="65"/>
    </row>
    <row r="41" spans="2:7">
      <c r="B41" s="361"/>
      <c r="C41" s="376" t="s">
        <v>65</v>
      </c>
      <c r="D41" s="382"/>
      <c r="E41" s="364"/>
      <c r="F41" s="365"/>
      <c r="G41" s="65"/>
    </row>
    <row r="42" spans="2:7">
      <c r="B42" s="361"/>
      <c r="C42" s="377"/>
      <c r="D42" s="380"/>
      <c r="E42" s="364"/>
      <c r="F42" s="365"/>
      <c r="G42" s="65"/>
    </row>
    <row r="43" spans="2:7" ht="18.75">
      <c r="B43" s="392"/>
      <c r="C43" s="405" t="s">
        <v>80</v>
      </c>
      <c r="D43" s="404"/>
      <c r="E43" s="395"/>
      <c r="F43" s="396"/>
      <c r="G43" s="65"/>
    </row>
    <row r="44" spans="2:7">
      <c r="B44" s="392"/>
      <c r="C44" s="406" t="s">
        <v>79</v>
      </c>
      <c r="D44" s="399" t="s">
        <v>693</v>
      </c>
      <c r="E44" s="395"/>
      <c r="F44" s="396"/>
      <c r="G44" s="65"/>
    </row>
    <row r="45" spans="2:7">
      <c r="B45" s="392"/>
      <c r="C45" s="406" t="s">
        <v>78</v>
      </c>
      <c r="D45" s="399" t="s">
        <v>693</v>
      </c>
      <c r="E45" s="395"/>
      <c r="F45" s="396"/>
      <c r="G45" s="65"/>
    </row>
    <row r="46" spans="2:7" ht="30">
      <c r="B46" s="392"/>
      <c r="C46" s="407" t="s">
        <v>77</v>
      </c>
      <c r="D46" s="399" t="s">
        <v>693</v>
      </c>
      <c r="E46" s="395"/>
      <c r="F46" s="396"/>
      <c r="G46" s="65"/>
    </row>
    <row r="47" spans="2:7" ht="30">
      <c r="B47" s="392"/>
      <c r="C47" s="400" t="s">
        <v>76</v>
      </c>
      <c r="D47" s="399" t="s">
        <v>278</v>
      </c>
      <c r="E47" s="401"/>
      <c r="F47" s="396"/>
      <c r="G47" s="65"/>
    </row>
    <row r="48" spans="2:7" hidden="1">
      <c r="B48" s="392"/>
      <c r="C48" s="400"/>
      <c r="D48" s="402" t="s">
        <v>209</v>
      </c>
      <c r="E48" s="395"/>
      <c r="F48" s="396"/>
      <c r="G48" s="65"/>
    </row>
    <row r="49" spans="2:7" hidden="1">
      <c r="B49" s="392"/>
      <c r="C49" s="400"/>
      <c r="D49" s="402" t="s">
        <v>277</v>
      </c>
      <c r="E49" s="395"/>
      <c r="F49" s="396"/>
      <c r="G49" s="65"/>
    </row>
    <row r="50" spans="2:7" hidden="1">
      <c r="B50" s="392"/>
      <c r="C50" s="400"/>
      <c r="D50" s="402" t="s">
        <v>276</v>
      </c>
      <c r="E50" s="395"/>
      <c r="F50" s="396"/>
      <c r="G50" s="65"/>
    </row>
    <row r="51" spans="2:7" hidden="1">
      <c r="B51" s="392"/>
      <c r="C51" s="400"/>
      <c r="D51" s="402" t="s">
        <v>278</v>
      </c>
      <c r="E51" s="395"/>
      <c r="F51" s="396"/>
      <c r="G51" s="65"/>
    </row>
    <row r="52" spans="2:7">
      <c r="B52" s="392"/>
      <c r="C52" s="408"/>
      <c r="D52" s="404"/>
      <c r="E52" s="395"/>
      <c r="F52" s="396"/>
      <c r="G52" s="65"/>
    </row>
    <row r="53" spans="2:7" ht="18.75">
      <c r="B53" s="346"/>
      <c r="C53" s="416" t="s">
        <v>75</v>
      </c>
      <c r="D53" s="412"/>
      <c r="E53" s="349"/>
      <c r="F53" s="350"/>
      <c r="G53" s="65"/>
    </row>
    <row r="54" spans="2:7">
      <c r="B54" s="346"/>
      <c r="C54" s="417" t="s">
        <v>74</v>
      </c>
      <c r="D54" s="413" t="s">
        <v>72</v>
      </c>
      <c r="E54" s="349"/>
      <c r="F54" s="350"/>
      <c r="G54" s="65"/>
    </row>
    <row r="55" spans="2:7" hidden="1">
      <c r="B55" s="346"/>
      <c r="C55" s="355"/>
      <c r="D55" s="414"/>
      <c r="E55" s="349"/>
      <c r="F55" s="350"/>
      <c r="G55" s="65"/>
    </row>
    <row r="56" spans="2:7" hidden="1">
      <c r="B56" s="346"/>
      <c r="C56" s="355"/>
      <c r="D56" s="413" t="s">
        <v>73</v>
      </c>
      <c r="E56" s="349"/>
      <c r="F56" s="350"/>
      <c r="G56" s="65"/>
    </row>
    <row r="57" spans="2:7" hidden="1">
      <c r="B57" s="346"/>
      <c r="C57" s="355"/>
      <c r="D57" s="413" t="s">
        <v>72</v>
      </c>
      <c r="E57" s="349"/>
      <c r="F57" s="350"/>
      <c r="G57" s="65"/>
    </row>
    <row r="58" spans="2:7" hidden="1">
      <c r="B58" s="346"/>
      <c r="C58" s="355"/>
      <c r="D58" s="413" t="s">
        <v>71</v>
      </c>
      <c r="E58" s="349"/>
      <c r="F58" s="350"/>
    </row>
    <row r="59" spans="2:7">
      <c r="B59" s="346"/>
      <c r="C59" s="417"/>
      <c r="D59" s="412"/>
      <c r="E59" s="349"/>
      <c r="F59" s="350"/>
    </row>
    <row r="60" spans="2:7">
      <c r="B60" s="346"/>
      <c r="C60" s="417" t="s">
        <v>70</v>
      </c>
      <c r="D60" s="413" t="s">
        <v>67</v>
      </c>
      <c r="E60" s="349"/>
      <c r="F60" s="350"/>
    </row>
    <row r="61" spans="2:7" hidden="1">
      <c r="B61" s="346"/>
      <c r="C61" s="417"/>
      <c r="D61" s="415" t="s">
        <v>69</v>
      </c>
      <c r="E61" s="411"/>
      <c r="F61" s="350"/>
    </row>
    <row r="62" spans="2:7" hidden="1">
      <c r="B62" s="346"/>
      <c r="C62" s="417"/>
      <c r="D62" s="415" t="s">
        <v>68</v>
      </c>
      <c r="E62" s="411"/>
      <c r="F62" s="350"/>
    </row>
    <row r="63" spans="2:7" hidden="1">
      <c r="B63" s="346"/>
      <c r="C63" s="417"/>
      <c r="D63" s="415" t="s">
        <v>67</v>
      </c>
      <c r="E63" s="411"/>
      <c r="F63" s="350"/>
    </row>
    <row r="64" spans="2:7" hidden="1">
      <c r="B64" s="346"/>
      <c r="C64" s="417"/>
      <c r="D64" s="415" t="s">
        <v>66</v>
      </c>
      <c r="E64" s="411"/>
      <c r="F64" s="350"/>
    </row>
    <row r="65" spans="2:20">
      <c r="B65" s="346"/>
      <c r="C65" s="354" t="s">
        <v>65</v>
      </c>
      <c r="D65" s="413"/>
      <c r="E65" s="349"/>
      <c r="F65" s="350"/>
    </row>
    <row r="66" spans="2:20">
      <c r="B66" s="346"/>
      <c r="C66" s="417"/>
      <c r="D66" s="412"/>
      <c r="E66" s="349"/>
      <c r="F66" s="350"/>
    </row>
    <row r="67" spans="2:20" ht="18.75">
      <c r="B67" s="419"/>
      <c r="C67" s="443" t="s">
        <v>64</v>
      </c>
      <c r="D67" s="434"/>
      <c r="E67" s="422"/>
      <c r="F67" s="423"/>
    </row>
    <row r="68" spans="2:20">
      <c r="B68" s="419"/>
      <c r="C68" s="444" t="s">
        <v>118</v>
      </c>
      <c r="D68" s="424" t="s">
        <v>106</v>
      </c>
      <c r="E68" s="422"/>
      <c r="F68" s="423"/>
    </row>
    <row r="69" spans="2:20">
      <c r="B69" s="419"/>
      <c r="C69" s="444" t="s">
        <v>107</v>
      </c>
      <c r="D69" s="427"/>
      <c r="E69" s="422"/>
      <c r="F69" s="423"/>
    </row>
    <row r="70" spans="2:20">
      <c r="B70" s="419"/>
      <c r="C70" s="444" t="s">
        <v>119</v>
      </c>
      <c r="D70" s="424">
        <v>97500000</v>
      </c>
      <c r="E70" s="422"/>
      <c r="F70" s="423"/>
    </row>
    <row r="71" spans="2:20">
      <c r="B71" s="419"/>
      <c r="C71" s="444"/>
      <c r="D71" s="433"/>
      <c r="E71" s="422"/>
      <c r="F71" s="423"/>
    </row>
    <row r="72" spans="2:20">
      <c r="B72" s="419"/>
      <c r="C72" s="444" t="s">
        <v>223</v>
      </c>
      <c r="D72" s="438" t="s">
        <v>697</v>
      </c>
      <c r="E72" s="422"/>
      <c r="F72" s="423"/>
    </row>
    <row r="73" spans="2:20" ht="99" customHeight="1">
      <c r="B73" s="419"/>
      <c r="C73" s="444" t="s">
        <v>62</v>
      </c>
      <c r="D73" s="426" t="s">
        <v>704</v>
      </c>
      <c r="E73" s="422"/>
      <c r="F73" s="423"/>
      <c r="H73" t="s">
        <v>705</v>
      </c>
    </row>
    <row r="74" spans="2:20">
      <c r="B74" s="419"/>
      <c r="C74" s="444"/>
      <c r="D74" s="433"/>
      <c r="E74" s="422"/>
      <c r="F74" s="423"/>
      <c r="H74">
        <v>2015</v>
      </c>
      <c r="I74">
        <v>2016</v>
      </c>
      <c r="J74">
        <v>2017</v>
      </c>
      <c r="K74">
        <v>2018</v>
      </c>
      <c r="L74">
        <v>2019</v>
      </c>
      <c r="M74">
        <v>2020</v>
      </c>
      <c r="N74">
        <v>2021</v>
      </c>
      <c r="O74">
        <v>2022</v>
      </c>
      <c r="P74">
        <v>2023</v>
      </c>
      <c r="Q74">
        <v>2024</v>
      </c>
      <c r="R74">
        <v>2025</v>
      </c>
    </row>
    <row r="75" spans="2:20">
      <c r="B75" s="419"/>
      <c r="C75" s="444" t="s">
        <v>61</v>
      </c>
      <c r="D75" s="427">
        <v>0.33300000000000002</v>
      </c>
      <c r="E75" s="422"/>
      <c r="F75" s="423"/>
      <c r="H75">
        <v>4500000</v>
      </c>
      <c r="I75">
        <v>6000000</v>
      </c>
      <c r="J75">
        <v>11200000</v>
      </c>
      <c r="K75">
        <v>10900000</v>
      </c>
      <c r="L75">
        <v>10600000</v>
      </c>
      <c r="M75">
        <v>10300000</v>
      </c>
      <c r="N75">
        <v>9800000</v>
      </c>
      <c r="O75">
        <v>9300000</v>
      </c>
      <c r="P75">
        <v>8800000</v>
      </c>
      <c r="Q75">
        <v>8300000</v>
      </c>
      <c r="R75">
        <v>7800000</v>
      </c>
      <c r="T75">
        <f>H75+I75+J75+K75+L75+M75+N75+O75+P75+Q75+R75</f>
        <v>97500000</v>
      </c>
    </row>
    <row r="76" spans="2:20">
      <c r="B76" s="419"/>
      <c r="C76" s="444"/>
      <c r="D76" s="434"/>
      <c r="E76" s="422"/>
      <c r="F76" s="423"/>
    </row>
    <row r="77" spans="2:20">
      <c r="B77" s="419"/>
      <c r="C77" s="446"/>
      <c r="D77" s="434"/>
      <c r="E77" s="422"/>
      <c r="F77" s="423"/>
    </row>
    <row r="78" spans="2:20" ht="15.75" thickBot="1">
      <c r="B78" s="429"/>
      <c r="C78" s="430"/>
      <c r="D78" s="435"/>
      <c r="E78" s="430"/>
      <c r="F78" s="432"/>
    </row>
  </sheetData>
  <dataValidations count="7">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47">
      <formula1>$D$48:$D$51</formula1>
    </dataValidation>
    <dataValidation type="list" allowBlank="1" showInputMessage="1" showErrorMessage="1" sqref="D23">
      <formula1>$D$25:$D$39</formula1>
    </dataValidation>
    <dataValidation type="list" allowBlank="1" showInputMessage="1" showErrorMessage="1" sqref="D54">
      <formula1>$D$56:$D$58</formula1>
    </dataValidation>
    <dataValidation type="list" allowBlank="1" showInputMessage="1" showErrorMessage="1" sqref="D60">
      <formula1>$D$61:$D$64</formula1>
    </dataValidation>
  </dataValidations>
  <pageMargins left="0.7" right="0.7" top="0.75" bottom="0.75" header="0.3" footer="0.3"/>
  <pageSetup paperSize="9" scale="33" orientation="portrait" copies="2" r:id="rId1"/>
</worksheet>
</file>

<file path=xl/worksheets/sheet64.xml><?xml version="1.0" encoding="utf-8"?>
<worksheet xmlns="http://schemas.openxmlformats.org/spreadsheetml/2006/main" xmlns:r="http://schemas.openxmlformats.org/officeDocument/2006/relationships">
  <sheetPr>
    <pageSetUpPr fitToPage="1"/>
  </sheetPr>
  <dimension ref="B1:AK81"/>
  <sheetViews>
    <sheetView topLeftCell="A44" zoomScale="75" zoomScaleNormal="75" workbookViewId="0">
      <selection activeCell="D72" sqref="D72"/>
    </sheetView>
  </sheetViews>
  <sheetFormatPr defaultRowHeight="15"/>
  <cols>
    <col min="1" max="2" width="3.7109375" customWidth="1"/>
    <col min="3" max="3" width="61.42578125" bestFit="1" customWidth="1"/>
    <col min="4" max="4" width="48.140625" style="26" customWidth="1"/>
    <col min="5" max="5" width="5.85546875" bestFit="1" customWidth="1"/>
    <col min="6" max="7" width="3.7109375" customWidth="1"/>
    <col min="8" max="8" width="11.42578125" customWidth="1"/>
    <col min="9" max="9" width="10.42578125" bestFit="1" customWidth="1"/>
    <col min="10" max="10" width="10.85546875" customWidth="1"/>
    <col min="11" max="11" width="11" customWidth="1"/>
    <col min="12" max="12" width="12.7109375" customWidth="1"/>
    <col min="13" max="13" width="10.140625" customWidth="1"/>
    <col min="24" max="24" width="9.28515625" bestFit="1" customWidth="1"/>
    <col min="37" max="37" width="12.7109375" bestFit="1" customWidth="1"/>
  </cols>
  <sheetData>
    <row r="1" spans="2:6" ht="18.75">
      <c r="B1" s="25" t="s">
        <v>60</v>
      </c>
    </row>
    <row r="2" spans="2:6" ht="18.75">
      <c r="B2" s="25" t="s">
        <v>347</v>
      </c>
    </row>
    <row r="3" spans="2:6" ht="18.75">
      <c r="B3" s="467" t="s">
        <v>827</v>
      </c>
      <c r="C3" s="33"/>
    </row>
    <row r="4" spans="2:6" ht="19.5" thickBot="1">
      <c r="B4" s="25"/>
      <c r="C4" s="33"/>
    </row>
    <row r="5" spans="2:6" ht="18.75">
      <c r="B5" s="356"/>
      <c r="C5" s="357" t="s">
        <v>105</v>
      </c>
      <c r="D5" s="358"/>
      <c r="E5" s="359"/>
      <c r="F5" s="360"/>
    </row>
    <row r="6" spans="2:6" ht="25.5" customHeight="1">
      <c r="B6" s="361"/>
      <c r="C6" s="559" t="s">
        <v>827</v>
      </c>
      <c r="D6" s="363"/>
      <c r="E6" s="364"/>
      <c r="F6" s="365"/>
    </row>
    <row r="7" spans="2:6" ht="18.75">
      <c r="B7" s="361"/>
      <c r="C7" s="497"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70" t="s">
        <v>663</v>
      </c>
      <c r="E10" s="369"/>
      <c r="F10" s="370"/>
    </row>
    <row r="11" spans="2:6" s="32" customFormat="1">
      <c r="B11" s="366"/>
      <c r="C11" s="367" t="s">
        <v>109</v>
      </c>
      <c r="D11" s="301">
        <v>40483</v>
      </c>
      <c r="E11" s="369"/>
      <c r="F11" s="370"/>
    </row>
    <row r="12" spans="2:6" s="32" customFormat="1">
      <c r="B12" s="366"/>
      <c r="C12" s="367" t="s">
        <v>101</v>
      </c>
      <c r="D12" s="556">
        <v>40816</v>
      </c>
      <c r="E12" s="369"/>
      <c r="F12" s="370"/>
    </row>
    <row r="13" spans="2:6" s="32" customFormat="1">
      <c r="B13" s="366"/>
      <c r="C13" s="367"/>
      <c r="D13" s="381"/>
      <c r="E13" s="369"/>
      <c r="F13" s="370"/>
    </row>
    <row r="14" spans="2:6">
      <c r="B14" s="361"/>
      <c r="C14" s="367" t="s">
        <v>100</v>
      </c>
      <c r="D14" s="302" t="s">
        <v>99</v>
      </c>
      <c r="E14" s="302"/>
      <c r="F14" s="365"/>
    </row>
    <row r="15" spans="2:6">
      <c r="B15" s="361"/>
      <c r="C15" s="364"/>
      <c r="D15" s="302" t="s">
        <v>98</v>
      </c>
      <c r="E15" s="303"/>
      <c r="F15" s="365"/>
    </row>
    <row r="16" spans="2:6">
      <c r="B16" s="361"/>
      <c r="C16" s="364"/>
      <c r="D16" s="302" t="s">
        <v>97</v>
      </c>
      <c r="E16" s="302"/>
      <c r="F16" s="365"/>
    </row>
    <row r="17" spans="2:6">
      <c r="B17" s="361"/>
      <c r="C17" s="364"/>
      <c r="D17" s="302" t="s">
        <v>45</v>
      </c>
      <c r="E17" s="303"/>
      <c r="F17" s="365"/>
    </row>
    <row r="18" spans="2:6">
      <c r="B18" s="361"/>
      <c r="C18" s="364"/>
      <c r="D18" s="302" t="s">
        <v>95</v>
      </c>
      <c r="E18" s="303" t="s">
        <v>202</v>
      </c>
      <c r="F18" s="365"/>
    </row>
    <row r="19" spans="2:6">
      <c r="B19" s="361"/>
      <c r="C19" s="364"/>
      <c r="D19" s="302" t="s">
        <v>66</v>
      </c>
      <c r="E19" s="302"/>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c r="E23" s="364"/>
      <c r="F23" s="365"/>
    </row>
    <row r="24" spans="2:6" hidden="1">
      <c r="B24" s="361"/>
      <c r="C24" s="367"/>
      <c r="D24" s="382"/>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80"/>
      <c r="E40" s="364"/>
      <c r="F40" s="365"/>
    </row>
    <row r="41" spans="2:6">
      <c r="B41" s="361"/>
      <c r="C41" s="376" t="s">
        <v>65</v>
      </c>
      <c r="D41" s="300" t="s">
        <v>664</v>
      </c>
      <c r="E41" s="364"/>
      <c r="F41" s="365"/>
    </row>
    <row r="42" spans="2:6">
      <c r="B42" s="361"/>
      <c r="C42" s="377"/>
      <c r="D42" s="380"/>
      <c r="E42" s="364"/>
      <c r="F42" s="365"/>
    </row>
    <row r="43" spans="2:6" ht="18.75">
      <c r="B43" s="392"/>
      <c r="C43" s="393" t="s">
        <v>80</v>
      </c>
      <c r="D43" s="404"/>
      <c r="E43" s="395"/>
      <c r="F43" s="396"/>
    </row>
    <row r="44" spans="2:6">
      <c r="B44" s="392"/>
      <c r="C44" s="391" t="s">
        <v>79</v>
      </c>
      <c r="D44" s="397" t="s">
        <v>738</v>
      </c>
      <c r="E44" s="395"/>
      <c r="F44" s="396"/>
    </row>
    <row r="45" spans="2:6" ht="47.25" customHeight="1">
      <c r="B45" s="392"/>
      <c r="C45" s="391" t="s">
        <v>78</v>
      </c>
      <c r="D45" s="397" t="s">
        <v>738</v>
      </c>
      <c r="E45" s="395"/>
      <c r="F45" s="396"/>
    </row>
    <row r="46" spans="2:6" ht="30">
      <c r="B46" s="392"/>
      <c r="C46" s="398" t="s">
        <v>77</v>
      </c>
      <c r="D46" s="397" t="s">
        <v>738</v>
      </c>
      <c r="E46" s="395"/>
      <c r="F46" s="396"/>
    </row>
    <row r="47" spans="2:6" ht="30">
      <c r="B47" s="392"/>
      <c r="C47" s="400" t="s">
        <v>76</v>
      </c>
      <c r="D47" s="557" t="s">
        <v>276</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69</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37">
      <c r="B65" s="346"/>
      <c r="C65" s="354" t="s">
        <v>65</v>
      </c>
      <c r="D65" s="413"/>
      <c r="E65" s="349"/>
      <c r="F65" s="350"/>
    </row>
    <row r="66" spans="2:37">
      <c r="B66" s="346"/>
      <c r="C66" s="351"/>
      <c r="D66" s="412"/>
      <c r="E66" s="349"/>
      <c r="F66" s="350"/>
    </row>
    <row r="67" spans="2:37" ht="18.75">
      <c r="B67" s="419"/>
      <c r="C67" s="420" t="s">
        <v>64</v>
      </c>
      <c r="D67" s="434"/>
      <c r="E67" s="422"/>
      <c r="F67" s="423"/>
    </row>
    <row r="68" spans="2:37">
      <c r="B68" s="419"/>
      <c r="C68" s="418" t="s">
        <v>118</v>
      </c>
      <c r="D68" s="338" t="s">
        <v>111</v>
      </c>
      <c r="E68" s="422"/>
      <c r="F68" s="423"/>
    </row>
    <row r="69" spans="2:37" ht="15.75" thickBot="1">
      <c r="B69" s="419"/>
      <c r="C69" s="418" t="s">
        <v>107</v>
      </c>
      <c r="D69" s="339" t="s">
        <v>111</v>
      </c>
      <c r="E69" s="422"/>
      <c r="F69" s="423"/>
    </row>
    <row r="70" spans="2:37" ht="75.75" customHeight="1" thickBot="1">
      <c r="B70" s="419"/>
      <c r="C70" s="418" t="s">
        <v>119</v>
      </c>
      <c r="D70" s="338" t="s">
        <v>682</v>
      </c>
      <c r="E70" s="422"/>
      <c r="F70" s="423"/>
      <c r="I70" s="560" t="s">
        <v>6</v>
      </c>
      <c r="J70" s="560" t="s">
        <v>7</v>
      </c>
      <c r="K70" s="560" t="s">
        <v>8</v>
      </c>
      <c r="L70" s="560" t="s">
        <v>9</v>
      </c>
      <c r="M70" s="560" t="s">
        <v>10</v>
      </c>
      <c r="N70" s="560" t="s">
        <v>11</v>
      </c>
      <c r="O70" s="560" t="s">
        <v>13</v>
      </c>
      <c r="P70" s="560" t="s">
        <v>14</v>
      </c>
      <c r="Q70" s="560" t="s">
        <v>15</v>
      </c>
      <c r="R70" s="560" t="s">
        <v>16</v>
      </c>
      <c r="S70" s="560" t="s">
        <v>17</v>
      </c>
      <c r="T70" s="560" t="s">
        <v>18</v>
      </c>
      <c r="U70" s="560" t="s">
        <v>19</v>
      </c>
      <c r="V70" s="560" t="s">
        <v>20</v>
      </c>
      <c r="W70" s="560" t="s">
        <v>21</v>
      </c>
      <c r="X70" s="560" t="s">
        <v>22</v>
      </c>
      <c r="Y70" s="560" t="s">
        <v>23</v>
      </c>
      <c r="Z70" s="560" t="s">
        <v>24</v>
      </c>
      <c r="AA70" s="560" t="s">
        <v>684</v>
      </c>
      <c r="AB70" s="560" t="s">
        <v>685</v>
      </c>
      <c r="AC70" s="560" t="s">
        <v>686</v>
      </c>
      <c r="AD70" s="560" t="s">
        <v>687</v>
      </c>
      <c r="AE70" s="560" t="s">
        <v>688</v>
      </c>
      <c r="AF70" s="560" t="s">
        <v>689</v>
      </c>
      <c r="AG70" s="560" t="s">
        <v>690</v>
      </c>
      <c r="AH70" s="560" t="s">
        <v>691</v>
      </c>
      <c r="AI70" s="560" t="s">
        <v>49</v>
      </c>
      <c r="AK70" s="561" t="s">
        <v>668</v>
      </c>
    </row>
    <row r="71" spans="2:37" ht="15.75" thickBot="1">
      <c r="B71" s="419"/>
      <c r="C71" s="418"/>
      <c r="D71" s="340"/>
      <c r="E71" s="422"/>
      <c r="F71" s="423"/>
      <c r="H71" t="s">
        <v>666</v>
      </c>
      <c r="I71">
        <f>79000000/4</f>
        <v>19750000</v>
      </c>
      <c r="J71">
        <f t="shared" ref="J71:L71" si="0">79000000/4</f>
        <v>19750000</v>
      </c>
      <c r="K71">
        <f t="shared" si="0"/>
        <v>19750000</v>
      </c>
      <c r="L71">
        <f t="shared" si="0"/>
        <v>19750000</v>
      </c>
      <c r="AK71" s="562">
        <f>SUM(I71:AJ71)</f>
        <v>79000000</v>
      </c>
    </row>
    <row r="72" spans="2:37" ht="15.75" thickBot="1">
      <c r="B72" s="419"/>
      <c r="C72" s="418" t="s">
        <v>223</v>
      </c>
      <c r="D72" s="426" t="s">
        <v>824</v>
      </c>
      <c r="E72" s="422"/>
      <c r="F72" s="423"/>
      <c r="H72" t="s">
        <v>667</v>
      </c>
      <c r="I72">
        <v>0</v>
      </c>
      <c r="J72">
        <v>0</v>
      </c>
      <c r="K72">
        <v>3083000</v>
      </c>
      <c r="L72">
        <v>3083000</v>
      </c>
      <c r="M72">
        <v>3083000</v>
      </c>
      <c r="N72">
        <v>3083000</v>
      </c>
      <c r="O72">
        <v>3083000</v>
      </c>
      <c r="P72">
        <v>3083000</v>
      </c>
      <c r="Q72">
        <v>3083000</v>
      </c>
      <c r="R72">
        <v>3083000</v>
      </c>
      <c r="S72">
        <v>3083000</v>
      </c>
      <c r="T72">
        <v>3083000</v>
      </c>
      <c r="U72">
        <v>3083000</v>
      </c>
      <c r="V72">
        <v>3083000</v>
      </c>
      <c r="W72">
        <v>3083000</v>
      </c>
      <c r="X72">
        <v>3083000</v>
      </c>
      <c r="Y72">
        <v>3083000</v>
      </c>
      <c r="Z72">
        <v>3083000</v>
      </c>
      <c r="AA72">
        <v>3083000</v>
      </c>
      <c r="AB72">
        <v>3083000</v>
      </c>
      <c r="AC72">
        <v>3083000</v>
      </c>
      <c r="AD72">
        <v>3083000</v>
      </c>
      <c r="AE72">
        <v>3083000</v>
      </c>
      <c r="AF72">
        <v>3083000</v>
      </c>
      <c r="AG72">
        <v>3083000</v>
      </c>
      <c r="AH72">
        <v>3083000</v>
      </c>
      <c r="AI72">
        <v>3083000</v>
      </c>
      <c r="AK72" s="562">
        <f>SUM(I72:AJ72)</f>
        <v>77075000</v>
      </c>
    </row>
    <row r="73" spans="2:37" ht="66.75" customHeight="1">
      <c r="B73" s="419"/>
      <c r="C73" s="418" t="s">
        <v>62</v>
      </c>
      <c r="D73" s="426" t="s">
        <v>683</v>
      </c>
      <c r="E73" s="422"/>
      <c r="F73" s="423"/>
      <c r="H73" s="506" t="s">
        <v>458</v>
      </c>
      <c r="I73" s="506">
        <f>SUM(I71:I72)</f>
        <v>19750000</v>
      </c>
      <c r="J73" s="506">
        <f t="shared" ref="J73:AI73" si="1">SUM(J71:J72)</f>
        <v>19750000</v>
      </c>
      <c r="K73" s="506">
        <f t="shared" si="1"/>
        <v>22833000</v>
      </c>
      <c r="L73" s="506">
        <f t="shared" si="1"/>
        <v>22833000</v>
      </c>
      <c r="M73" s="506">
        <f t="shared" si="1"/>
        <v>3083000</v>
      </c>
      <c r="N73" s="506">
        <f t="shared" si="1"/>
        <v>3083000</v>
      </c>
      <c r="O73" s="506">
        <f t="shared" si="1"/>
        <v>3083000</v>
      </c>
      <c r="P73" s="506">
        <f t="shared" si="1"/>
        <v>3083000</v>
      </c>
      <c r="Q73" s="506">
        <f t="shared" si="1"/>
        <v>3083000</v>
      </c>
      <c r="R73" s="506">
        <f t="shared" si="1"/>
        <v>3083000</v>
      </c>
      <c r="S73" s="506">
        <f t="shared" si="1"/>
        <v>3083000</v>
      </c>
      <c r="T73" s="506">
        <f t="shared" si="1"/>
        <v>3083000</v>
      </c>
      <c r="U73" s="506">
        <f t="shared" si="1"/>
        <v>3083000</v>
      </c>
      <c r="V73" s="506">
        <f t="shared" si="1"/>
        <v>3083000</v>
      </c>
      <c r="W73" s="506">
        <f t="shared" si="1"/>
        <v>3083000</v>
      </c>
      <c r="X73" s="506">
        <f t="shared" si="1"/>
        <v>3083000</v>
      </c>
      <c r="Y73" s="506">
        <f t="shared" si="1"/>
        <v>3083000</v>
      </c>
      <c r="Z73" s="506">
        <f t="shared" si="1"/>
        <v>3083000</v>
      </c>
      <c r="AA73" s="506">
        <f t="shared" si="1"/>
        <v>3083000</v>
      </c>
      <c r="AB73" s="506">
        <f t="shared" si="1"/>
        <v>3083000</v>
      </c>
      <c r="AC73" s="506">
        <f t="shared" si="1"/>
        <v>3083000</v>
      </c>
      <c r="AD73" s="506">
        <f t="shared" si="1"/>
        <v>3083000</v>
      </c>
      <c r="AE73" s="506">
        <f t="shared" si="1"/>
        <v>3083000</v>
      </c>
      <c r="AF73" s="506">
        <f t="shared" si="1"/>
        <v>3083000</v>
      </c>
      <c r="AG73" s="506">
        <f t="shared" si="1"/>
        <v>3083000</v>
      </c>
      <c r="AH73" s="506">
        <f t="shared" si="1"/>
        <v>3083000</v>
      </c>
      <c r="AI73" s="506">
        <f t="shared" si="1"/>
        <v>3083000</v>
      </c>
      <c r="AK73" s="491"/>
    </row>
    <row r="74" spans="2:37">
      <c r="B74" s="419"/>
      <c r="C74" s="418"/>
      <c r="D74" s="340"/>
      <c r="E74" s="422"/>
      <c r="F74" s="423"/>
    </row>
    <row r="75" spans="2:37">
      <c r="B75" s="419"/>
      <c r="C75" s="418" t="s">
        <v>61</v>
      </c>
      <c r="D75" s="427">
        <v>0.5</v>
      </c>
      <c r="E75" s="422"/>
      <c r="F75" s="423"/>
    </row>
    <row r="76" spans="2:37">
      <c r="B76" s="419"/>
      <c r="C76" s="418"/>
      <c r="D76" s="558" t="s">
        <v>665</v>
      </c>
      <c r="E76" s="422"/>
      <c r="F76" s="423"/>
    </row>
    <row r="77" spans="2:37">
      <c r="B77" s="419"/>
      <c r="C77" s="428"/>
      <c r="D77" s="421"/>
      <c r="E77" s="422"/>
      <c r="F77" s="423"/>
    </row>
    <row r="78" spans="2:37" ht="15.75" thickBot="1">
      <c r="B78" s="429"/>
      <c r="C78" s="430"/>
      <c r="D78" s="431"/>
      <c r="E78" s="430"/>
      <c r="F78" s="432"/>
    </row>
    <row r="80" spans="2:37">
      <c r="H80" s="491"/>
    </row>
    <row r="81" spans="8:8">
      <c r="H81" s="491"/>
    </row>
  </sheetData>
  <dataValidations count="6">
    <dataValidation type="list" allowBlank="1" showInputMessage="1" showErrorMessage="1" sqref="D60">
      <formula1>$D$61:$D$64</formula1>
    </dataValidation>
    <dataValidation type="list" allowBlank="1" showInputMessage="1" showErrorMessage="1" sqref="D54">
      <formula1>$D$56:$D$58</formula1>
    </dataValidation>
    <dataValidation type="list" allowBlank="1" showInputMessage="1" showErrorMessage="1" sqref="D23">
      <formula1>$D$25:$D$39</formula1>
    </dataValidation>
    <dataValidation type="list" allowBlank="1" showInputMessage="1" showErrorMessage="1" sqref="D40">
      <formula1>$D$41:$D$45</formula1>
    </dataValidation>
    <dataValidation type="list" allowBlank="1" showInputMessage="1" showErrorMessage="1" sqref="D34">
      <formula1>$D$35:$D$38</formula1>
    </dataValidation>
    <dataValidation type="list" allowBlank="1" showInputMessage="1" showErrorMessage="1" sqref="D27 D47">
      <formula1>$D$28:$D$32</formula1>
    </dataValidation>
  </dataValidations>
  <pageMargins left="0.7" right="0.7" top="0.75" bottom="0.75" header="0.3" footer="0.3"/>
  <pageSetup paperSize="8" scale="45" orientation="landscape" r:id="rId1"/>
</worksheet>
</file>

<file path=xl/worksheets/sheet65.xml><?xml version="1.0" encoding="utf-8"?>
<worksheet xmlns="http://schemas.openxmlformats.org/spreadsheetml/2006/main" xmlns:r="http://schemas.openxmlformats.org/officeDocument/2006/relationships">
  <sheetPr>
    <pageSetUpPr fitToPage="1"/>
  </sheetPr>
  <dimension ref="B1:AT103"/>
  <sheetViews>
    <sheetView zoomScale="75" zoomScaleNormal="75" workbookViewId="0">
      <selection activeCell="A8" sqref="A8"/>
    </sheetView>
  </sheetViews>
  <sheetFormatPr defaultRowHeight="15"/>
  <cols>
    <col min="1" max="2" width="3.7109375" customWidth="1"/>
    <col min="3" max="3" width="61.42578125" bestFit="1" customWidth="1"/>
    <col min="4" max="4" width="48.140625" style="26" customWidth="1"/>
    <col min="5" max="5" width="5.85546875" bestFit="1" customWidth="1"/>
    <col min="6" max="7" width="3.7109375" customWidth="1"/>
    <col min="8" max="8" width="11.42578125" customWidth="1"/>
    <col min="9" max="9" width="13.85546875" customWidth="1"/>
    <col min="10" max="10" width="10.7109375" customWidth="1"/>
    <col min="11" max="11" width="11.42578125" customWidth="1"/>
    <col min="12" max="12" width="12.28515625" customWidth="1"/>
    <col min="13" max="13" width="14.7109375" customWidth="1"/>
    <col min="14" max="16" width="12.7109375" bestFit="1" customWidth="1"/>
    <col min="17" max="45" width="11.5703125" bestFit="1" customWidth="1"/>
    <col min="46" max="46" width="14.42578125" bestFit="1" customWidth="1"/>
  </cols>
  <sheetData>
    <row r="1" spans="2:6" ht="18.75">
      <c r="B1" s="25" t="s">
        <v>60</v>
      </c>
    </row>
    <row r="2" spans="2:6" ht="18.75">
      <c r="B2" s="25" t="s">
        <v>347</v>
      </c>
    </row>
    <row r="3" spans="2:6" ht="18.75">
      <c r="B3" s="467" t="s">
        <v>828</v>
      </c>
      <c r="C3" s="33"/>
    </row>
    <row r="4" spans="2:6" ht="19.5" thickBot="1">
      <c r="B4" s="25"/>
      <c r="C4" s="33"/>
    </row>
    <row r="5" spans="2:6" ht="20.25" customHeight="1">
      <c r="B5" s="356"/>
      <c r="C5" s="357" t="s">
        <v>105</v>
      </c>
      <c r="D5" s="358"/>
      <c r="E5" s="359"/>
      <c r="F5" s="360"/>
    </row>
    <row r="6" spans="2:6" ht="34.5" customHeight="1">
      <c r="B6" s="361"/>
      <c r="C6" s="559" t="s">
        <v>784</v>
      </c>
      <c r="D6" s="363"/>
      <c r="E6" s="364"/>
      <c r="F6" s="365"/>
    </row>
    <row r="7" spans="2:6" ht="18.75">
      <c r="B7" s="361"/>
      <c r="C7" s="736"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70" t="s">
        <v>792</v>
      </c>
      <c r="E10" s="369"/>
      <c r="F10" s="370"/>
    </row>
    <row r="11" spans="2:6" s="32" customFormat="1">
      <c r="B11" s="366"/>
      <c r="C11" s="367" t="s">
        <v>109</v>
      </c>
      <c r="D11" s="301">
        <v>40633</v>
      </c>
      <c r="E11" s="369"/>
      <c r="F11" s="370"/>
    </row>
    <row r="12" spans="2:6" s="32" customFormat="1">
      <c r="B12" s="366"/>
      <c r="C12" s="367" t="s">
        <v>101</v>
      </c>
      <c r="D12" s="556">
        <v>40816</v>
      </c>
      <c r="E12" s="369"/>
      <c r="F12" s="370"/>
    </row>
    <row r="13" spans="2:6" s="32" customFormat="1">
      <c r="B13" s="366"/>
      <c r="C13" s="367"/>
      <c r="D13" s="381"/>
      <c r="E13" s="369"/>
      <c r="F13" s="370"/>
    </row>
    <row r="14" spans="2:6">
      <c r="B14" s="361"/>
      <c r="C14" s="367" t="s">
        <v>100</v>
      </c>
      <c r="D14" s="302" t="s">
        <v>99</v>
      </c>
      <c r="E14" s="303" t="s">
        <v>106</v>
      </c>
      <c r="F14" s="365"/>
    </row>
    <row r="15" spans="2:6">
      <c r="B15" s="361"/>
      <c r="C15" s="364"/>
      <c r="D15" s="302" t="s">
        <v>98</v>
      </c>
      <c r="E15" s="303"/>
      <c r="F15" s="365"/>
    </row>
    <row r="16" spans="2:6">
      <c r="B16" s="361"/>
      <c r="C16" s="364"/>
      <c r="D16" s="302" t="s">
        <v>97</v>
      </c>
      <c r="E16" s="302"/>
      <c r="F16" s="365"/>
    </row>
    <row r="17" spans="2:6">
      <c r="B17" s="361"/>
      <c r="C17" s="364"/>
      <c r="D17" s="302" t="s">
        <v>45</v>
      </c>
      <c r="E17" s="303"/>
      <c r="F17" s="365"/>
    </row>
    <row r="18" spans="2:6">
      <c r="B18" s="361"/>
      <c r="C18" s="364"/>
      <c r="D18" s="302" t="s">
        <v>95</v>
      </c>
      <c r="E18" s="303" t="s">
        <v>96</v>
      </c>
      <c r="F18" s="365"/>
    </row>
    <row r="19" spans="2:6">
      <c r="B19" s="361"/>
      <c r="C19" s="364"/>
      <c r="D19" s="302" t="s">
        <v>66</v>
      </c>
      <c r="E19" s="302"/>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66</v>
      </c>
      <c r="E23" s="364"/>
      <c r="F23" s="365"/>
    </row>
    <row r="24" spans="2:6" hidden="1">
      <c r="B24" s="361"/>
      <c r="C24" s="367"/>
      <c r="D24" s="382"/>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80"/>
      <c r="E40" s="364"/>
      <c r="F40" s="365"/>
    </row>
    <row r="41" spans="2:6">
      <c r="B41" s="361"/>
      <c r="C41" s="376" t="s">
        <v>65</v>
      </c>
      <c r="D41" s="300" t="s">
        <v>784</v>
      </c>
      <c r="E41" s="364"/>
      <c r="F41" s="365"/>
    </row>
    <row r="42" spans="2:6">
      <c r="B42" s="361"/>
      <c r="C42" s="377"/>
      <c r="D42" s="380"/>
      <c r="E42" s="364"/>
      <c r="F42" s="365"/>
    </row>
    <row r="43" spans="2:6" ht="18.75">
      <c r="B43" s="392"/>
      <c r="C43" s="393" t="s">
        <v>80</v>
      </c>
      <c r="D43" s="404"/>
      <c r="E43" s="395"/>
      <c r="F43" s="396"/>
    </row>
    <row r="44" spans="2:6">
      <c r="B44" s="392"/>
      <c r="C44" s="391" t="s">
        <v>79</v>
      </c>
      <c r="D44" s="397" t="s">
        <v>738</v>
      </c>
      <c r="E44" s="395"/>
      <c r="F44" s="396"/>
    </row>
    <row r="45" spans="2:6" ht="47.25" customHeight="1">
      <c r="B45" s="392"/>
      <c r="C45" s="391" t="s">
        <v>78</v>
      </c>
      <c r="D45" s="397" t="s">
        <v>738</v>
      </c>
      <c r="E45" s="395"/>
      <c r="F45" s="396"/>
    </row>
    <row r="46" spans="2:6" ht="30">
      <c r="B46" s="392"/>
      <c r="C46" s="398" t="s">
        <v>77</v>
      </c>
      <c r="D46" s="397" t="s">
        <v>738</v>
      </c>
      <c r="E46" s="395"/>
      <c r="F46" s="396"/>
    </row>
    <row r="47" spans="2:6" ht="30">
      <c r="B47" s="392"/>
      <c r="C47" s="400" t="s">
        <v>76</v>
      </c>
      <c r="D47" s="402" t="s">
        <v>278</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idden="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71</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69</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45">
      <c r="B65" s="346"/>
      <c r="C65" s="354" t="s">
        <v>65</v>
      </c>
      <c r="D65" s="413"/>
      <c r="E65" s="349"/>
      <c r="F65" s="350"/>
    </row>
    <row r="66" spans="2:45">
      <c r="B66" s="346"/>
      <c r="C66" s="351"/>
      <c r="D66" s="412"/>
      <c r="E66" s="349"/>
      <c r="F66" s="350"/>
    </row>
    <row r="67" spans="2:45" ht="18.75">
      <c r="B67" s="419"/>
      <c r="C67" s="420" t="s">
        <v>64</v>
      </c>
      <c r="D67" s="434"/>
      <c r="E67" s="422"/>
      <c r="F67" s="423"/>
    </row>
    <row r="68" spans="2:45">
      <c r="B68" s="419"/>
      <c r="C68" s="418" t="s">
        <v>118</v>
      </c>
      <c r="D68" s="338"/>
      <c r="E68" s="422"/>
      <c r="F68" s="423"/>
    </row>
    <row r="69" spans="2:45">
      <c r="B69" s="419"/>
      <c r="C69" s="418" t="s">
        <v>107</v>
      </c>
      <c r="D69" s="339"/>
      <c r="E69" s="422"/>
      <c r="F69" s="423"/>
    </row>
    <row r="70" spans="2:45" ht="21" customHeight="1">
      <c r="B70" s="419"/>
      <c r="C70" s="418" t="s">
        <v>119</v>
      </c>
      <c r="D70" s="752">
        <f>AT103</f>
        <v>1362000000</v>
      </c>
      <c r="E70" s="422"/>
      <c r="F70" s="423"/>
      <c r="H70" s="39"/>
    </row>
    <row r="71" spans="2:45" ht="15.75" thickBot="1">
      <c r="B71" s="419"/>
      <c r="C71" s="418"/>
      <c r="D71" s="340"/>
      <c r="E71" s="422"/>
      <c r="F71" s="423"/>
      <c r="H71" s="39"/>
    </row>
    <row r="72" spans="2:45" ht="37.5" customHeight="1" thickBot="1">
      <c r="B72" s="419"/>
      <c r="C72" s="418" t="s">
        <v>223</v>
      </c>
      <c r="D72" s="426" t="s">
        <v>829</v>
      </c>
      <c r="E72" s="422"/>
      <c r="F72" s="423"/>
      <c r="H72" s="39"/>
      <c r="J72" s="794" t="s">
        <v>836</v>
      </c>
    </row>
    <row r="73" spans="2:45" ht="39.75" customHeight="1">
      <c r="B73" s="419"/>
      <c r="C73" s="418" t="s">
        <v>62</v>
      </c>
      <c r="D73" s="426" t="s">
        <v>835</v>
      </c>
      <c r="E73" s="422"/>
      <c r="F73" s="423"/>
      <c r="H73" s="786" t="s">
        <v>93</v>
      </c>
      <c r="J73" s="787">
        <v>1</v>
      </c>
      <c r="K73" s="787">
        <v>2</v>
      </c>
      <c r="L73" s="787">
        <v>3</v>
      </c>
      <c r="M73" s="787">
        <v>4</v>
      </c>
      <c r="N73" s="787">
        <v>5</v>
      </c>
      <c r="O73" s="787">
        <v>6</v>
      </c>
      <c r="P73" s="787">
        <v>7</v>
      </c>
      <c r="Q73" s="787">
        <v>8</v>
      </c>
      <c r="R73" s="787">
        <v>9</v>
      </c>
      <c r="S73" s="787">
        <v>10</v>
      </c>
      <c r="T73" s="787">
        <v>11</v>
      </c>
      <c r="U73" s="787">
        <v>12</v>
      </c>
      <c r="V73" s="787">
        <v>13</v>
      </c>
      <c r="W73" s="787">
        <v>14</v>
      </c>
      <c r="X73" s="787">
        <v>15</v>
      </c>
      <c r="Y73" s="787">
        <v>16</v>
      </c>
      <c r="Z73" s="787">
        <v>17</v>
      </c>
      <c r="AA73" s="787">
        <v>18</v>
      </c>
      <c r="AB73" s="787">
        <v>19</v>
      </c>
      <c r="AC73" s="787">
        <v>20</v>
      </c>
      <c r="AD73" s="787">
        <v>21</v>
      </c>
      <c r="AE73" s="787">
        <v>22</v>
      </c>
      <c r="AF73" s="787">
        <v>23</v>
      </c>
      <c r="AG73" s="787">
        <v>24</v>
      </c>
      <c r="AH73" s="787">
        <v>25</v>
      </c>
      <c r="AI73" s="787">
        <v>26</v>
      </c>
      <c r="AJ73" s="787">
        <v>27</v>
      </c>
      <c r="AK73" s="787">
        <v>28</v>
      </c>
      <c r="AL73" s="787">
        <v>29</v>
      </c>
      <c r="AM73" s="787">
        <v>30</v>
      </c>
      <c r="AN73" s="787">
        <v>31</v>
      </c>
      <c r="AO73" s="787">
        <v>32</v>
      </c>
      <c r="AP73" s="787">
        <v>33</v>
      </c>
      <c r="AQ73" s="787">
        <v>34</v>
      </c>
      <c r="AR73" s="787">
        <v>35</v>
      </c>
      <c r="AS73" s="787">
        <v>36</v>
      </c>
    </row>
    <row r="74" spans="2:45" ht="15.75" thickBot="1">
      <c r="B74" s="419"/>
      <c r="C74" s="418"/>
      <c r="D74" s="340"/>
      <c r="E74" s="422"/>
      <c r="F74" s="423"/>
      <c r="H74" s="788" t="s">
        <v>811</v>
      </c>
      <c r="J74" s="787" t="s">
        <v>796</v>
      </c>
      <c r="K74" s="787" t="s">
        <v>797</v>
      </c>
      <c r="L74" s="787" t="s">
        <v>798</v>
      </c>
      <c r="M74" s="787" t="s">
        <v>799</v>
      </c>
      <c r="N74" s="787" t="s">
        <v>800</v>
      </c>
      <c r="O74" s="787" t="s">
        <v>801</v>
      </c>
      <c r="P74" s="787" t="s">
        <v>802</v>
      </c>
      <c r="Q74" s="787" t="s">
        <v>803</v>
      </c>
      <c r="R74" s="787" t="s">
        <v>804</v>
      </c>
      <c r="S74" s="2" t="s">
        <v>16</v>
      </c>
      <c r="T74" s="2" t="s">
        <v>17</v>
      </c>
      <c r="U74" s="2" t="s">
        <v>18</v>
      </c>
      <c r="V74" s="2" t="s">
        <v>19</v>
      </c>
      <c r="W74" s="2" t="s">
        <v>20</v>
      </c>
      <c r="X74" s="2" t="s">
        <v>21</v>
      </c>
      <c r="Y74" s="2" t="s">
        <v>22</v>
      </c>
      <c r="Z74" s="2" t="s">
        <v>23</v>
      </c>
      <c r="AA74" s="2" t="s">
        <v>24</v>
      </c>
      <c r="AB74" s="2" t="s">
        <v>25</v>
      </c>
      <c r="AC74" s="2" t="s">
        <v>26</v>
      </c>
      <c r="AD74" s="2" t="s">
        <v>27</v>
      </c>
      <c r="AE74" s="2" t="s">
        <v>28</v>
      </c>
      <c r="AF74" s="2" t="s">
        <v>29</v>
      </c>
      <c r="AG74" s="2" t="s">
        <v>46</v>
      </c>
      <c r="AH74" s="2" t="s">
        <v>47</v>
      </c>
      <c r="AI74" s="2" t="s">
        <v>48</v>
      </c>
      <c r="AJ74" s="2" t="s">
        <v>49</v>
      </c>
      <c r="AK74" s="2" t="s">
        <v>50</v>
      </c>
      <c r="AL74" s="2" t="s">
        <v>51</v>
      </c>
      <c r="AM74" s="2" t="s">
        <v>52</v>
      </c>
      <c r="AN74" s="2" t="s">
        <v>53</v>
      </c>
      <c r="AO74" s="2" t="s">
        <v>54</v>
      </c>
      <c r="AP74" s="2" t="s">
        <v>55</v>
      </c>
      <c r="AQ74" s="2" t="s">
        <v>56</v>
      </c>
      <c r="AR74" s="2" t="s">
        <v>57</v>
      </c>
      <c r="AS74" s="522" t="s">
        <v>279</v>
      </c>
    </row>
    <row r="75" spans="2:45">
      <c r="B75" s="419"/>
      <c r="C75" s="418" t="s">
        <v>61</v>
      </c>
      <c r="D75" s="427">
        <v>0.5</v>
      </c>
      <c r="E75" s="422"/>
      <c r="F75" s="423"/>
    </row>
    <row r="76" spans="2:45">
      <c r="B76" s="419"/>
      <c r="C76" s="418"/>
      <c r="D76" s="558" t="s">
        <v>795</v>
      </c>
      <c r="E76" s="422"/>
      <c r="F76" s="423"/>
      <c r="H76" s="1" t="s">
        <v>805</v>
      </c>
      <c r="I76" t="s">
        <v>806</v>
      </c>
      <c r="J76" s="491">
        <v>5000000</v>
      </c>
      <c r="K76" s="491">
        <v>5000000</v>
      </c>
      <c r="L76" s="491">
        <v>10000000</v>
      </c>
      <c r="M76" s="491">
        <v>20000000</v>
      </c>
      <c r="N76" s="491">
        <v>25000000</v>
      </c>
      <c r="O76" s="491"/>
      <c r="P76" s="491"/>
      <c r="Q76" s="491"/>
      <c r="R76" s="491"/>
    </row>
    <row r="77" spans="2:45">
      <c r="B77" s="419"/>
      <c r="C77" s="428"/>
      <c r="D77" s="421"/>
      <c r="E77" s="422"/>
      <c r="F77" s="423"/>
      <c r="H77" s="1"/>
      <c r="I77" t="s">
        <v>807</v>
      </c>
      <c r="J77" s="491">
        <v>2500000</v>
      </c>
      <c r="K77" s="491">
        <v>5000000</v>
      </c>
      <c r="L77" s="491">
        <v>5000000</v>
      </c>
      <c r="M77" s="491">
        <v>10000000</v>
      </c>
      <c r="N77" s="491">
        <v>12500000</v>
      </c>
      <c r="O77" s="491"/>
      <c r="P77" s="491"/>
      <c r="Q77" s="491"/>
      <c r="R77" s="491"/>
    </row>
    <row r="78" spans="2:45" ht="15.75" thickBot="1">
      <c r="B78" s="429"/>
      <c r="C78" s="430"/>
      <c r="D78" s="431"/>
      <c r="E78" s="430"/>
      <c r="F78" s="432"/>
      <c r="H78" s="1"/>
      <c r="J78" s="491"/>
      <c r="K78" s="491"/>
      <c r="L78" s="491"/>
      <c r="M78" s="491"/>
      <c r="N78" s="491"/>
      <c r="O78" s="491"/>
      <c r="P78" s="491"/>
      <c r="Q78" s="491"/>
      <c r="R78" s="491"/>
    </row>
    <row r="79" spans="2:45">
      <c r="H79" s="1" t="s">
        <v>808</v>
      </c>
      <c r="I79" t="s">
        <v>806</v>
      </c>
      <c r="J79" s="491"/>
      <c r="K79" s="491">
        <v>5000000</v>
      </c>
      <c r="L79" s="491">
        <v>5000000</v>
      </c>
      <c r="M79" s="491">
        <v>10000000</v>
      </c>
      <c r="N79" s="491">
        <v>20000000</v>
      </c>
      <c r="O79" s="491">
        <v>25000000</v>
      </c>
      <c r="P79" s="491"/>
      <c r="Q79" s="491"/>
      <c r="R79" s="491"/>
    </row>
    <row r="80" spans="2:45">
      <c r="H80" s="1"/>
      <c r="I80" t="s">
        <v>807</v>
      </c>
      <c r="J80" s="491"/>
      <c r="K80" s="491">
        <v>2500000</v>
      </c>
      <c r="L80" s="491">
        <v>5000000</v>
      </c>
      <c r="M80" s="491">
        <v>5000000</v>
      </c>
      <c r="N80" s="491">
        <v>10000000</v>
      </c>
      <c r="O80" s="491">
        <v>12500000</v>
      </c>
      <c r="P80" s="491"/>
      <c r="Q80" s="491"/>
      <c r="R80" s="491"/>
    </row>
    <row r="81" spans="8:46">
      <c r="H81" s="1"/>
      <c r="J81" s="491"/>
      <c r="K81" s="491"/>
      <c r="L81" s="491"/>
      <c r="M81" s="491"/>
      <c r="N81" s="491"/>
      <c r="O81" s="491"/>
      <c r="P81" s="491"/>
      <c r="Q81" s="491"/>
      <c r="R81" s="491"/>
    </row>
    <row r="82" spans="8:46">
      <c r="H82" s="1" t="s">
        <v>809</v>
      </c>
      <c r="I82" t="s">
        <v>806</v>
      </c>
      <c r="J82" s="491"/>
      <c r="K82" s="491"/>
      <c r="L82" s="491">
        <v>5000000</v>
      </c>
      <c r="M82" s="491">
        <v>5000000</v>
      </c>
      <c r="N82" s="491">
        <v>10000000</v>
      </c>
      <c r="O82" s="491">
        <v>20000000</v>
      </c>
      <c r="P82" s="491">
        <v>25000000</v>
      </c>
      <c r="Q82" s="491"/>
      <c r="R82" s="491"/>
    </row>
    <row r="83" spans="8:46">
      <c r="H83" s="1"/>
      <c r="I83" t="s">
        <v>807</v>
      </c>
      <c r="J83" s="491"/>
      <c r="K83" s="491"/>
      <c r="L83" s="491">
        <v>2500000</v>
      </c>
      <c r="M83" s="491">
        <v>5000000</v>
      </c>
      <c r="N83" s="491">
        <v>5000000</v>
      </c>
      <c r="O83" s="491">
        <v>10000000</v>
      </c>
      <c r="P83" s="491">
        <v>12500000</v>
      </c>
      <c r="Q83" s="491"/>
      <c r="R83" s="491"/>
    </row>
    <row r="84" spans="8:46">
      <c r="H84" s="1"/>
      <c r="J84" s="491"/>
      <c r="K84" s="491"/>
      <c r="L84" s="491"/>
      <c r="M84" s="491"/>
      <c r="N84" s="491"/>
      <c r="O84" s="491"/>
      <c r="P84" s="491"/>
      <c r="Q84" s="491"/>
      <c r="R84" s="491"/>
    </row>
    <row r="85" spans="8:46">
      <c r="H85" s="1" t="s">
        <v>376</v>
      </c>
      <c r="I85" t="s">
        <v>806</v>
      </c>
      <c r="J85" s="491"/>
      <c r="K85" s="491"/>
      <c r="L85" s="491"/>
      <c r="M85" s="491">
        <v>5000000</v>
      </c>
      <c r="N85" s="491">
        <v>5000000</v>
      </c>
      <c r="O85" s="491">
        <v>10000000</v>
      </c>
      <c r="P85" s="491">
        <v>20000000</v>
      </c>
      <c r="Q85" s="491">
        <v>25000000</v>
      </c>
      <c r="R85" s="491"/>
    </row>
    <row r="86" spans="8:46">
      <c r="H86" s="1"/>
      <c r="I86" t="s">
        <v>807</v>
      </c>
      <c r="J86" s="491"/>
      <c r="K86" s="491"/>
      <c r="L86" s="491"/>
      <c r="M86" s="491">
        <v>2500000</v>
      </c>
      <c r="N86" s="491">
        <v>5000000</v>
      </c>
      <c r="O86" s="491">
        <v>5000000</v>
      </c>
      <c r="P86" s="491">
        <v>10000000</v>
      </c>
      <c r="Q86" s="491">
        <v>12500000</v>
      </c>
      <c r="R86" s="491"/>
    </row>
    <row r="87" spans="8:46">
      <c r="H87" s="1"/>
      <c r="J87" s="491"/>
      <c r="K87" s="491"/>
      <c r="L87" s="491"/>
      <c r="M87" s="491"/>
      <c r="N87" s="491"/>
      <c r="O87" s="491"/>
      <c r="P87" s="491"/>
      <c r="Q87" s="491"/>
      <c r="R87" s="491"/>
    </row>
    <row r="88" spans="8:46" ht="15.75" thickBot="1">
      <c r="H88" s="1" t="s">
        <v>810</v>
      </c>
      <c r="I88" t="s">
        <v>806</v>
      </c>
      <c r="J88" s="491"/>
      <c r="K88" s="491"/>
      <c r="L88" s="491"/>
      <c r="M88" s="491"/>
      <c r="N88" s="491">
        <v>5000000</v>
      </c>
      <c r="O88" s="491">
        <v>5000000</v>
      </c>
      <c r="P88" s="491">
        <v>10000000</v>
      </c>
      <c r="Q88" s="491">
        <v>20000000</v>
      </c>
      <c r="R88" s="491">
        <v>25000000</v>
      </c>
    </row>
    <row r="89" spans="8:46" ht="15.75" thickBot="1">
      <c r="I89" t="s">
        <v>807</v>
      </c>
      <c r="J89" s="491"/>
      <c r="K89" s="491"/>
      <c r="L89" s="491"/>
      <c r="M89" s="491"/>
      <c r="N89" s="491">
        <v>2500000</v>
      </c>
      <c r="O89" s="491">
        <v>5000000</v>
      </c>
      <c r="P89" s="491">
        <v>5000000</v>
      </c>
      <c r="Q89" s="491">
        <v>10000000</v>
      </c>
      <c r="R89" s="491">
        <v>12500000</v>
      </c>
      <c r="AT89" s="793" t="s">
        <v>384</v>
      </c>
    </row>
    <row r="90" spans="8:46" ht="15.75" thickBot="1">
      <c r="J90" s="491"/>
      <c r="K90" s="491"/>
      <c r="L90" s="491"/>
      <c r="M90" s="491"/>
      <c r="N90" s="491"/>
      <c r="O90" s="491"/>
      <c r="P90" s="491"/>
      <c r="Q90" s="491"/>
      <c r="R90" s="491"/>
    </row>
    <row r="91" spans="8:46" ht="15.75" thickBot="1">
      <c r="I91" s="753" t="s">
        <v>830</v>
      </c>
      <c r="J91" s="751">
        <f>SUM(J76:J90)</f>
        <v>7500000</v>
      </c>
      <c r="K91" s="751">
        <f t="shared" ref="K91:AS91" si="0">SUM(K76:K90)</f>
        <v>17500000</v>
      </c>
      <c r="L91" s="751">
        <f t="shared" si="0"/>
        <v>32500000</v>
      </c>
      <c r="M91" s="751">
        <f t="shared" si="0"/>
        <v>62500000</v>
      </c>
      <c r="N91" s="751">
        <f t="shared" si="0"/>
        <v>100000000</v>
      </c>
      <c r="O91" s="751">
        <f t="shared" si="0"/>
        <v>92500000</v>
      </c>
      <c r="P91" s="751">
        <f t="shared" si="0"/>
        <v>82500000</v>
      </c>
      <c r="Q91" s="751">
        <f t="shared" si="0"/>
        <v>67500000</v>
      </c>
      <c r="R91" s="751">
        <f t="shared" si="0"/>
        <v>37500000</v>
      </c>
      <c r="S91" s="751">
        <f t="shared" si="0"/>
        <v>0</v>
      </c>
      <c r="T91" s="751">
        <f t="shared" si="0"/>
        <v>0</v>
      </c>
      <c r="U91" s="751">
        <f t="shared" si="0"/>
        <v>0</v>
      </c>
      <c r="V91" s="751">
        <f t="shared" si="0"/>
        <v>0</v>
      </c>
      <c r="W91" s="751">
        <f t="shared" si="0"/>
        <v>0</v>
      </c>
      <c r="X91" s="751">
        <f t="shared" si="0"/>
        <v>0</v>
      </c>
      <c r="Y91" s="751">
        <f t="shared" si="0"/>
        <v>0</v>
      </c>
      <c r="Z91" s="751">
        <f t="shared" si="0"/>
        <v>0</v>
      </c>
      <c r="AA91" s="751">
        <f t="shared" si="0"/>
        <v>0</v>
      </c>
      <c r="AB91" s="751">
        <f t="shared" si="0"/>
        <v>0</v>
      </c>
      <c r="AC91" s="751">
        <f t="shared" si="0"/>
        <v>0</v>
      </c>
      <c r="AD91" s="751">
        <f t="shared" si="0"/>
        <v>0</v>
      </c>
      <c r="AE91" s="751">
        <f t="shared" si="0"/>
        <v>0</v>
      </c>
      <c r="AF91" s="751">
        <f t="shared" si="0"/>
        <v>0</v>
      </c>
      <c r="AG91" s="751">
        <f t="shared" si="0"/>
        <v>0</v>
      </c>
      <c r="AH91" s="751">
        <f t="shared" si="0"/>
        <v>0</v>
      </c>
      <c r="AI91" s="751">
        <f t="shared" si="0"/>
        <v>0</v>
      </c>
      <c r="AJ91" s="751">
        <f t="shared" si="0"/>
        <v>0</v>
      </c>
      <c r="AK91" s="751">
        <f t="shared" si="0"/>
        <v>0</v>
      </c>
      <c r="AL91" s="751">
        <f t="shared" si="0"/>
        <v>0</v>
      </c>
      <c r="AM91" s="751">
        <f t="shared" si="0"/>
        <v>0</v>
      </c>
      <c r="AN91" s="751">
        <f t="shared" si="0"/>
        <v>0</v>
      </c>
      <c r="AO91" s="751">
        <f t="shared" si="0"/>
        <v>0</v>
      </c>
      <c r="AP91" s="751">
        <f t="shared" si="0"/>
        <v>0</v>
      </c>
      <c r="AQ91" s="751">
        <f t="shared" si="0"/>
        <v>0</v>
      </c>
      <c r="AR91" s="751">
        <f t="shared" si="0"/>
        <v>0</v>
      </c>
      <c r="AS91" s="751">
        <f t="shared" si="0"/>
        <v>0</v>
      </c>
      <c r="AT91" s="792">
        <f>SUM(J91:AS91)</f>
        <v>500000000</v>
      </c>
    </row>
    <row r="92" spans="8:46" ht="15.75" thickBot="1">
      <c r="AT92" s="791"/>
    </row>
    <row r="93" spans="8:46">
      <c r="H93" s="789" t="s">
        <v>831</v>
      </c>
      <c r="I93" t="s">
        <v>666</v>
      </c>
      <c r="L93" s="491">
        <v>1000000</v>
      </c>
      <c r="M93" s="491">
        <v>2000000</v>
      </c>
      <c r="N93" s="491">
        <v>2000000</v>
      </c>
      <c r="O93" s="491">
        <v>0</v>
      </c>
      <c r="P93" s="491">
        <v>0</v>
      </c>
      <c r="Q93" s="491">
        <v>0</v>
      </c>
      <c r="R93" s="491">
        <v>0</v>
      </c>
      <c r="S93" s="491">
        <v>0</v>
      </c>
      <c r="T93" s="491">
        <v>0</v>
      </c>
      <c r="U93" s="491">
        <v>0</v>
      </c>
      <c r="V93" s="491">
        <v>0</v>
      </c>
      <c r="W93" s="491">
        <v>0</v>
      </c>
      <c r="X93" s="491">
        <v>0</v>
      </c>
      <c r="Y93" s="491">
        <v>0</v>
      </c>
      <c r="Z93" s="491">
        <v>0</v>
      </c>
      <c r="AA93" s="491">
        <v>0</v>
      </c>
      <c r="AB93" s="491">
        <v>0</v>
      </c>
      <c r="AC93" s="491">
        <v>0</v>
      </c>
      <c r="AD93" s="491">
        <v>0</v>
      </c>
      <c r="AE93" s="491">
        <v>0</v>
      </c>
      <c r="AF93" s="491">
        <v>0</v>
      </c>
      <c r="AG93" s="491">
        <v>0</v>
      </c>
      <c r="AH93" s="491">
        <v>0</v>
      </c>
      <c r="AI93" s="491">
        <v>0</v>
      </c>
      <c r="AJ93" s="491">
        <v>0</v>
      </c>
      <c r="AK93" s="491">
        <v>0</v>
      </c>
      <c r="AL93" s="491">
        <v>0</v>
      </c>
      <c r="AM93" s="491">
        <v>0</v>
      </c>
      <c r="AN93" s="491">
        <v>0</v>
      </c>
      <c r="AO93" s="491">
        <v>0</v>
      </c>
      <c r="AP93" s="491">
        <v>0</v>
      </c>
      <c r="AQ93" s="491">
        <v>0</v>
      </c>
      <c r="AR93" s="491">
        <v>0</v>
      </c>
      <c r="AS93" s="491">
        <v>0</v>
      </c>
      <c r="AT93" s="791"/>
    </row>
    <row r="94" spans="8:46" ht="15.75" thickBot="1">
      <c r="H94" s="790" t="s">
        <v>832</v>
      </c>
      <c r="I94" t="s">
        <v>667</v>
      </c>
      <c r="L94" s="491">
        <v>1000000</v>
      </c>
      <c r="M94" s="491">
        <v>2000000</v>
      </c>
      <c r="N94" s="491">
        <v>3000000</v>
      </c>
      <c r="O94" s="491">
        <v>6000000</v>
      </c>
      <c r="P94" s="491">
        <v>12000000</v>
      </c>
      <c r="Q94" s="491">
        <v>12000000</v>
      </c>
      <c r="R94" s="491">
        <v>12000000</v>
      </c>
      <c r="S94" s="491">
        <v>12000000</v>
      </c>
      <c r="T94" s="491">
        <v>12000000</v>
      </c>
      <c r="U94" s="491">
        <v>12000000</v>
      </c>
      <c r="V94" s="491">
        <v>12000000</v>
      </c>
      <c r="W94" s="491">
        <v>12000000</v>
      </c>
      <c r="X94" s="491">
        <v>12000000</v>
      </c>
      <c r="Y94" s="491">
        <v>12000000</v>
      </c>
      <c r="Z94" s="491">
        <v>12000000</v>
      </c>
      <c r="AA94" s="491">
        <v>12000000</v>
      </c>
      <c r="AB94" s="491">
        <v>12000000</v>
      </c>
      <c r="AC94" s="491">
        <v>12000000</v>
      </c>
      <c r="AD94" s="491">
        <v>12000000</v>
      </c>
      <c r="AE94" s="491">
        <v>12000000</v>
      </c>
      <c r="AF94" s="491">
        <v>12000000</v>
      </c>
      <c r="AG94" s="491">
        <v>12000000</v>
      </c>
      <c r="AH94" s="491">
        <v>12000000</v>
      </c>
      <c r="AI94" s="491">
        <v>12000000</v>
      </c>
      <c r="AJ94" s="491">
        <v>12000000</v>
      </c>
      <c r="AK94" s="491">
        <v>12000000</v>
      </c>
      <c r="AL94" s="491">
        <v>12000000</v>
      </c>
      <c r="AM94" s="491">
        <v>12000000</v>
      </c>
      <c r="AN94" s="491">
        <v>12000000</v>
      </c>
      <c r="AO94" s="491">
        <v>12000000</v>
      </c>
      <c r="AP94" s="491">
        <v>12000000</v>
      </c>
      <c r="AQ94" s="491">
        <v>12000000</v>
      </c>
      <c r="AR94" s="491">
        <v>12000000</v>
      </c>
      <c r="AS94" s="491">
        <v>12000000</v>
      </c>
      <c r="AT94" s="791"/>
    </row>
    <row r="95" spans="8:46" ht="15.75" thickBot="1">
      <c r="I95" s="753" t="s">
        <v>830</v>
      </c>
      <c r="J95" s="784"/>
      <c r="K95" s="784"/>
      <c r="L95" s="751">
        <f t="shared" ref="L95:Q95" si="1">SUM(L93:L94)</f>
        <v>2000000</v>
      </c>
      <c r="M95" s="751">
        <f t="shared" si="1"/>
        <v>4000000</v>
      </c>
      <c r="N95" s="751">
        <f t="shared" si="1"/>
        <v>5000000</v>
      </c>
      <c r="O95" s="751">
        <f t="shared" si="1"/>
        <v>6000000</v>
      </c>
      <c r="P95" s="751">
        <f t="shared" si="1"/>
        <v>12000000</v>
      </c>
      <c r="Q95" s="751">
        <f t="shared" si="1"/>
        <v>12000000</v>
      </c>
      <c r="R95" s="751">
        <f t="shared" ref="R95" si="2">SUM(R93:R94)</f>
        <v>12000000</v>
      </c>
      <c r="S95" s="751">
        <f t="shared" ref="S95" si="3">SUM(S93:S94)</f>
        <v>12000000</v>
      </c>
      <c r="T95" s="751">
        <f t="shared" ref="T95" si="4">SUM(T93:T94)</f>
        <v>12000000</v>
      </c>
      <c r="U95" s="751">
        <f t="shared" ref="U95" si="5">SUM(U93:U94)</f>
        <v>12000000</v>
      </c>
      <c r="V95" s="751">
        <f t="shared" ref="V95" si="6">SUM(V93:V94)</f>
        <v>12000000</v>
      </c>
      <c r="W95" s="751">
        <f t="shared" ref="W95" si="7">SUM(W93:W94)</f>
        <v>12000000</v>
      </c>
      <c r="X95" s="751">
        <f t="shared" ref="X95" si="8">SUM(X93:X94)</f>
        <v>12000000</v>
      </c>
      <c r="Y95" s="751">
        <f t="shared" ref="Y95" si="9">SUM(Y93:Y94)</f>
        <v>12000000</v>
      </c>
      <c r="Z95" s="751">
        <f t="shared" ref="Z95" si="10">SUM(Z93:Z94)</f>
        <v>12000000</v>
      </c>
      <c r="AA95" s="751">
        <f t="shared" ref="AA95" si="11">SUM(AA93:AA94)</f>
        <v>12000000</v>
      </c>
      <c r="AB95" s="751">
        <f t="shared" ref="AB95" si="12">SUM(AB93:AB94)</f>
        <v>12000000</v>
      </c>
      <c r="AC95" s="751">
        <f t="shared" ref="AC95" si="13">SUM(AC93:AC94)</f>
        <v>12000000</v>
      </c>
      <c r="AD95" s="751">
        <f t="shared" ref="AD95" si="14">SUM(AD93:AD94)</f>
        <v>12000000</v>
      </c>
      <c r="AE95" s="751">
        <f t="shared" ref="AE95" si="15">SUM(AE93:AE94)</f>
        <v>12000000</v>
      </c>
      <c r="AF95" s="751">
        <f t="shared" ref="AF95" si="16">SUM(AF93:AF94)</f>
        <v>12000000</v>
      </c>
      <c r="AG95" s="751">
        <f t="shared" ref="AG95" si="17">SUM(AG93:AG94)</f>
        <v>12000000</v>
      </c>
      <c r="AH95" s="751">
        <f t="shared" ref="AH95" si="18">SUM(AH93:AH94)</f>
        <v>12000000</v>
      </c>
      <c r="AI95" s="751">
        <f t="shared" ref="AI95" si="19">SUM(AI93:AI94)</f>
        <v>12000000</v>
      </c>
      <c r="AJ95" s="751">
        <f t="shared" ref="AJ95" si="20">SUM(AJ93:AJ94)</f>
        <v>12000000</v>
      </c>
      <c r="AK95" s="751">
        <f t="shared" ref="AK95" si="21">SUM(AK93:AK94)</f>
        <v>12000000</v>
      </c>
      <c r="AL95" s="751">
        <f t="shared" ref="AL95" si="22">SUM(AL93:AL94)</f>
        <v>12000000</v>
      </c>
      <c r="AM95" s="751">
        <f t="shared" ref="AM95" si="23">SUM(AM93:AM94)</f>
        <v>12000000</v>
      </c>
      <c r="AN95" s="751">
        <f t="shared" ref="AN95" si="24">SUM(AN93:AN94)</f>
        <v>12000000</v>
      </c>
      <c r="AO95" s="751">
        <f t="shared" ref="AO95" si="25">SUM(AO93:AO94)</f>
        <v>12000000</v>
      </c>
      <c r="AP95" s="751">
        <f t="shared" ref="AP95" si="26">SUM(AP93:AP94)</f>
        <v>12000000</v>
      </c>
      <c r="AQ95" s="751">
        <f t="shared" ref="AQ95" si="27">SUM(AQ93:AQ94)</f>
        <v>12000000</v>
      </c>
      <c r="AR95" s="751">
        <f t="shared" ref="AR95" si="28">SUM(AR93:AR94)</f>
        <v>12000000</v>
      </c>
      <c r="AS95" s="751">
        <f t="shared" ref="AS95" si="29">SUM(AS93:AS94)</f>
        <v>12000000</v>
      </c>
      <c r="AT95" s="792">
        <f>SUM(L95:AS95)</f>
        <v>377000000</v>
      </c>
    </row>
    <row r="96" spans="8:46">
      <c r="AT96" s="791"/>
    </row>
    <row r="97" spans="8:46" ht="15.75" thickBot="1">
      <c r="K97" s="39"/>
      <c r="L97" s="39"/>
      <c r="M97" s="39"/>
      <c r="N97" s="39"/>
      <c r="O97" s="39"/>
      <c r="P97" s="39"/>
      <c r="Q97" s="39"/>
      <c r="AT97" s="791"/>
    </row>
    <row r="98" spans="8:46">
      <c r="H98" s="789" t="s">
        <v>831</v>
      </c>
      <c r="I98" t="s">
        <v>666</v>
      </c>
      <c r="L98" s="491">
        <v>1000000</v>
      </c>
      <c r="M98" s="491">
        <v>2000000</v>
      </c>
      <c r="N98" s="491">
        <v>3000000</v>
      </c>
      <c r="O98" s="491">
        <v>8000000</v>
      </c>
      <c r="P98" s="491">
        <v>0</v>
      </c>
      <c r="Q98" s="491">
        <v>0</v>
      </c>
      <c r="R98" s="491">
        <v>0</v>
      </c>
      <c r="S98" s="491">
        <v>0</v>
      </c>
      <c r="T98" s="491">
        <v>0</v>
      </c>
      <c r="U98" s="491">
        <v>0</v>
      </c>
      <c r="V98" s="491">
        <v>0</v>
      </c>
      <c r="W98" s="491">
        <v>0</v>
      </c>
      <c r="X98" s="491">
        <v>0</v>
      </c>
      <c r="Y98" s="491">
        <v>0</v>
      </c>
      <c r="Z98" s="491">
        <v>0</v>
      </c>
      <c r="AA98" s="491">
        <v>0</v>
      </c>
      <c r="AB98" s="491">
        <v>0</v>
      </c>
      <c r="AC98" s="491">
        <v>0</v>
      </c>
      <c r="AD98" s="491">
        <v>0</v>
      </c>
      <c r="AE98" s="491">
        <v>0</v>
      </c>
      <c r="AF98" s="491">
        <v>0</v>
      </c>
      <c r="AG98" s="491">
        <v>0</v>
      </c>
      <c r="AH98" s="491">
        <v>0</v>
      </c>
      <c r="AI98" s="491">
        <v>0</v>
      </c>
      <c r="AJ98" s="491">
        <v>0</v>
      </c>
      <c r="AK98" s="491">
        <v>0</v>
      </c>
      <c r="AL98" s="491">
        <v>0</v>
      </c>
      <c r="AM98" s="491">
        <v>0</v>
      </c>
      <c r="AN98" s="491">
        <v>0</v>
      </c>
      <c r="AO98" s="491">
        <v>0</v>
      </c>
      <c r="AP98" s="491">
        <v>0</v>
      </c>
      <c r="AQ98" s="491">
        <v>0</v>
      </c>
      <c r="AR98" s="491">
        <v>0</v>
      </c>
      <c r="AS98" s="491">
        <v>0</v>
      </c>
      <c r="AT98" s="791"/>
    </row>
    <row r="99" spans="8:46" ht="15.75" thickBot="1">
      <c r="H99" s="790" t="s">
        <v>833</v>
      </c>
      <c r="I99" t="s">
        <v>667</v>
      </c>
      <c r="L99" s="491">
        <v>2000000</v>
      </c>
      <c r="M99" s="491">
        <v>3000000</v>
      </c>
      <c r="N99" s="491">
        <v>5000000</v>
      </c>
      <c r="O99" s="491">
        <v>6000000</v>
      </c>
      <c r="P99" s="491">
        <v>16000000</v>
      </c>
      <c r="Q99" s="491">
        <v>16000000</v>
      </c>
      <c r="R99" s="491">
        <v>16000000</v>
      </c>
      <c r="S99" s="491">
        <v>16000000</v>
      </c>
      <c r="T99" s="491">
        <v>16000000</v>
      </c>
      <c r="U99" s="491">
        <v>16000000</v>
      </c>
      <c r="V99" s="491">
        <v>16000000</v>
      </c>
      <c r="W99" s="491">
        <v>16000000</v>
      </c>
      <c r="X99" s="491">
        <v>16000000</v>
      </c>
      <c r="Y99" s="491">
        <v>16000000</v>
      </c>
      <c r="Z99" s="491">
        <v>16000000</v>
      </c>
      <c r="AA99" s="491">
        <v>16000000</v>
      </c>
      <c r="AB99" s="491">
        <v>16000000</v>
      </c>
      <c r="AC99" s="491">
        <v>16000000</v>
      </c>
      <c r="AD99" s="491">
        <v>16000000</v>
      </c>
      <c r="AE99" s="491">
        <v>16000000</v>
      </c>
      <c r="AF99" s="491">
        <v>16000000</v>
      </c>
      <c r="AG99" s="491">
        <v>16000000</v>
      </c>
      <c r="AH99" s="491">
        <v>16000000</v>
      </c>
      <c r="AI99" s="491">
        <v>16000000</v>
      </c>
      <c r="AJ99" s="491">
        <v>16000000</v>
      </c>
      <c r="AK99" s="491">
        <v>16000000</v>
      </c>
      <c r="AL99" s="491">
        <v>16000000</v>
      </c>
      <c r="AM99" s="491">
        <v>16000000</v>
      </c>
      <c r="AN99" s="491">
        <v>16000000</v>
      </c>
      <c r="AO99" s="491">
        <v>16000000</v>
      </c>
      <c r="AP99" s="491">
        <v>16000000</v>
      </c>
      <c r="AQ99" s="491">
        <v>16000000</v>
      </c>
      <c r="AR99" s="491">
        <v>16000000</v>
      </c>
      <c r="AS99" s="491">
        <v>16000000</v>
      </c>
      <c r="AT99" s="791"/>
    </row>
    <row r="100" spans="8:46" ht="15.75" thickBot="1">
      <c r="I100" s="753" t="s">
        <v>830</v>
      </c>
      <c r="J100" s="784"/>
      <c r="K100" s="784"/>
      <c r="L100" s="751">
        <f t="shared" ref="L100:Q100" si="30">SUM(L98:L99)</f>
        <v>3000000</v>
      </c>
      <c r="M100" s="751">
        <f t="shared" si="30"/>
        <v>5000000</v>
      </c>
      <c r="N100" s="751">
        <f t="shared" si="30"/>
        <v>8000000</v>
      </c>
      <c r="O100" s="751">
        <f t="shared" si="30"/>
        <v>14000000</v>
      </c>
      <c r="P100" s="751">
        <f t="shared" si="30"/>
        <v>16000000</v>
      </c>
      <c r="Q100" s="751">
        <f t="shared" si="30"/>
        <v>16000000</v>
      </c>
      <c r="R100" s="751">
        <f t="shared" ref="R100" si="31">SUM(R98:R99)</f>
        <v>16000000</v>
      </c>
      <c r="S100" s="751">
        <f t="shared" ref="S100" si="32">SUM(S98:S99)</f>
        <v>16000000</v>
      </c>
      <c r="T100" s="751">
        <f t="shared" ref="T100" si="33">SUM(T98:T99)</f>
        <v>16000000</v>
      </c>
      <c r="U100" s="751">
        <f t="shared" ref="U100" si="34">SUM(U98:U99)</f>
        <v>16000000</v>
      </c>
      <c r="V100" s="751">
        <f t="shared" ref="V100" si="35">SUM(V98:V99)</f>
        <v>16000000</v>
      </c>
      <c r="W100" s="751">
        <f t="shared" ref="W100" si="36">SUM(W98:W99)</f>
        <v>16000000</v>
      </c>
      <c r="X100" s="751">
        <f t="shared" ref="X100" si="37">SUM(X98:X99)</f>
        <v>16000000</v>
      </c>
      <c r="Y100" s="751">
        <f t="shared" ref="Y100" si="38">SUM(Y98:Y99)</f>
        <v>16000000</v>
      </c>
      <c r="Z100" s="751">
        <f t="shared" ref="Z100" si="39">SUM(Z98:Z99)</f>
        <v>16000000</v>
      </c>
      <c r="AA100" s="751">
        <f t="shared" ref="AA100" si="40">SUM(AA98:AA99)</f>
        <v>16000000</v>
      </c>
      <c r="AB100" s="751">
        <f t="shared" ref="AB100" si="41">SUM(AB98:AB99)</f>
        <v>16000000</v>
      </c>
      <c r="AC100" s="751">
        <f t="shared" ref="AC100" si="42">SUM(AC98:AC99)</f>
        <v>16000000</v>
      </c>
      <c r="AD100" s="751">
        <f t="shared" ref="AD100" si="43">SUM(AD98:AD99)</f>
        <v>16000000</v>
      </c>
      <c r="AE100" s="751">
        <f t="shared" ref="AE100" si="44">SUM(AE98:AE99)</f>
        <v>16000000</v>
      </c>
      <c r="AF100" s="751">
        <f t="shared" ref="AF100" si="45">SUM(AF98:AF99)</f>
        <v>16000000</v>
      </c>
      <c r="AG100" s="751">
        <f t="shared" ref="AG100" si="46">SUM(AG98:AG99)</f>
        <v>16000000</v>
      </c>
      <c r="AH100" s="751">
        <f t="shared" ref="AH100" si="47">SUM(AH98:AH99)</f>
        <v>16000000</v>
      </c>
      <c r="AI100" s="751">
        <f t="shared" ref="AI100" si="48">SUM(AI98:AI99)</f>
        <v>16000000</v>
      </c>
      <c r="AJ100" s="751">
        <f t="shared" ref="AJ100" si="49">SUM(AJ98:AJ99)</f>
        <v>16000000</v>
      </c>
      <c r="AK100" s="751">
        <f t="shared" ref="AK100" si="50">SUM(AK98:AK99)</f>
        <v>16000000</v>
      </c>
      <c r="AL100" s="751">
        <f t="shared" ref="AL100" si="51">SUM(AL98:AL99)</f>
        <v>16000000</v>
      </c>
      <c r="AM100" s="751">
        <f t="shared" ref="AM100" si="52">SUM(AM98:AM99)</f>
        <v>16000000</v>
      </c>
      <c r="AN100" s="751">
        <f t="shared" ref="AN100" si="53">SUM(AN98:AN99)</f>
        <v>16000000</v>
      </c>
      <c r="AO100" s="751">
        <f t="shared" ref="AO100" si="54">SUM(AO98:AO99)</f>
        <v>16000000</v>
      </c>
      <c r="AP100" s="751">
        <f t="shared" ref="AP100" si="55">SUM(AP98:AP99)</f>
        <v>16000000</v>
      </c>
      <c r="AQ100" s="751">
        <f t="shared" ref="AQ100" si="56">SUM(AQ98:AQ99)</f>
        <v>16000000</v>
      </c>
      <c r="AR100" s="751">
        <f t="shared" ref="AR100" si="57">SUM(AR98:AR99)</f>
        <v>16000000</v>
      </c>
      <c r="AS100" s="751">
        <f t="shared" ref="AS100" si="58">SUM(AS98:AS99)</f>
        <v>16000000</v>
      </c>
      <c r="AT100" s="792">
        <f>SUM(L100:AS100)</f>
        <v>510000000</v>
      </c>
    </row>
    <row r="101" spans="8:46">
      <c r="AT101" s="791"/>
    </row>
    <row r="102" spans="8:46" ht="15.75" thickBot="1">
      <c r="AT102" s="791"/>
    </row>
    <row r="103" spans="8:46" ht="15.75" thickBot="1">
      <c r="I103" s="753" t="s">
        <v>834</v>
      </c>
      <c r="J103" s="785">
        <f>SUM(J100,J95,J91)</f>
        <v>7500000</v>
      </c>
      <c r="K103" s="785">
        <f t="shared" ref="K103:AS103" si="59">SUM(K100,K95,K91)</f>
        <v>17500000</v>
      </c>
      <c r="L103" s="785">
        <f t="shared" si="59"/>
        <v>37500000</v>
      </c>
      <c r="M103" s="785">
        <f t="shared" si="59"/>
        <v>71500000</v>
      </c>
      <c r="N103" s="785">
        <f t="shared" si="59"/>
        <v>113000000</v>
      </c>
      <c r="O103" s="785">
        <f t="shared" si="59"/>
        <v>112500000</v>
      </c>
      <c r="P103" s="785">
        <f t="shared" si="59"/>
        <v>110500000</v>
      </c>
      <c r="Q103" s="785">
        <f t="shared" si="59"/>
        <v>95500000</v>
      </c>
      <c r="R103" s="785">
        <f t="shared" si="59"/>
        <v>65500000</v>
      </c>
      <c r="S103" s="785">
        <f t="shared" si="59"/>
        <v>28000000</v>
      </c>
      <c r="T103" s="785">
        <f t="shared" si="59"/>
        <v>28000000</v>
      </c>
      <c r="U103" s="785">
        <f t="shared" si="59"/>
        <v>28000000</v>
      </c>
      <c r="V103" s="785">
        <f t="shared" si="59"/>
        <v>28000000</v>
      </c>
      <c r="W103" s="785">
        <f t="shared" si="59"/>
        <v>28000000</v>
      </c>
      <c r="X103" s="785">
        <f t="shared" si="59"/>
        <v>28000000</v>
      </c>
      <c r="Y103" s="785">
        <f t="shared" si="59"/>
        <v>28000000</v>
      </c>
      <c r="Z103" s="785">
        <f t="shared" si="59"/>
        <v>28000000</v>
      </c>
      <c r="AA103" s="785">
        <f t="shared" si="59"/>
        <v>28000000</v>
      </c>
      <c r="AB103" s="785">
        <f t="shared" si="59"/>
        <v>28000000</v>
      </c>
      <c r="AC103" s="785">
        <f t="shared" si="59"/>
        <v>28000000</v>
      </c>
      <c r="AD103" s="785">
        <f t="shared" si="59"/>
        <v>28000000</v>
      </c>
      <c r="AE103" s="785">
        <f t="shared" si="59"/>
        <v>28000000</v>
      </c>
      <c r="AF103" s="785">
        <f t="shared" si="59"/>
        <v>28000000</v>
      </c>
      <c r="AG103" s="785">
        <f t="shared" si="59"/>
        <v>28000000</v>
      </c>
      <c r="AH103" s="785">
        <f t="shared" si="59"/>
        <v>28000000</v>
      </c>
      <c r="AI103" s="785">
        <f t="shared" si="59"/>
        <v>28000000</v>
      </c>
      <c r="AJ103" s="785">
        <f t="shared" si="59"/>
        <v>28000000</v>
      </c>
      <c r="AK103" s="785">
        <f t="shared" si="59"/>
        <v>28000000</v>
      </c>
      <c r="AL103" s="785">
        <f t="shared" si="59"/>
        <v>28000000</v>
      </c>
      <c r="AM103" s="785">
        <f t="shared" si="59"/>
        <v>28000000</v>
      </c>
      <c r="AN103" s="785">
        <f t="shared" si="59"/>
        <v>28000000</v>
      </c>
      <c r="AO103" s="785">
        <f t="shared" si="59"/>
        <v>28000000</v>
      </c>
      <c r="AP103" s="785">
        <f t="shared" si="59"/>
        <v>28000000</v>
      </c>
      <c r="AQ103" s="785">
        <f t="shared" si="59"/>
        <v>28000000</v>
      </c>
      <c r="AR103" s="785">
        <f t="shared" si="59"/>
        <v>28000000</v>
      </c>
      <c r="AS103" s="785">
        <f t="shared" si="59"/>
        <v>28000000</v>
      </c>
      <c r="AT103" s="792">
        <f>SUM(L103:AS103)</f>
        <v>1362000000</v>
      </c>
    </row>
  </sheetData>
  <dataValidations count="6">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23">
      <formula1>$D$25:$D$39</formula1>
    </dataValidation>
    <dataValidation type="list" allowBlank="1" showInputMessage="1" showErrorMessage="1" sqref="D54">
      <formula1>$D$56:$D$58</formula1>
    </dataValidation>
    <dataValidation type="list" allowBlank="1" showInputMessage="1" showErrorMessage="1" sqref="D60">
      <formula1>$D$61:$D$64</formula1>
    </dataValidation>
  </dataValidations>
  <pageMargins left="0.7" right="0.7" top="0.75" bottom="0.75" header="0.3" footer="0.3"/>
  <pageSetup paperSize="8" scale="33" orientation="landscape" r:id="rId1"/>
</worksheet>
</file>

<file path=xl/worksheets/sheet66.xml><?xml version="1.0" encoding="utf-8"?>
<worksheet xmlns="http://schemas.openxmlformats.org/spreadsheetml/2006/main" xmlns:r="http://schemas.openxmlformats.org/officeDocument/2006/relationships">
  <sheetPr>
    <pageSetUpPr fitToPage="1"/>
  </sheetPr>
  <dimension ref="B1:AQ87"/>
  <sheetViews>
    <sheetView zoomScale="75" zoomScaleNormal="75" workbookViewId="0">
      <selection activeCell="A87" sqref="A87"/>
    </sheetView>
  </sheetViews>
  <sheetFormatPr defaultRowHeight="15"/>
  <cols>
    <col min="1" max="2" width="3.7109375" customWidth="1"/>
    <col min="3" max="3" width="61.42578125" bestFit="1" customWidth="1"/>
    <col min="4" max="4" width="48.140625" style="26" customWidth="1"/>
    <col min="5" max="5" width="5.85546875" bestFit="1" customWidth="1"/>
    <col min="6" max="7" width="3.7109375" customWidth="1"/>
    <col min="8" max="8" width="11.42578125" customWidth="1"/>
    <col min="9" max="9" width="26.5703125" customWidth="1"/>
    <col min="10" max="10" width="18.7109375" customWidth="1"/>
    <col min="11" max="11" width="11" customWidth="1"/>
    <col min="12" max="12" width="17.28515625" customWidth="1"/>
    <col min="13" max="13" width="18.28515625" customWidth="1"/>
    <col min="14" max="14" width="21.7109375" customWidth="1"/>
    <col min="16" max="16" width="11" bestFit="1" customWidth="1"/>
    <col min="17" max="43" width="12.7109375" bestFit="1" customWidth="1"/>
  </cols>
  <sheetData>
    <row r="1" spans="2:6" ht="26.25">
      <c r="B1" s="25" t="s">
        <v>60</v>
      </c>
      <c r="D1" s="756"/>
    </row>
    <row r="2" spans="2:6" ht="18.75">
      <c r="B2" s="25" t="s">
        <v>347</v>
      </c>
    </row>
    <row r="3" spans="2:6" ht="18.75">
      <c r="B3" s="467" t="s">
        <v>839</v>
      </c>
      <c r="C3" s="33"/>
    </row>
    <row r="4" spans="2:6" ht="19.5" thickBot="1">
      <c r="B4" s="25"/>
      <c r="C4" s="33"/>
    </row>
    <row r="5" spans="2:6" ht="18.75">
      <c r="B5" s="356"/>
      <c r="C5" s="357" t="s">
        <v>105</v>
      </c>
      <c r="D5" s="358"/>
      <c r="E5" s="359"/>
      <c r="F5" s="360"/>
    </row>
    <row r="6" spans="2:6" ht="25.5" customHeight="1">
      <c r="B6" s="361"/>
      <c r="C6" s="559" t="s">
        <v>794</v>
      </c>
      <c r="D6" s="363"/>
      <c r="E6" s="364"/>
      <c r="F6" s="365"/>
    </row>
    <row r="7" spans="2:6" ht="18.75">
      <c r="B7" s="361"/>
      <c r="C7" s="736" t="s">
        <v>104</v>
      </c>
      <c r="D7" s="363"/>
      <c r="E7" s="364"/>
      <c r="F7" s="365"/>
    </row>
    <row r="8" spans="2:6" s="32" customFormat="1">
      <c r="B8" s="366"/>
      <c r="C8" s="367"/>
      <c r="D8" s="368"/>
      <c r="E8" s="369"/>
      <c r="F8" s="370"/>
    </row>
    <row r="9" spans="2:6" s="32" customFormat="1">
      <c r="B9" s="366"/>
      <c r="C9" s="367" t="s">
        <v>103</v>
      </c>
      <c r="D9" s="371"/>
      <c r="E9" s="369"/>
      <c r="F9" s="370"/>
    </row>
    <row r="10" spans="2:6" s="32" customFormat="1">
      <c r="B10" s="366"/>
      <c r="C10" s="367" t="s">
        <v>102</v>
      </c>
      <c r="D10" s="470" t="s">
        <v>793</v>
      </c>
      <c r="E10" s="369"/>
      <c r="F10" s="370"/>
    </row>
    <row r="11" spans="2:6" s="32" customFormat="1">
      <c r="B11" s="366"/>
      <c r="C11" s="367" t="s">
        <v>109</v>
      </c>
      <c r="D11" s="301">
        <v>40633</v>
      </c>
      <c r="E11" s="369"/>
      <c r="F11" s="370"/>
    </row>
    <row r="12" spans="2:6" s="32" customFormat="1">
      <c r="B12" s="366"/>
      <c r="C12" s="367" t="s">
        <v>101</v>
      </c>
      <c r="D12" s="556">
        <v>40816</v>
      </c>
      <c r="E12" s="369"/>
      <c r="F12" s="370"/>
    </row>
    <row r="13" spans="2:6" s="32" customFormat="1">
      <c r="B13" s="366"/>
      <c r="C13" s="367"/>
      <c r="D13" s="381"/>
      <c r="E13" s="369"/>
      <c r="F13" s="370"/>
    </row>
    <row r="14" spans="2:6">
      <c r="B14" s="361"/>
      <c r="C14" s="367" t="s">
        <v>100</v>
      </c>
      <c r="D14" s="302" t="s">
        <v>99</v>
      </c>
      <c r="E14" s="302"/>
      <c r="F14" s="365"/>
    </row>
    <row r="15" spans="2:6">
      <c r="B15" s="361"/>
      <c r="C15" s="364"/>
      <c r="D15" s="302" t="s">
        <v>98</v>
      </c>
      <c r="E15" s="303"/>
      <c r="F15" s="365"/>
    </row>
    <row r="16" spans="2:6">
      <c r="B16" s="361"/>
      <c r="C16" s="364"/>
      <c r="D16" s="302" t="s">
        <v>97</v>
      </c>
      <c r="E16" s="302"/>
      <c r="F16" s="365"/>
    </row>
    <row r="17" spans="2:6">
      <c r="B17" s="361"/>
      <c r="C17" s="364"/>
      <c r="D17" s="302" t="s">
        <v>45</v>
      </c>
      <c r="E17" s="303"/>
      <c r="F17" s="365"/>
    </row>
    <row r="18" spans="2:6">
      <c r="B18" s="361"/>
      <c r="C18" s="364"/>
      <c r="D18" s="302" t="s">
        <v>95</v>
      </c>
      <c r="E18" s="303" t="s">
        <v>96</v>
      </c>
      <c r="F18" s="365"/>
    </row>
    <row r="19" spans="2:6">
      <c r="B19" s="361"/>
      <c r="C19" s="364"/>
      <c r="D19" s="302" t="s">
        <v>66</v>
      </c>
      <c r="E19" s="302"/>
      <c r="F19" s="365"/>
    </row>
    <row r="20" spans="2:6">
      <c r="B20" s="361"/>
      <c r="C20" s="364"/>
      <c r="D20" s="380"/>
      <c r="E20" s="364"/>
      <c r="F20" s="365"/>
    </row>
    <row r="21" spans="2:6">
      <c r="B21" s="361"/>
      <c r="C21" s="376" t="s">
        <v>65</v>
      </c>
      <c r="D21" s="382"/>
      <c r="E21" s="364"/>
      <c r="F21" s="365"/>
    </row>
    <row r="22" spans="2:6">
      <c r="B22" s="361"/>
      <c r="C22" s="377"/>
      <c r="D22" s="380"/>
      <c r="E22" s="364"/>
      <c r="F22" s="365"/>
    </row>
    <row r="23" spans="2:6">
      <c r="B23" s="361"/>
      <c r="C23" s="367" t="s">
        <v>94</v>
      </c>
      <c r="D23" s="382" t="s">
        <v>66</v>
      </c>
      <c r="E23" s="364"/>
      <c r="F23" s="365"/>
    </row>
    <row r="24" spans="2:6" hidden="1">
      <c r="B24" s="361"/>
      <c r="C24" s="367"/>
      <c r="D24" s="382"/>
      <c r="E24" s="364"/>
      <c r="F24" s="365"/>
    </row>
    <row r="25" spans="2:6" hidden="1">
      <c r="B25" s="361"/>
      <c r="C25" s="367"/>
      <c r="D25" s="371" t="s">
        <v>93</v>
      </c>
      <c r="E25" s="364"/>
      <c r="F25" s="365"/>
    </row>
    <row r="26" spans="2:6" hidden="1">
      <c r="B26" s="361"/>
      <c r="C26" s="367"/>
      <c r="D26" s="371" t="s">
        <v>58</v>
      </c>
      <c r="E26" s="364"/>
      <c r="F26" s="365"/>
    </row>
    <row r="27" spans="2:6" hidden="1">
      <c r="B27" s="361"/>
      <c r="C27" s="367"/>
      <c r="D27" s="371" t="s">
        <v>92</v>
      </c>
      <c r="E27" s="364"/>
      <c r="F27" s="365"/>
    </row>
    <row r="28" spans="2:6" hidden="1">
      <c r="B28" s="361"/>
      <c r="C28" s="367"/>
      <c r="D28" s="371" t="s">
        <v>91</v>
      </c>
      <c r="E28" s="364"/>
      <c r="F28" s="365"/>
    </row>
    <row r="29" spans="2:6" hidden="1">
      <c r="B29" s="361"/>
      <c r="C29" s="367"/>
      <c r="D29" s="371" t="s">
        <v>90</v>
      </c>
      <c r="E29" s="364"/>
      <c r="F29" s="365"/>
    </row>
    <row r="30" spans="2:6" hidden="1">
      <c r="B30" s="361"/>
      <c r="C30" s="367"/>
      <c r="D30" s="371" t="s">
        <v>89</v>
      </c>
      <c r="E30" s="364"/>
      <c r="F30" s="365"/>
    </row>
    <row r="31" spans="2:6" hidden="1">
      <c r="B31" s="361"/>
      <c r="C31" s="367"/>
      <c r="D31" s="371" t="s">
        <v>88</v>
      </c>
      <c r="E31" s="364"/>
      <c r="F31" s="365"/>
    </row>
    <row r="32" spans="2:6" hidden="1">
      <c r="B32" s="361"/>
      <c r="C32" s="367"/>
      <c r="D32" s="371" t="s">
        <v>87</v>
      </c>
      <c r="E32" s="364"/>
      <c r="F32" s="365"/>
    </row>
    <row r="33" spans="2:6" hidden="1">
      <c r="B33" s="361"/>
      <c r="C33" s="367"/>
      <c r="D33" s="371" t="s">
        <v>86</v>
      </c>
      <c r="E33" s="364"/>
      <c r="F33" s="365"/>
    </row>
    <row r="34" spans="2:6" hidden="1">
      <c r="B34" s="361"/>
      <c r="C34" s="367"/>
      <c r="D34" s="371" t="s">
        <v>85</v>
      </c>
      <c r="E34" s="364"/>
      <c r="F34" s="365"/>
    </row>
    <row r="35" spans="2:6" hidden="1">
      <c r="B35" s="361"/>
      <c r="C35" s="367"/>
      <c r="D35" s="371" t="s">
        <v>84</v>
      </c>
      <c r="E35" s="364"/>
      <c r="F35" s="365"/>
    </row>
    <row r="36" spans="2:6" hidden="1">
      <c r="B36" s="361"/>
      <c r="C36" s="367"/>
      <c r="D36" s="371" t="s">
        <v>83</v>
      </c>
      <c r="E36" s="364"/>
      <c r="F36" s="365"/>
    </row>
    <row r="37" spans="2:6" hidden="1">
      <c r="B37" s="361"/>
      <c r="C37" s="367"/>
      <c r="D37" s="371" t="s">
        <v>82</v>
      </c>
      <c r="E37" s="364"/>
      <c r="F37" s="365"/>
    </row>
    <row r="38" spans="2:6" hidden="1">
      <c r="B38" s="361"/>
      <c r="C38" s="367"/>
      <c r="D38" s="371" t="s">
        <v>81</v>
      </c>
      <c r="E38" s="364"/>
      <c r="F38" s="365"/>
    </row>
    <row r="39" spans="2:6" hidden="1">
      <c r="B39" s="361"/>
      <c r="C39" s="367"/>
      <c r="D39" s="378" t="s">
        <v>66</v>
      </c>
      <c r="E39" s="364"/>
      <c r="F39" s="365"/>
    </row>
    <row r="40" spans="2:6">
      <c r="B40" s="361"/>
      <c r="C40" s="367"/>
      <c r="D40" s="380"/>
      <c r="E40" s="364"/>
      <c r="F40" s="365"/>
    </row>
    <row r="41" spans="2:6">
      <c r="B41" s="361"/>
      <c r="C41" s="376" t="s">
        <v>65</v>
      </c>
      <c r="D41" s="300" t="s">
        <v>837</v>
      </c>
      <c r="E41" s="364"/>
      <c r="F41" s="365"/>
    </row>
    <row r="42" spans="2:6">
      <c r="B42" s="361"/>
      <c r="C42" s="377"/>
      <c r="D42" s="380"/>
      <c r="E42" s="364"/>
      <c r="F42" s="365"/>
    </row>
    <row r="43" spans="2:6" ht="18.75">
      <c r="B43" s="392"/>
      <c r="C43" s="393" t="s">
        <v>80</v>
      </c>
      <c r="D43" s="404"/>
      <c r="E43" s="395"/>
      <c r="F43" s="396"/>
    </row>
    <row r="44" spans="2:6">
      <c r="B44" s="392"/>
      <c r="C44" s="391" t="s">
        <v>79</v>
      </c>
      <c r="D44" s="397" t="s">
        <v>738</v>
      </c>
      <c r="E44" s="395"/>
      <c r="F44" s="396"/>
    </row>
    <row r="45" spans="2:6" ht="47.25" customHeight="1">
      <c r="B45" s="392"/>
      <c r="C45" s="391" t="s">
        <v>78</v>
      </c>
      <c r="D45" s="397" t="s">
        <v>738</v>
      </c>
      <c r="E45" s="395"/>
      <c r="F45" s="396"/>
    </row>
    <row r="46" spans="2:6" ht="33.75" customHeight="1">
      <c r="B46" s="392"/>
      <c r="C46" s="398" t="s">
        <v>77</v>
      </c>
      <c r="D46" s="397" t="s">
        <v>738</v>
      </c>
      <c r="E46" s="395"/>
      <c r="F46" s="396"/>
    </row>
    <row r="47" spans="2:6" ht="30.75" customHeight="1">
      <c r="B47" s="392"/>
      <c r="C47" s="400" t="s">
        <v>76</v>
      </c>
      <c r="D47" s="557" t="s">
        <v>278</v>
      </c>
      <c r="E47" s="401"/>
      <c r="F47" s="396"/>
    </row>
    <row r="48" spans="2:6" hidden="1">
      <c r="B48" s="392"/>
      <c r="C48" s="400"/>
      <c r="D48" s="402" t="s">
        <v>209</v>
      </c>
      <c r="E48" s="395"/>
      <c r="F48" s="396"/>
    </row>
    <row r="49" spans="2:6" hidden="1">
      <c r="B49" s="392"/>
      <c r="C49" s="400"/>
      <c r="D49" s="402" t="s">
        <v>277</v>
      </c>
      <c r="E49" s="395"/>
      <c r="F49" s="396"/>
    </row>
    <row r="50" spans="2:6" hidden="1">
      <c r="B50" s="392"/>
      <c r="C50" s="400"/>
      <c r="D50" s="402" t="s">
        <v>276</v>
      </c>
      <c r="E50" s="395"/>
      <c r="F50" s="396"/>
    </row>
    <row r="51" spans="2:6" ht="14.25" hidden="1" customHeight="1">
      <c r="B51" s="392"/>
      <c r="C51" s="400"/>
      <c r="D51" s="402" t="s">
        <v>278</v>
      </c>
      <c r="E51" s="395"/>
      <c r="F51" s="396"/>
    </row>
    <row r="52" spans="2:6">
      <c r="B52" s="392"/>
      <c r="C52" s="403"/>
      <c r="D52" s="404"/>
      <c r="E52" s="395"/>
      <c r="F52" s="396"/>
    </row>
    <row r="53" spans="2:6" ht="18.75">
      <c r="B53" s="346"/>
      <c r="C53" s="347" t="s">
        <v>75</v>
      </c>
      <c r="D53" s="412"/>
      <c r="E53" s="349"/>
      <c r="F53" s="350"/>
    </row>
    <row r="54" spans="2:6">
      <c r="B54" s="346"/>
      <c r="C54" s="351" t="s">
        <v>74</v>
      </c>
      <c r="D54" s="413" t="s">
        <v>72</v>
      </c>
      <c r="E54" s="349"/>
      <c r="F54" s="350"/>
    </row>
    <row r="55" spans="2:6" hidden="1">
      <c r="B55" s="346"/>
      <c r="C55" s="355"/>
      <c r="D55" s="414"/>
      <c r="E55" s="349"/>
      <c r="F55" s="350"/>
    </row>
    <row r="56" spans="2:6" hidden="1">
      <c r="B56" s="346"/>
      <c r="C56" s="355"/>
      <c r="D56" s="413" t="s">
        <v>73</v>
      </c>
      <c r="E56" s="349"/>
      <c r="F56" s="350"/>
    </row>
    <row r="57" spans="2:6" hidden="1">
      <c r="B57" s="346"/>
      <c r="C57" s="355"/>
      <c r="D57" s="413" t="s">
        <v>72</v>
      </c>
      <c r="E57" s="349"/>
      <c r="F57" s="350"/>
    </row>
    <row r="58" spans="2:6" hidden="1">
      <c r="B58" s="346"/>
      <c r="C58" s="355"/>
      <c r="D58" s="413" t="s">
        <v>71</v>
      </c>
      <c r="E58" s="349"/>
      <c r="F58" s="350"/>
    </row>
    <row r="59" spans="2:6">
      <c r="B59" s="346"/>
      <c r="C59" s="351"/>
      <c r="D59" s="412"/>
      <c r="E59" s="349"/>
      <c r="F59" s="350"/>
    </row>
    <row r="60" spans="2:6">
      <c r="B60" s="346"/>
      <c r="C60" s="351" t="s">
        <v>70</v>
      </c>
      <c r="D60" s="413" t="s">
        <v>69</v>
      </c>
      <c r="E60" s="349"/>
      <c r="F60" s="350"/>
    </row>
    <row r="61" spans="2:6" hidden="1">
      <c r="B61" s="346"/>
      <c r="C61" s="351"/>
      <c r="D61" s="415" t="s">
        <v>69</v>
      </c>
      <c r="E61" s="411"/>
      <c r="F61" s="350"/>
    </row>
    <row r="62" spans="2:6" hidden="1">
      <c r="B62" s="346"/>
      <c r="C62" s="351"/>
      <c r="D62" s="415" t="s">
        <v>68</v>
      </c>
      <c r="E62" s="411"/>
      <c r="F62" s="350"/>
    </row>
    <row r="63" spans="2:6" hidden="1">
      <c r="B63" s="346"/>
      <c r="C63" s="351"/>
      <c r="D63" s="415" t="s">
        <v>67</v>
      </c>
      <c r="E63" s="411"/>
      <c r="F63" s="350"/>
    </row>
    <row r="64" spans="2:6" hidden="1">
      <c r="B64" s="346"/>
      <c r="C64" s="351"/>
      <c r="D64" s="415" t="s">
        <v>66</v>
      </c>
      <c r="E64" s="411"/>
      <c r="F64" s="350"/>
    </row>
    <row r="65" spans="2:38">
      <c r="B65" s="346"/>
      <c r="C65" s="354" t="s">
        <v>65</v>
      </c>
      <c r="D65" s="413"/>
      <c r="E65" s="349"/>
      <c r="F65" s="350"/>
    </row>
    <row r="66" spans="2:38">
      <c r="B66" s="346"/>
      <c r="C66" s="351"/>
      <c r="D66" s="412"/>
      <c r="E66" s="349"/>
      <c r="F66" s="350"/>
    </row>
    <row r="67" spans="2:38" ht="18.75">
      <c r="B67" s="419"/>
      <c r="C67" s="420" t="s">
        <v>64</v>
      </c>
      <c r="D67" s="434"/>
      <c r="E67" s="422"/>
      <c r="F67" s="423"/>
    </row>
    <row r="68" spans="2:38">
      <c r="B68" s="419"/>
      <c r="C68" s="418" t="s">
        <v>118</v>
      </c>
      <c r="D68" s="338"/>
      <c r="E68" s="422"/>
      <c r="F68" s="423"/>
      <c r="AK68" s="8"/>
      <c r="AL68" s="8"/>
    </row>
    <row r="69" spans="2:38">
      <c r="B69" s="419"/>
      <c r="C69" s="418" t="s">
        <v>107</v>
      </c>
      <c r="D69" s="339"/>
      <c r="E69" s="422"/>
      <c r="F69" s="423"/>
      <c r="AK69" s="8"/>
      <c r="AL69" s="8"/>
    </row>
    <row r="70" spans="2:38" ht="36.75" customHeight="1">
      <c r="B70" s="419"/>
      <c r="C70" s="418" t="s">
        <v>119</v>
      </c>
      <c r="D70" s="338" t="s">
        <v>840</v>
      </c>
      <c r="E70" s="422"/>
      <c r="F70" s="423"/>
      <c r="H70" s="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39"/>
      <c r="AH70" s="739"/>
      <c r="AI70" s="739"/>
      <c r="AJ70" s="39"/>
      <c r="AK70" s="772"/>
      <c r="AL70" s="65"/>
    </row>
    <row r="71" spans="2:38">
      <c r="B71" s="419"/>
      <c r="C71" s="418"/>
      <c r="D71" s="340"/>
      <c r="E71" s="422"/>
      <c r="F71" s="423"/>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773"/>
      <c r="AL71" s="65"/>
    </row>
    <row r="72" spans="2:38">
      <c r="B72" s="419"/>
      <c r="C72" s="418" t="s">
        <v>223</v>
      </c>
      <c r="D72" s="426" t="s">
        <v>822</v>
      </c>
      <c r="E72" s="422"/>
      <c r="F72" s="423"/>
      <c r="H72" s="571"/>
      <c r="I72" s="571" t="s">
        <v>705</v>
      </c>
      <c r="J72" s="571"/>
      <c r="K72" s="571"/>
      <c r="L72" s="571"/>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773"/>
      <c r="AL72" s="65"/>
    </row>
    <row r="73" spans="2:38" ht="39.75" customHeight="1">
      <c r="B73" s="419"/>
      <c r="C73" s="418" t="s">
        <v>62</v>
      </c>
      <c r="D73" s="426" t="s">
        <v>704</v>
      </c>
      <c r="E73" s="422"/>
      <c r="F73" s="423"/>
      <c r="H73" s="39"/>
      <c r="K73" s="1" t="s">
        <v>815</v>
      </c>
      <c r="M73" t="s">
        <v>816</v>
      </c>
      <c r="N73" s="1" t="s">
        <v>817</v>
      </c>
      <c r="AK73" s="8"/>
      <c r="AL73" s="8"/>
    </row>
    <row r="74" spans="2:38">
      <c r="B74" s="419"/>
      <c r="C74" s="418"/>
      <c r="D74" s="340"/>
      <c r="E74" s="422"/>
      <c r="F74" s="423"/>
      <c r="I74" t="s">
        <v>818</v>
      </c>
      <c r="J74" s="763">
        <v>200000000</v>
      </c>
      <c r="K74" s="764">
        <v>0.1</v>
      </c>
      <c r="L74" s="763">
        <f>K74*J74</f>
        <v>20000000</v>
      </c>
      <c r="M74" s="763">
        <f>-1*IPMT(8%,1,23,L74)</f>
        <v>1600000</v>
      </c>
      <c r="N74" s="765">
        <v>42552</v>
      </c>
      <c r="AK74" s="8"/>
      <c r="AL74" s="8"/>
    </row>
    <row r="75" spans="2:38">
      <c r="B75" s="419"/>
      <c r="C75" s="418" t="s">
        <v>61</v>
      </c>
      <c r="D75" s="427">
        <v>0.5</v>
      </c>
      <c r="E75" s="422"/>
      <c r="F75" s="423"/>
      <c r="I75" t="s">
        <v>819</v>
      </c>
      <c r="J75" s="763">
        <v>50000000</v>
      </c>
      <c r="K75" s="764">
        <f>K74</f>
        <v>0.1</v>
      </c>
      <c r="L75" s="763">
        <f>K75*J75</f>
        <v>5000000</v>
      </c>
      <c r="M75" s="763">
        <f>-1*IPMT(8%,1,23,L75)</f>
        <v>400000</v>
      </c>
      <c r="N75" s="765">
        <v>41730</v>
      </c>
      <c r="AK75" s="8"/>
      <c r="AL75" s="8"/>
    </row>
    <row r="76" spans="2:38">
      <c r="B76" s="419"/>
      <c r="C76" s="418"/>
      <c r="D76" s="755" t="s">
        <v>814</v>
      </c>
      <c r="E76" s="422"/>
      <c r="F76" s="423"/>
      <c r="I76" t="s">
        <v>820</v>
      </c>
      <c r="J76" s="763">
        <v>50000000</v>
      </c>
      <c r="K76" s="764">
        <f>K75</f>
        <v>0.1</v>
      </c>
      <c r="L76" s="763">
        <f>K76*J76</f>
        <v>5000000</v>
      </c>
      <c r="M76" s="763">
        <f>-1*IPMT(8%,1,23,L76)</f>
        <v>400000</v>
      </c>
      <c r="N76" s="765">
        <v>42095</v>
      </c>
      <c r="AK76" s="8"/>
      <c r="AL76" s="8"/>
    </row>
    <row r="77" spans="2:38">
      <c r="B77" s="419"/>
      <c r="C77" s="428"/>
      <c r="D77" s="421"/>
      <c r="E77" s="422"/>
      <c r="F77" s="423"/>
      <c r="I77" t="s">
        <v>618</v>
      </c>
      <c r="J77" s="763">
        <v>250000000</v>
      </c>
      <c r="K77" s="764">
        <f>K76</f>
        <v>0.1</v>
      </c>
      <c r="L77" s="763">
        <f>K77*J77</f>
        <v>25000000</v>
      </c>
      <c r="M77" s="763">
        <f>-1*IPMT(8%,1,23,L77)</f>
        <v>2000000</v>
      </c>
      <c r="N77" s="765">
        <v>42005</v>
      </c>
    </row>
    <row r="78" spans="2:38" ht="15.75" thickBot="1">
      <c r="B78" s="429"/>
      <c r="C78" s="430"/>
      <c r="D78" s="431"/>
      <c r="E78" s="430"/>
      <c r="F78" s="432"/>
      <c r="J78" s="766">
        <f>SUM(J74:J77)</f>
        <v>550000000</v>
      </c>
      <c r="K78" s="767"/>
      <c r="L78" s="768"/>
      <c r="M78" s="768"/>
      <c r="N78" s="767"/>
    </row>
    <row r="79" spans="2:38">
      <c r="K79" s="1"/>
      <c r="N79" s="1"/>
    </row>
    <row r="80" spans="2:38">
      <c r="H80" s="491"/>
      <c r="K80" s="1"/>
      <c r="N80" s="1"/>
    </row>
    <row r="81" spans="8:43">
      <c r="H81" s="491"/>
      <c r="J81" s="521" t="s">
        <v>149</v>
      </c>
      <c r="K81" s="522" t="s">
        <v>3</v>
      </c>
      <c r="L81" s="522" t="s">
        <v>5</v>
      </c>
      <c r="M81" s="522" t="s">
        <v>6</v>
      </c>
      <c r="N81" s="522" t="s">
        <v>7</v>
      </c>
      <c r="O81" s="522" t="s">
        <v>8</v>
      </c>
      <c r="P81" s="522" t="s">
        <v>9</v>
      </c>
      <c r="Q81" s="522" t="s">
        <v>10</v>
      </c>
      <c r="R81" s="522" t="s">
        <v>11</v>
      </c>
      <c r="S81" s="522" t="s">
        <v>13</v>
      </c>
      <c r="T81" s="522" t="s">
        <v>14</v>
      </c>
      <c r="U81" s="522" t="s">
        <v>15</v>
      </c>
      <c r="V81" s="522" t="s">
        <v>16</v>
      </c>
      <c r="W81" s="522" t="s">
        <v>17</v>
      </c>
      <c r="X81" s="522" t="s">
        <v>18</v>
      </c>
      <c r="Y81" s="522" t="s">
        <v>19</v>
      </c>
      <c r="Z81" s="522" t="s">
        <v>20</v>
      </c>
      <c r="AA81" s="522" t="s">
        <v>21</v>
      </c>
      <c r="AB81" s="522" t="s">
        <v>22</v>
      </c>
      <c r="AC81" s="522" t="s">
        <v>23</v>
      </c>
      <c r="AD81" s="522" t="s">
        <v>24</v>
      </c>
      <c r="AE81" s="522" t="s">
        <v>25</v>
      </c>
      <c r="AF81" s="522" t="s">
        <v>26</v>
      </c>
      <c r="AG81" s="522" t="s">
        <v>27</v>
      </c>
      <c r="AH81" s="522" t="s">
        <v>28</v>
      </c>
      <c r="AI81" s="522" t="s">
        <v>29</v>
      </c>
      <c r="AJ81" s="522" t="s">
        <v>46</v>
      </c>
      <c r="AK81" s="522" t="s">
        <v>47</v>
      </c>
      <c r="AL81" s="522" t="s">
        <v>48</v>
      </c>
      <c r="AM81" s="522" t="s">
        <v>49</v>
      </c>
      <c r="AN81" s="522" t="s">
        <v>50</v>
      </c>
      <c r="AO81" s="522" t="s">
        <v>51</v>
      </c>
      <c r="AP81" s="522" t="s">
        <v>52</v>
      </c>
      <c r="AQ81" s="522" t="s">
        <v>53</v>
      </c>
    </row>
    <row r="82" spans="8:43">
      <c r="J82" s="521" t="s">
        <v>148</v>
      </c>
      <c r="K82" s="521"/>
      <c r="L82" s="521"/>
      <c r="M82" s="521">
        <v>1</v>
      </c>
      <c r="N82" s="521">
        <v>2</v>
      </c>
      <c r="O82" s="521">
        <v>3</v>
      </c>
      <c r="P82" s="521">
        <v>4</v>
      </c>
      <c r="Q82" s="521">
        <v>5</v>
      </c>
      <c r="R82" s="521">
        <v>6</v>
      </c>
      <c r="S82" s="521">
        <v>7</v>
      </c>
      <c r="T82" s="521">
        <v>8</v>
      </c>
      <c r="U82" s="521">
        <v>9</v>
      </c>
      <c r="V82" s="521">
        <v>10</v>
      </c>
      <c r="W82" s="521">
        <v>11</v>
      </c>
      <c r="X82" s="521">
        <v>12</v>
      </c>
      <c r="Y82" s="521">
        <v>13</v>
      </c>
      <c r="Z82" s="521">
        <v>14</v>
      </c>
      <c r="AA82" s="521">
        <v>15</v>
      </c>
      <c r="AB82" s="521">
        <v>16</v>
      </c>
      <c r="AC82" s="521">
        <v>17</v>
      </c>
      <c r="AD82" s="521">
        <v>18</v>
      </c>
      <c r="AE82" s="521">
        <v>19</v>
      </c>
      <c r="AF82" s="521">
        <v>20</v>
      </c>
      <c r="AG82" s="521">
        <v>21</v>
      </c>
      <c r="AH82" s="521">
        <v>22</v>
      </c>
      <c r="AI82" s="521">
        <v>23</v>
      </c>
      <c r="AJ82" s="521">
        <v>24</v>
      </c>
      <c r="AK82" s="521">
        <v>25</v>
      </c>
      <c r="AL82" s="521">
        <v>26</v>
      </c>
      <c r="AM82" s="521">
        <v>27</v>
      </c>
      <c r="AN82" s="521">
        <v>28</v>
      </c>
      <c r="AO82" s="521">
        <v>29</v>
      </c>
      <c r="AP82" s="521">
        <v>30</v>
      </c>
      <c r="AQ82" s="521">
        <v>31</v>
      </c>
    </row>
    <row r="83" spans="8:43">
      <c r="I83" t="s">
        <v>818</v>
      </c>
      <c r="R83" s="769">
        <f>M74</f>
        <v>1600000</v>
      </c>
      <c r="S83" s="769">
        <f t="shared" ref="S83:AQ83" si="0">R83</f>
        <v>1600000</v>
      </c>
      <c r="T83" s="769">
        <f t="shared" si="0"/>
        <v>1600000</v>
      </c>
      <c r="U83" s="769">
        <f t="shared" si="0"/>
        <v>1600000</v>
      </c>
      <c r="V83" s="769">
        <f t="shared" si="0"/>
        <v>1600000</v>
      </c>
      <c r="W83" s="769">
        <f t="shared" si="0"/>
        <v>1600000</v>
      </c>
      <c r="X83" s="769">
        <f t="shared" si="0"/>
        <v>1600000</v>
      </c>
      <c r="Y83" s="769">
        <f t="shared" si="0"/>
        <v>1600000</v>
      </c>
      <c r="Z83" s="769">
        <f t="shared" si="0"/>
        <v>1600000</v>
      </c>
      <c r="AA83" s="769">
        <f t="shared" si="0"/>
        <v>1600000</v>
      </c>
      <c r="AB83" s="769">
        <f t="shared" si="0"/>
        <v>1600000</v>
      </c>
      <c r="AC83" s="769">
        <f t="shared" si="0"/>
        <v>1600000</v>
      </c>
      <c r="AD83" s="769">
        <f t="shared" si="0"/>
        <v>1600000</v>
      </c>
      <c r="AE83" s="769">
        <f t="shared" si="0"/>
        <v>1600000</v>
      </c>
      <c r="AF83" s="769">
        <f t="shared" si="0"/>
        <v>1600000</v>
      </c>
      <c r="AG83" s="769">
        <f t="shared" si="0"/>
        <v>1600000</v>
      </c>
      <c r="AH83" s="769">
        <f t="shared" si="0"/>
        <v>1600000</v>
      </c>
      <c r="AI83" s="769">
        <f t="shared" si="0"/>
        <v>1600000</v>
      </c>
      <c r="AJ83" s="769">
        <f t="shared" si="0"/>
        <v>1600000</v>
      </c>
      <c r="AK83" s="769">
        <f t="shared" si="0"/>
        <v>1600000</v>
      </c>
      <c r="AL83" s="769">
        <f t="shared" si="0"/>
        <v>1600000</v>
      </c>
      <c r="AM83" s="769">
        <f t="shared" si="0"/>
        <v>1600000</v>
      </c>
      <c r="AN83" s="769">
        <f t="shared" si="0"/>
        <v>1600000</v>
      </c>
      <c r="AO83" s="769">
        <f t="shared" si="0"/>
        <v>1600000</v>
      </c>
      <c r="AP83" s="769">
        <f t="shared" si="0"/>
        <v>1600000</v>
      </c>
      <c r="AQ83" s="769">
        <f t="shared" si="0"/>
        <v>1600000</v>
      </c>
    </row>
    <row r="84" spans="8:43">
      <c r="I84" t="s">
        <v>819</v>
      </c>
      <c r="J84" s="768"/>
      <c r="K84" s="768"/>
      <c r="P84" s="769">
        <f>M75</f>
        <v>400000</v>
      </c>
      <c r="Q84" s="769">
        <f t="shared" ref="Q84:AO86" si="1">P84</f>
        <v>400000</v>
      </c>
      <c r="R84" s="769">
        <f t="shared" si="1"/>
        <v>400000</v>
      </c>
      <c r="S84" s="769">
        <f t="shared" si="1"/>
        <v>400000</v>
      </c>
      <c r="T84" s="769">
        <f t="shared" si="1"/>
        <v>400000</v>
      </c>
      <c r="U84" s="769">
        <f t="shared" si="1"/>
        <v>400000</v>
      </c>
      <c r="V84" s="769">
        <f t="shared" si="1"/>
        <v>400000</v>
      </c>
      <c r="W84" s="769">
        <f t="shared" si="1"/>
        <v>400000</v>
      </c>
      <c r="X84" s="769">
        <f t="shared" si="1"/>
        <v>400000</v>
      </c>
      <c r="Y84" s="769">
        <f t="shared" si="1"/>
        <v>400000</v>
      </c>
      <c r="Z84" s="769">
        <f t="shared" si="1"/>
        <v>400000</v>
      </c>
      <c r="AA84" s="769">
        <f t="shared" si="1"/>
        <v>400000</v>
      </c>
      <c r="AB84" s="769">
        <f t="shared" si="1"/>
        <v>400000</v>
      </c>
      <c r="AC84" s="769">
        <f t="shared" si="1"/>
        <v>400000</v>
      </c>
      <c r="AD84" s="769">
        <f t="shared" si="1"/>
        <v>400000</v>
      </c>
      <c r="AE84" s="769">
        <f t="shared" si="1"/>
        <v>400000</v>
      </c>
      <c r="AF84" s="769">
        <f t="shared" si="1"/>
        <v>400000</v>
      </c>
      <c r="AG84" s="769">
        <f t="shared" si="1"/>
        <v>400000</v>
      </c>
      <c r="AH84" s="769">
        <f t="shared" si="1"/>
        <v>400000</v>
      </c>
      <c r="AI84" s="769">
        <f t="shared" si="1"/>
        <v>400000</v>
      </c>
      <c r="AJ84" s="769">
        <f t="shared" si="1"/>
        <v>400000</v>
      </c>
      <c r="AK84" s="769">
        <f t="shared" si="1"/>
        <v>400000</v>
      </c>
      <c r="AL84" s="769">
        <f t="shared" si="1"/>
        <v>400000</v>
      </c>
      <c r="AM84" s="769">
        <f t="shared" si="1"/>
        <v>400000</v>
      </c>
      <c r="AN84" s="769">
        <f t="shared" si="1"/>
        <v>400000</v>
      </c>
      <c r="AO84" s="769">
        <f t="shared" si="1"/>
        <v>400000</v>
      </c>
    </row>
    <row r="85" spans="8:43">
      <c r="I85" t="s">
        <v>820</v>
      </c>
      <c r="J85" s="768"/>
      <c r="K85" s="768"/>
      <c r="Q85" s="769">
        <f>M76</f>
        <v>400000</v>
      </c>
      <c r="R85" s="769">
        <f t="shared" si="1"/>
        <v>400000</v>
      </c>
      <c r="S85" s="769">
        <f t="shared" si="1"/>
        <v>400000</v>
      </c>
      <c r="T85" s="769">
        <f t="shared" si="1"/>
        <v>400000</v>
      </c>
      <c r="U85" s="769">
        <f t="shared" si="1"/>
        <v>400000</v>
      </c>
      <c r="V85" s="769">
        <f t="shared" si="1"/>
        <v>400000</v>
      </c>
      <c r="W85" s="769">
        <f t="shared" si="1"/>
        <v>400000</v>
      </c>
      <c r="X85" s="769">
        <f t="shared" si="1"/>
        <v>400000</v>
      </c>
      <c r="Y85" s="769">
        <f t="shared" si="1"/>
        <v>400000</v>
      </c>
      <c r="Z85" s="769">
        <f t="shared" si="1"/>
        <v>400000</v>
      </c>
      <c r="AA85" s="769">
        <f t="shared" si="1"/>
        <v>400000</v>
      </c>
      <c r="AB85" s="769">
        <f t="shared" si="1"/>
        <v>400000</v>
      </c>
      <c r="AC85" s="769">
        <f t="shared" si="1"/>
        <v>400000</v>
      </c>
      <c r="AD85" s="769">
        <f t="shared" si="1"/>
        <v>400000</v>
      </c>
      <c r="AE85" s="769">
        <f t="shared" si="1"/>
        <v>400000</v>
      </c>
      <c r="AF85" s="769">
        <f t="shared" si="1"/>
        <v>400000</v>
      </c>
      <c r="AG85" s="769">
        <f t="shared" si="1"/>
        <v>400000</v>
      </c>
      <c r="AH85" s="769">
        <f t="shared" si="1"/>
        <v>400000</v>
      </c>
      <c r="AI85" s="769">
        <f t="shared" si="1"/>
        <v>400000</v>
      </c>
      <c r="AJ85" s="769">
        <f t="shared" si="1"/>
        <v>400000</v>
      </c>
      <c r="AK85" s="769">
        <f t="shared" si="1"/>
        <v>400000</v>
      </c>
      <c r="AL85" s="769">
        <f t="shared" si="1"/>
        <v>400000</v>
      </c>
      <c r="AM85" s="769">
        <f t="shared" si="1"/>
        <v>400000</v>
      </c>
      <c r="AN85" s="769">
        <f t="shared" si="1"/>
        <v>400000</v>
      </c>
      <c r="AO85" s="769">
        <f t="shared" si="1"/>
        <v>400000</v>
      </c>
      <c r="AP85" s="769">
        <f t="shared" ref="AP85:AP86" si="2">AO85</f>
        <v>400000</v>
      </c>
    </row>
    <row r="86" spans="8:43">
      <c r="I86" t="s">
        <v>618</v>
      </c>
      <c r="J86" s="768"/>
      <c r="K86" s="768"/>
      <c r="Q86" s="769">
        <f>M77</f>
        <v>2000000</v>
      </c>
      <c r="R86" s="769">
        <f t="shared" si="1"/>
        <v>2000000</v>
      </c>
      <c r="S86" s="769">
        <f t="shared" si="1"/>
        <v>2000000</v>
      </c>
      <c r="T86" s="769">
        <f t="shared" si="1"/>
        <v>2000000</v>
      </c>
      <c r="U86" s="769">
        <f t="shared" si="1"/>
        <v>2000000</v>
      </c>
      <c r="V86" s="769">
        <f t="shared" si="1"/>
        <v>2000000</v>
      </c>
      <c r="W86" s="769">
        <f t="shared" si="1"/>
        <v>2000000</v>
      </c>
      <c r="X86" s="769">
        <f t="shared" si="1"/>
        <v>2000000</v>
      </c>
      <c r="Y86" s="769">
        <f t="shared" si="1"/>
        <v>2000000</v>
      </c>
      <c r="Z86" s="769">
        <f t="shared" si="1"/>
        <v>2000000</v>
      </c>
      <c r="AA86" s="769">
        <f t="shared" si="1"/>
        <v>2000000</v>
      </c>
      <c r="AB86" s="769">
        <f t="shared" si="1"/>
        <v>2000000</v>
      </c>
      <c r="AC86" s="769">
        <f t="shared" si="1"/>
        <v>2000000</v>
      </c>
      <c r="AD86" s="769">
        <f t="shared" si="1"/>
        <v>2000000</v>
      </c>
      <c r="AE86" s="769">
        <f t="shared" si="1"/>
        <v>2000000</v>
      </c>
      <c r="AF86" s="769">
        <f t="shared" si="1"/>
        <v>2000000</v>
      </c>
      <c r="AG86" s="769">
        <f t="shared" si="1"/>
        <v>2000000</v>
      </c>
      <c r="AH86" s="769">
        <f t="shared" si="1"/>
        <v>2000000</v>
      </c>
      <c r="AI86" s="769">
        <f t="shared" si="1"/>
        <v>2000000</v>
      </c>
      <c r="AJ86" s="769">
        <f t="shared" si="1"/>
        <v>2000000</v>
      </c>
      <c r="AK86" s="769">
        <f t="shared" si="1"/>
        <v>2000000</v>
      </c>
      <c r="AL86" s="769">
        <f t="shared" si="1"/>
        <v>2000000</v>
      </c>
      <c r="AM86" s="769">
        <f t="shared" si="1"/>
        <v>2000000</v>
      </c>
      <c r="AN86" s="769">
        <f t="shared" si="1"/>
        <v>2000000</v>
      </c>
      <c r="AO86" s="769">
        <f t="shared" si="1"/>
        <v>2000000</v>
      </c>
      <c r="AP86" s="769">
        <f t="shared" si="2"/>
        <v>2000000</v>
      </c>
    </row>
    <row r="87" spans="8:43">
      <c r="I87" s="770" t="s">
        <v>821</v>
      </c>
      <c r="J87" s="763">
        <f>SUM(K87:AQ87)</f>
        <v>114400000</v>
      </c>
      <c r="K87" s="771">
        <f>SUM(K83:K86)</f>
        <v>0</v>
      </c>
      <c r="L87" s="771">
        <f t="shared" ref="L87:AQ87" si="3">SUM(L83:L86)</f>
        <v>0</v>
      </c>
      <c r="M87" s="771">
        <f t="shared" si="3"/>
        <v>0</v>
      </c>
      <c r="N87" s="771">
        <f t="shared" si="3"/>
        <v>0</v>
      </c>
      <c r="O87" s="771">
        <f t="shared" si="3"/>
        <v>0</v>
      </c>
      <c r="P87" s="774">
        <f t="shared" si="3"/>
        <v>400000</v>
      </c>
      <c r="Q87" s="774">
        <f t="shared" si="3"/>
        <v>2800000</v>
      </c>
      <c r="R87" s="774">
        <f t="shared" si="3"/>
        <v>4400000</v>
      </c>
      <c r="S87" s="774">
        <f t="shared" si="3"/>
        <v>4400000</v>
      </c>
      <c r="T87" s="774">
        <f t="shared" si="3"/>
        <v>4400000</v>
      </c>
      <c r="U87" s="774">
        <f t="shared" si="3"/>
        <v>4400000</v>
      </c>
      <c r="V87" s="774">
        <f t="shared" si="3"/>
        <v>4400000</v>
      </c>
      <c r="W87" s="774">
        <f t="shared" si="3"/>
        <v>4400000</v>
      </c>
      <c r="X87" s="774">
        <f t="shared" si="3"/>
        <v>4400000</v>
      </c>
      <c r="Y87" s="774">
        <f t="shared" si="3"/>
        <v>4400000</v>
      </c>
      <c r="Z87" s="774">
        <f t="shared" si="3"/>
        <v>4400000</v>
      </c>
      <c r="AA87" s="774">
        <f t="shared" si="3"/>
        <v>4400000</v>
      </c>
      <c r="AB87" s="774">
        <f t="shared" si="3"/>
        <v>4400000</v>
      </c>
      <c r="AC87" s="774">
        <f t="shared" si="3"/>
        <v>4400000</v>
      </c>
      <c r="AD87" s="774">
        <f t="shared" si="3"/>
        <v>4400000</v>
      </c>
      <c r="AE87" s="774">
        <f t="shared" si="3"/>
        <v>4400000</v>
      </c>
      <c r="AF87" s="774">
        <f t="shared" si="3"/>
        <v>4400000</v>
      </c>
      <c r="AG87" s="774">
        <f t="shared" si="3"/>
        <v>4400000</v>
      </c>
      <c r="AH87" s="774">
        <f t="shared" si="3"/>
        <v>4400000</v>
      </c>
      <c r="AI87" s="774">
        <f t="shared" si="3"/>
        <v>4400000</v>
      </c>
      <c r="AJ87" s="774">
        <f t="shared" si="3"/>
        <v>4400000</v>
      </c>
      <c r="AK87" s="774">
        <f t="shared" si="3"/>
        <v>4400000</v>
      </c>
      <c r="AL87" s="774">
        <f t="shared" si="3"/>
        <v>4400000</v>
      </c>
      <c r="AM87" s="774">
        <f t="shared" si="3"/>
        <v>4400000</v>
      </c>
      <c r="AN87" s="774">
        <f t="shared" si="3"/>
        <v>4400000</v>
      </c>
      <c r="AO87" s="774">
        <f t="shared" si="3"/>
        <v>4400000</v>
      </c>
      <c r="AP87" s="774">
        <f t="shared" si="3"/>
        <v>4000000</v>
      </c>
      <c r="AQ87" s="774">
        <f t="shared" si="3"/>
        <v>1600000</v>
      </c>
    </row>
  </sheetData>
  <dataValidations count="7">
    <dataValidation type="list" allowBlank="1" showInputMessage="1" showErrorMessage="1" sqref="D27">
      <formula1>$D$28:$D$32</formula1>
    </dataValidation>
    <dataValidation type="list" allowBlank="1" showInputMessage="1" showErrorMessage="1" sqref="D34">
      <formula1>$D$35:$D$38</formula1>
    </dataValidation>
    <dataValidation type="list" allowBlank="1" showInputMessage="1" showErrorMessage="1" sqref="D40">
      <formula1>$D$41:$D$45</formula1>
    </dataValidation>
    <dataValidation type="list" allowBlank="1" showInputMessage="1" showErrorMessage="1" sqref="D23">
      <formula1>$D$25:$D$39</formula1>
    </dataValidation>
    <dataValidation type="list" allowBlank="1" showInputMessage="1" showErrorMessage="1" sqref="D54">
      <formula1>$D$56:$D$58</formula1>
    </dataValidation>
    <dataValidation type="list" allowBlank="1" showInputMessage="1" showErrorMessage="1" sqref="D60">
      <formula1>$D$61:$D$64</formula1>
    </dataValidation>
    <dataValidation type="list" allowBlank="1" showInputMessage="1" showErrorMessage="1" sqref="D47">
      <formula1>$D$48:$D$51</formula1>
    </dataValidation>
  </dataValidations>
  <pageMargins left="0.7" right="0.7" top="0.75" bottom="0.75" header="0.3" footer="0.3"/>
  <pageSetup paperSize="8" scale="45" orientation="landscape" r:id="rId1"/>
</worksheet>
</file>

<file path=xl/worksheets/sheet67.xml><?xml version="1.0" encoding="utf-8"?>
<worksheet xmlns="http://schemas.openxmlformats.org/spreadsheetml/2006/main" xmlns:r="http://schemas.openxmlformats.org/officeDocument/2006/relationships">
  <dimension ref="A1:B13"/>
  <sheetViews>
    <sheetView workbookViewId="0">
      <selection activeCell="D8" sqref="D8"/>
    </sheetView>
  </sheetViews>
  <sheetFormatPr defaultRowHeight="15"/>
  <cols>
    <col min="1" max="1" width="51.28515625" customWidth="1"/>
    <col min="2" max="2" width="16.28515625" style="826" bestFit="1" customWidth="1"/>
  </cols>
  <sheetData>
    <row r="1" spans="1:2">
      <c r="A1" s="459" t="s">
        <v>853</v>
      </c>
      <c r="B1" s="839" t="s">
        <v>854</v>
      </c>
    </row>
    <row r="2" spans="1:2">
      <c r="A2" t="s">
        <v>540</v>
      </c>
      <c r="B2" s="826">
        <v>6800000</v>
      </c>
    </row>
    <row r="3" spans="1:2">
      <c r="A3" t="s">
        <v>58</v>
      </c>
      <c r="B3" s="826">
        <v>2500000</v>
      </c>
    </row>
    <row r="4" spans="1:2">
      <c r="A4" t="s">
        <v>842</v>
      </c>
      <c r="B4" s="826">
        <v>4100000</v>
      </c>
    </row>
    <row r="5" spans="1:2">
      <c r="A5" t="s">
        <v>843</v>
      </c>
      <c r="B5" s="826">
        <v>6100000</v>
      </c>
    </row>
    <row r="6" spans="1:2">
      <c r="A6" t="s">
        <v>90</v>
      </c>
      <c r="B6" s="826">
        <v>16000000</v>
      </c>
    </row>
    <row r="7" spans="1:2">
      <c r="A7" t="s">
        <v>844</v>
      </c>
      <c r="B7" s="826">
        <v>3100000</v>
      </c>
    </row>
    <row r="8" spans="1:2">
      <c r="A8" t="s">
        <v>845</v>
      </c>
      <c r="B8" s="826">
        <v>1500000</v>
      </c>
    </row>
    <row r="9" spans="1:2">
      <c r="A9" t="s">
        <v>846</v>
      </c>
      <c r="B9" s="826">
        <v>11800000</v>
      </c>
    </row>
    <row r="10" spans="1:2">
      <c r="A10" t="s">
        <v>852</v>
      </c>
      <c r="B10" s="826">
        <v>17600000</v>
      </c>
    </row>
    <row r="11" spans="1:2">
      <c r="A11" t="s">
        <v>45</v>
      </c>
      <c r="B11" s="826">
        <v>6500000</v>
      </c>
    </row>
    <row r="12" spans="1:2">
      <c r="A12" t="s">
        <v>855</v>
      </c>
      <c r="B12" s="826">
        <v>37500000</v>
      </c>
    </row>
    <row r="13" spans="1:2">
      <c r="B13" s="840">
        <f>SUM(B2:B12)</f>
        <v>113500000</v>
      </c>
    </row>
  </sheetData>
  <pageMargins left="0.7" right="0.7" top="0.75" bottom="0.75" header="0.3" footer="0.3"/>
  <pageSetup paperSize="9" orientation="portrait" r:id="rId1"/>
  <drawing r:id="rId2"/>
  <legacyDrawing r:id="rId3"/>
</worksheet>
</file>

<file path=xl/worksheets/sheet68.xml><?xml version="1.0" encoding="utf-8"?>
<worksheet xmlns="http://schemas.openxmlformats.org/spreadsheetml/2006/main" xmlns:r="http://schemas.openxmlformats.org/officeDocument/2006/relationships">
  <sheetPr>
    <pageSetUpPr fitToPage="1"/>
  </sheetPr>
  <dimension ref="A7:I12"/>
  <sheetViews>
    <sheetView zoomScale="75" zoomScaleNormal="75" workbookViewId="0">
      <selection activeCell="L52" sqref="L52"/>
    </sheetView>
  </sheetViews>
  <sheetFormatPr defaultRowHeight="15"/>
  <cols>
    <col min="1" max="1" width="9.140625" style="1"/>
    <col min="2" max="2" width="13.42578125" bestFit="1" customWidth="1"/>
    <col min="3" max="3" width="22.7109375" bestFit="1" customWidth="1"/>
  </cols>
  <sheetData>
    <row r="7" spans="7:9" ht="15.75" thickBot="1"/>
    <row r="8" spans="7:9">
      <c r="G8" s="4"/>
      <c r="H8" s="5"/>
      <c r="I8" s="6"/>
    </row>
    <row r="9" spans="7:9">
      <c r="G9" s="7"/>
      <c r="H9" s="8"/>
      <c r="I9" s="10"/>
    </row>
    <row r="10" spans="7:9" ht="18.75">
      <c r="G10" s="7"/>
      <c r="H10" s="197" t="s">
        <v>208</v>
      </c>
      <c r="I10" s="10"/>
    </row>
    <row r="11" spans="7:9">
      <c r="G11" s="7"/>
      <c r="H11" s="8"/>
      <c r="I11" s="10"/>
    </row>
    <row r="12" spans="7:9" ht="15.75" thickBot="1">
      <c r="G12" s="11"/>
      <c r="H12" s="12"/>
      <c r="I12" s="51"/>
    </row>
  </sheetData>
  <phoneticPr fontId="19" type="noConversion"/>
  <pageMargins left="0.7" right="0.7" top="0.75" bottom="0.75" header="0.3" footer="0.3"/>
  <pageSetup paperSize="9" scale="87"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AQ390"/>
  <sheetViews>
    <sheetView zoomScale="75" zoomScaleNormal="75" workbookViewId="0">
      <pane xSplit="3" ySplit="11" topLeftCell="D364" activePane="bottomRight" state="frozen"/>
      <selection activeCell="L52" sqref="L52"/>
      <selection pane="topRight" activeCell="L52" sqref="L52"/>
      <selection pane="bottomLeft" activeCell="L52" sqref="L52"/>
      <selection pane="bottomRight" activeCell="P4" sqref="P4"/>
    </sheetView>
  </sheetViews>
  <sheetFormatPr defaultRowHeight="15"/>
  <cols>
    <col min="1" max="1" width="2.85546875" customWidth="1"/>
    <col min="2" max="2" width="25.5703125" customWidth="1"/>
    <col min="3" max="3" width="15.28515625" bestFit="1" customWidth="1"/>
    <col min="4" max="4" width="15.28515625" customWidth="1"/>
    <col min="5" max="5" width="15.42578125" customWidth="1"/>
    <col min="6" max="6" width="14.42578125" customWidth="1"/>
    <col min="7" max="7" width="14.140625" customWidth="1"/>
    <col min="8" max="10" width="12.7109375" bestFit="1" customWidth="1"/>
    <col min="11" max="13" width="14.42578125" bestFit="1" customWidth="1"/>
    <col min="14" max="14" width="12.7109375" bestFit="1" customWidth="1"/>
    <col min="16" max="16" width="10.5703125" customWidth="1"/>
    <col min="18" max="18" width="12" customWidth="1"/>
  </cols>
  <sheetData>
    <row r="1" spans="1:18" ht="19.5" thickBot="1">
      <c r="B1" s="25" t="s">
        <v>60</v>
      </c>
      <c r="I1" s="726" t="s">
        <v>3</v>
      </c>
      <c r="K1" s="726" t="s">
        <v>5</v>
      </c>
      <c r="P1" s="726" t="s">
        <v>5</v>
      </c>
      <c r="R1" s="726" t="s">
        <v>5</v>
      </c>
    </row>
    <row r="2" spans="1:18" ht="19.5" thickBot="1">
      <c r="B2" s="25" t="s">
        <v>347</v>
      </c>
      <c r="D2" s="262"/>
      <c r="E2" s="198" t="s">
        <v>3</v>
      </c>
      <c r="F2" s="1" t="s">
        <v>5</v>
      </c>
      <c r="G2" s="542" t="s">
        <v>458</v>
      </c>
      <c r="I2" s="1037" t="s">
        <v>861</v>
      </c>
      <c r="K2" s="1037" t="s">
        <v>863</v>
      </c>
      <c r="M2" s="148" t="s">
        <v>222</v>
      </c>
      <c r="P2" s="1037" t="s">
        <v>862</v>
      </c>
      <c r="R2" s="1037" t="s">
        <v>599</v>
      </c>
    </row>
    <row r="3" spans="1:18" ht="19.5" thickBot="1">
      <c r="B3" s="25" t="s">
        <v>112</v>
      </c>
      <c r="D3" s="164" t="s">
        <v>349</v>
      </c>
      <c r="E3" s="1022">
        <f>D11/1000000</f>
        <v>98.716562838725267</v>
      </c>
      <c r="F3" s="541">
        <f>E11/1000000</f>
        <v>83.525842255495206</v>
      </c>
      <c r="G3" s="543">
        <f>E3+F3</f>
        <v>182.24240509422049</v>
      </c>
      <c r="H3" s="82"/>
      <c r="I3" s="734">
        <v>82</v>
      </c>
      <c r="J3" s="82"/>
      <c r="K3" s="544">
        <f>G3-I3</f>
        <v>100.24240509422049</v>
      </c>
      <c r="M3" s="149">
        <v>0.2</v>
      </c>
      <c r="P3" s="734">
        <v>4</v>
      </c>
      <c r="Q3" s="82"/>
      <c r="R3" s="734">
        <f>K3-P3</f>
        <v>96.242405094220487</v>
      </c>
    </row>
    <row r="4" spans="1:18" s="39" customFormat="1" ht="18.75">
      <c r="B4" s="40" t="s">
        <v>316</v>
      </c>
      <c r="D4" s="196"/>
      <c r="E4" s="181"/>
    </row>
    <row r="5" spans="1:18" ht="18.75">
      <c r="B5" s="25"/>
      <c r="M5" s="145"/>
    </row>
    <row r="6" spans="1:18">
      <c r="B6" s="36" t="s">
        <v>114</v>
      </c>
    </row>
    <row r="7" spans="1:18" s="1" customFormat="1" ht="15.75" thickBot="1">
      <c r="B7" s="48" t="s">
        <v>59</v>
      </c>
      <c r="C7" s="49">
        <v>3.5000000000000003E-2</v>
      </c>
      <c r="D7" s="2" t="s">
        <v>3</v>
      </c>
      <c r="E7" s="2" t="s">
        <v>5</v>
      </c>
      <c r="F7" s="2" t="s">
        <v>6</v>
      </c>
      <c r="G7" s="2" t="s">
        <v>7</v>
      </c>
      <c r="H7" s="2" t="s">
        <v>8</v>
      </c>
      <c r="I7" s="2" t="s">
        <v>9</v>
      </c>
      <c r="J7" s="2" t="s">
        <v>10</v>
      </c>
      <c r="K7" s="2" t="s">
        <v>11</v>
      </c>
      <c r="L7" s="2" t="s">
        <v>13</v>
      </c>
      <c r="M7" s="2" t="s">
        <v>14</v>
      </c>
      <c r="N7" s="2" t="s">
        <v>15</v>
      </c>
    </row>
    <row r="8" spans="1:18" s="1" customFormat="1" ht="15.75" thickBot="1">
      <c r="B8" s="41" t="s">
        <v>35</v>
      </c>
      <c r="C8" s="137"/>
      <c r="D8" s="142">
        <f>D$15+D$22+D$29+D$36+D$43+D$50+D$57+D$64+D$71+D$78+D$85+D$92+D$99+D$106+D$113+D$120+D$127+D$134+D$141+D$148+D$155+D$162+D$169+D$176+D$183+D$190+D$197+D$204+D$211+D$218+D$225+D$232+D$239+D$246+D$253+D$260+D$267+D$274+D$281+D$288+D$295+D$302+D$309+D$316+D$323+D$330+D$337+D$344+D$351+D$358+D$365+D$372+D$379+D$386</f>
        <v>701944.22</v>
      </c>
      <c r="E8" s="142">
        <f t="shared" ref="E8:N8" si="0">E$15+E$22+E$29+E$36+E$43+E$50+E$57+E$64+E$71+E$78+E$85+E$92+E$99+E$106+E$113+E$120+E$127+E$134+E$141+E$148+E$155+E$162+E$169+E$176+E$183+E$190+E$197+E$204+E$211+E$218+E$225+E$232+E$239+E$246+E$253+E$260+E$267+E$274+E$281+E$288+E$295+E$302+E$309+E$316+E$323+E$330+E$337+E$344+E$351+E$358+E$365+E$372+E$379+E$386</f>
        <v>4170614.8095787861</v>
      </c>
      <c r="F8" s="142">
        <f t="shared" si="0"/>
        <v>17384720.798162203</v>
      </c>
      <c r="G8" s="142">
        <f t="shared" si="0"/>
        <v>48526570.437016368</v>
      </c>
      <c r="H8" s="142">
        <f t="shared" si="0"/>
        <v>38363083.809672624</v>
      </c>
      <c r="I8" s="142">
        <f t="shared" si="0"/>
        <v>52743072.264551088</v>
      </c>
      <c r="J8" s="142">
        <f t="shared" si="0"/>
        <v>48512265.360905267</v>
      </c>
      <c r="K8" s="142">
        <f t="shared" si="0"/>
        <v>50757190.86929068</v>
      </c>
      <c r="L8" s="142">
        <f t="shared" si="0"/>
        <v>45027286.166180559</v>
      </c>
      <c r="M8" s="142">
        <f t="shared" si="0"/>
        <v>32710489.703888889</v>
      </c>
      <c r="N8" s="142">
        <f t="shared" si="0"/>
        <v>24615299.211388893</v>
      </c>
    </row>
    <row r="9" spans="1:18" s="17" customFormat="1" ht="15.75" thickBot="1">
      <c r="B9" s="42" t="s">
        <v>33</v>
      </c>
      <c r="C9" s="141">
        <f>C16+C23+C30+C37+C44+C51+C58+C65+C72+C79+C86+C93+C100+C107+C114+C121+C128+C135+C142+C149+C156+C163+C170+C177+C184+C191+C198+C205+C212+C219+C226+C233+C240+C247+C254+C261+C268+C275+C282+C289+C296+C303+C310+C317+C324+C331+C338+C345+C352+C359+C366+C373+C380+C387</f>
        <v>307966289.23637426</v>
      </c>
      <c r="D9" s="140"/>
      <c r="E9" s="43"/>
      <c r="F9" s="43"/>
      <c r="G9" s="43"/>
      <c r="H9" s="43"/>
      <c r="I9" s="43"/>
      <c r="J9" s="43"/>
      <c r="K9" s="43"/>
      <c r="L9" s="43"/>
      <c r="M9" s="43"/>
      <c r="N9" s="43"/>
    </row>
    <row r="10" spans="1:18" s="45" customFormat="1" ht="15.75" thickBot="1">
      <c r="B10" s="42"/>
      <c r="C10" s="138" t="str">
        <f>IF(SUM(D11:N11)&lt;&gt;C9,"CHECK"," ")</f>
        <v>CHECK</v>
      </c>
      <c r="D10" s="140"/>
      <c r="E10" s="43">
        <f>SUM(D11:K11)</f>
        <v>307966273.20510602</v>
      </c>
      <c r="F10" s="43">
        <f>C9-E10</f>
        <v>16.031268239021301</v>
      </c>
      <c r="G10" s="43"/>
      <c r="H10" s="43"/>
      <c r="I10" s="43"/>
      <c r="J10" s="43"/>
      <c r="K10" s="43"/>
      <c r="L10" s="43"/>
      <c r="M10" s="43"/>
      <c r="N10" s="43"/>
    </row>
    <row r="11" spans="1:18" s="35" customFormat="1" ht="15.75" thickBot="1">
      <c r="B11" s="46" t="s">
        <v>34</v>
      </c>
      <c r="C11" s="47"/>
      <c r="D11" s="142">
        <f>D$18+D$25+D$32+D$39+D$46+D$53+D$60+D$67+D$74+D$81+D$88+D$95+D$102+D$109+D$116+D$123+D$130+D$137+D$144+D$151+D$158+D$165+D$172+D$179+D$186+D$193+D$200+D$207+D$214+D$221+D$228+D$235+D$242+D$249+D$256+D$263+D$270+D$277+D$284+D$291+D$298+D$305+D$312+D$319+D$326+D$333+D$340+D$347+D$354+D$361+D$368+D$375+D$382+D$389</f>
        <v>98716562.838725269</v>
      </c>
      <c r="E11" s="142">
        <f t="shared" ref="E11:N11" si="1">E$18+E$25+E$32+E$39+E$46+E$53+E$60+E$67+E$74+E$81+E$88+E$95+E$102+E$109+E$116+E$123+E$130+E$137+E$144+E$151+E$158+E$165+E$172+E$179+E$186+E$193+E$200+E$207+E$214+E$221+E$228+E$235+E$242+E$249+E$256+E$263+E$270+E$277+E$284+E$291+E$298+E$305+E$312+E$319+E$326+E$333+E$340+E$347+E$354+E$361+E$368+E$375+E$382+E$389</f>
        <v>83525842.255495206</v>
      </c>
      <c r="F11" s="142">
        <f t="shared" si="1"/>
        <v>61964991.880495422</v>
      </c>
      <c r="G11" s="142">
        <f t="shared" si="1"/>
        <v>34983643.736283936</v>
      </c>
      <c r="H11" s="142">
        <f t="shared" si="1"/>
        <v>10791855.942991626</v>
      </c>
      <c r="I11" s="142">
        <f t="shared" si="1"/>
        <v>8991688.2755572982</v>
      </c>
      <c r="J11" s="142">
        <f t="shared" si="1"/>
        <v>8991688.2755572982</v>
      </c>
      <c r="K11" s="142">
        <f t="shared" si="1"/>
        <v>0</v>
      </c>
      <c r="L11" s="142">
        <f t="shared" si="1"/>
        <v>0</v>
      </c>
      <c r="M11" s="142">
        <f t="shared" si="1"/>
        <v>0</v>
      </c>
      <c r="N11" s="142">
        <f t="shared" si="1"/>
        <v>0</v>
      </c>
    </row>
    <row r="12" spans="1:18" s="1" customFormat="1" ht="15.75" thickBot="1">
      <c r="B12" s="18"/>
      <c r="C12" s="139"/>
      <c r="D12" s="221"/>
      <c r="E12" s="172"/>
      <c r="F12" s="172"/>
      <c r="G12" s="172"/>
      <c r="H12" s="172"/>
      <c r="I12" s="172"/>
      <c r="J12" s="172"/>
      <c r="K12" s="172"/>
      <c r="L12" s="172"/>
      <c r="M12" s="172"/>
      <c r="N12" s="172"/>
    </row>
    <row r="13" spans="1:18">
      <c r="A13" s="131"/>
      <c r="B13" s="4" t="s">
        <v>12</v>
      </c>
      <c r="C13" s="133" t="str">
        <f>Summary!B15</f>
        <v>A1</v>
      </c>
      <c r="D13" s="156" t="str">
        <f>Summary!C15</f>
        <v>Key Stage Reviews - PUK KSR Costs Avoided</v>
      </c>
      <c r="E13" s="5"/>
      <c r="F13" s="5"/>
      <c r="G13" s="5"/>
      <c r="H13" s="5"/>
      <c r="I13" s="5"/>
      <c r="J13" s="5"/>
      <c r="K13" s="5"/>
      <c r="L13" s="5"/>
      <c r="M13" s="5"/>
      <c r="N13" s="5"/>
    </row>
    <row r="14" spans="1:18">
      <c r="A14" s="131"/>
      <c r="B14" s="7" t="s">
        <v>189</v>
      </c>
      <c r="C14" s="134" t="str">
        <f>'A1 PUK KSR Fees'!D47</f>
        <v>A - High</v>
      </c>
      <c r="D14" s="176">
        <f>VLOOKUP(C14,'Confidence Factors'!$B$6:$D$9,3)-M3</f>
        <v>0.8</v>
      </c>
      <c r="E14" s="8"/>
      <c r="F14" s="8"/>
      <c r="G14" s="8"/>
      <c r="H14" s="8"/>
      <c r="I14" s="8"/>
      <c r="J14" s="8"/>
      <c r="K14" s="8"/>
      <c r="L14" s="8"/>
      <c r="M14" s="8"/>
      <c r="N14" s="8"/>
    </row>
    <row r="15" spans="1:18">
      <c r="A15" s="131"/>
      <c r="B15" s="7" t="s">
        <v>30</v>
      </c>
      <c r="C15" s="128">
        <f>SUM(D15:N15)</f>
        <v>163996.79999999999</v>
      </c>
      <c r="D15" s="177">
        <f>'A1 PUK KSR Fees'!H73*'A1 PUK KSR Fees'!D75*'Calcs - Scen 3'!D14</f>
        <v>61596.800000000003</v>
      </c>
      <c r="E15" s="3">
        <f>'A1 PUK KSR Fees'!I73*'A1 PUK KSR Fees'!D75*'Calcs - Scen 3'!D14</f>
        <v>102400</v>
      </c>
      <c r="F15" s="3">
        <v>0</v>
      </c>
      <c r="G15" s="3">
        <v>0</v>
      </c>
      <c r="H15" s="3">
        <v>0</v>
      </c>
      <c r="I15" s="3">
        <v>0</v>
      </c>
      <c r="J15" s="3">
        <v>0</v>
      </c>
      <c r="K15" s="3">
        <v>0</v>
      </c>
      <c r="L15" s="3">
        <v>0</v>
      </c>
      <c r="M15" s="3">
        <v>0</v>
      </c>
      <c r="N15" s="3">
        <v>0</v>
      </c>
    </row>
    <row r="16" spans="1:18">
      <c r="A16" s="131"/>
      <c r="B16" s="7" t="s">
        <v>31</v>
      </c>
      <c r="C16" s="129">
        <f>NPV($C$7,F15:N15)+D15+E15</f>
        <v>163996.79999999999</v>
      </c>
      <c r="D16" s="7"/>
      <c r="E16" s="8"/>
      <c r="F16" s="8"/>
      <c r="G16" s="8"/>
      <c r="H16" s="8"/>
      <c r="I16" s="8"/>
      <c r="J16" s="8"/>
      <c r="K16" s="8"/>
      <c r="L16" s="8"/>
      <c r="M16" s="8"/>
      <c r="N16" s="8"/>
    </row>
    <row r="17" spans="1:14">
      <c r="A17" s="131"/>
      <c r="B17" s="7" t="s">
        <v>4</v>
      </c>
      <c r="C17" s="130" t="str">
        <f>IF(SUM(D17:N17)&gt;1,"CHECK"," ")</f>
        <v xml:space="preserve"> </v>
      </c>
      <c r="D17" s="178">
        <v>0.38</v>
      </c>
      <c r="E17" s="15">
        <v>0.62</v>
      </c>
      <c r="F17" s="15"/>
      <c r="G17" s="15"/>
      <c r="H17" s="15"/>
      <c r="I17" s="15"/>
      <c r="J17" s="15"/>
      <c r="K17" s="15"/>
      <c r="L17" s="15"/>
      <c r="M17" s="15"/>
      <c r="N17" s="15"/>
    </row>
    <row r="18" spans="1:14" ht="15.75" thickBot="1">
      <c r="A18" s="131"/>
      <c r="B18" s="11" t="s">
        <v>32</v>
      </c>
      <c r="C18" s="51"/>
      <c r="D18" s="179">
        <f>IF(D17&gt;0,(D17*$C16),0)</f>
        <v>62318.784</v>
      </c>
      <c r="E18" s="615">
        <f t="shared" ref="E18:N18" si="2">IF(E17&gt;0,(E17*$C16),0)</f>
        <v>101678.01599999999</v>
      </c>
      <c r="F18" s="13">
        <f t="shared" si="2"/>
        <v>0</v>
      </c>
      <c r="G18" s="13">
        <f t="shared" si="2"/>
        <v>0</v>
      </c>
      <c r="H18" s="13">
        <f t="shared" si="2"/>
        <v>0</v>
      </c>
      <c r="I18" s="13">
        <f t="shared" si="2"/>
        <v>0</v>
      </c>
      <c r="J18" s="13">
        <f t="shared" si="2"/>
        <v>0</v>
      </c>
      <c r="K18" s="13">
        <f t="shared" si="2"/>
        <v>0</v>
      </c>
      <c r="L18" s="13">
        <f t="shared" si="2"/>
        <v>0</v>
      </c>
      <c r="M18" s="13">
        <f t="shared" si="2"/>
        <v>0</v>
      </c>
      <c r="N18" s="13">
        <f t="shared" si="2"/>
        <v>0</v>
      </c>
    </row>
    <row r="19" spans="1:14" ht="15.75" thickBot="1">
      <c r="A19" s="131"/>
      <c r="B19" s="7"/>
      <c r="C19" s="10"/>
      <c r="D19" s="221"/>
      <c r="E19" s="172"/>
      <c r="F19" s="172"/>
      <c r="G19" s="172"/>
      <c r="H19" s="172"/>
      <c r="I19" s="172"/>
      <c r="J19" s="172"/>
      <c r="K19" s="172"/>
      <c r="L19" s="172"/>
      <c r="M19" s="172"/>
      <c r="N19" s="172"/>
    </row>
    <row r="20" spans="1:14">
      <c r="A20" s="131"/>
      <c r="B20" s="4" t="s">
        <v>12</v>
      </c>
      <c r="C20" s="133" t="str">
        <f>Summary!B16</f>
        <v>A2</v>
      </c>
      <c r="D20" s="156" t="str">
        <f>Summary!C16</f>
        <v>Waste - Gateway Review Costs Avoided</v>
      </c>
      <c r="E20" s="5"/>
      <c r="F20" s="5"/>
      <c r="G20" s="5"/>
      <c r="H20" s="5"/>
      <c r="I20" s="5"/>
      <c r="J20" s="5"/>
      <c r="K20" s="5"/>
      <c r="L20" s="5"/>
      <c r="M20" s="5"/>
      <c r="N20" s="5"/>
    </row>
    <row r="21" spans="1:14">
      <c r="A21" s="131"/>
      <c r="B21" s="7" t="s">
        <v>189</v>
      </c>
      <c r="C21" s="134" t="str">
        <f>'A2 Waste Validation Fees'!D47</f>
        <v>A - High</v>
      </c>
      <c r="D21" s="176">
        <f>VLOOKUP(C21,'Confidence Factors'!$B$6:$D$9,3)-M3</f>
        <v>0.8</v>
      </c>
      <c r="E21" s="8"/>
      <c r="F21" s="8"/>
      <c r="G21" s="8"/>
      <c r="H21" s="8"/>
      <c r="I21" s="8"/>
      <c r="J21" s="8"/>
      <c r="K21" s="8"/>
      <c r="L21" s="8"/>
      <c r="M21" s="8"/>
      <c r="N21" s="8"/>
    </row>
    <row r="22" spans="1:14">
      <c r="A22" s="131"/>
      <c r="B22" s="7" t="s">
        <v>30</v>
      </c>
      <c r="C22" s="128">
        <f>SUM(D22:N22)</f>
        <v>36000</v>
      </c>
      <c r="D22" s="177">
        <f>15000*'A2 Waste Validation Fees'!D75*'Calcs - Scen 3'!D21</f>
        <v>12000</v>
      </c>
      <c r="E22" s="454">
        <f>30000*'A2 Waste Validation Fees'!D75*'Calcs - Scen 3'!D21</f>
        <v>24000</v>
      </c>
      <c r="F22" s="3">
        <v>0</v>
      </c>
      <c r="G22" s="3">
        <v>0</v>
      </c>
      <c r="H22" s="3">
        <v>0</v>
      </c>
      <c r="I22" s="3">
        <v>0</v>
      </c>
      <c r="J22" s="3">
        <v>0</v>
      </c>
      <c r="K22" s="3">
        <v>0</v>
      </c>
      <c r="L22" s="3">
        <v>0</v>
      </c>
      <c r="M22" s="3">
        <v>0</v>
      </c>
      <c r="N22" s="3">
        <v>0</v>
      </c>
    </row>
    <row r="23" spans="1:14">
      <c r="A23" s="131"/>
      <c r="B23" s="7" t="s">
        <v>31</v>
      </c>
      <c r="C23" s="129">
        <f>NPV($C$7,F22:N22)+D22+E22</f>
        <v>36000</v>
      </c>
      <c r="D23" s="7"/>
      <c r="E23" s="8"/>
      <c r="F23" s="8"/>
      <c r="G23" s="8"/>
      <c r="H23" s="8"/>
      <c r="I23" s="8"/>
      <c r="J23" s="8"/>
      <c r="K23" s="8"/>
      <c r="L23" s="8"/>
      <c r="M23" s="8"/>
      <c r="N23" s="8"/>
    </row>
    <row r="24" spans="1:14">
      <c r="A24" s="131"/>
      <c r="B24" s="7" t="s">
        <v>4</v>
      </c>
      <c r="C24" s="130" t="str">
        <f>IF(SUM(D24:N24)&gt;1,"CHECK"," ")</f>
        <v xml:space="preserve"> </v>
      </c>
      <c r="D24" s="178">
        <v>0.33</v>
      </c>
      <c r="E24" s="15">
        <v>0.67</v>
      </c>
      <c r="F24" s="15"/>
      <c r="G24" s="15"/>
      <c r="H24" s="15"/>
      <c r="I24" s="15"/>
      <c r="J24" s="15"/>
      <c r="K24" s="15"/>
      <c r="L24" s="15"/>
      <c r="M24" s="15"/>
      <c r="N24" s="15"/>
    </row>
    <row r="25" spans="1:14" ht="15.75" thickBot="1">
      <c r="A25" s="131"/>
      <c r="B25" s="11" t="s">
        <v>32</v>
      </c>
      <c r="C25" s="51"/>
      <c r="D25" s="179">
        <f t="shared" ref="D25:N25" si="3">IF(D24&gt;0,(D24*$C23),0)</f>
        <v>11880</v>
      </c>
      <c r="E25" s="20">
        <f t="shared" si="3"/>
        <v>24120</v>
      </c>
      <c r="F25" s="20">
        <f t="shared" si="3"/>
        <v>0</v>
      </c>
      <c r="G25" s="20">
        <f t="shared" si="3"/>
        <v>0</v>
      </c>
      <c r="H25" s="20">
        <f t="shared" si="3"/>
        <v>0</v>
      </c>
      <c r="I25" s="20">
        <f t="shared" si="3"/>
        <v>0</v>
      </c>
      <c r="J25" s="20">
        <f t="shared" si="3"/>
        <v>0</v>
      </c>
      <c r="K25" s="20">
        <f t="shared" si="3"/>
        <v>0</v>
      </c>
      <c r="L25" s="20">
        <f t="shared" si="3"/>
        <v>0</v>
      </c>
      <c r="M25" s="20">
        <f t="shared" si="3"/>
        <v>0</v>
      </c>
      <c r="N25" s="20">
        <f t="shared" si="3"/>
        <v>0</v>
      </c>
    </row>
    <row r="26" spans="1:14" ht="15.75" thickBot="1">
      <c r="A26" s="131"/>
      <c r="B26" s="7"/>
      <c r="C26" s="10"/>
      <c r="D26" s="221"/>
      <c r="E26" s="172"/>
      <c r="F26" s="172"/>
      <c r="G26" s="172"/>
      <c r="H26" s="172"/>
      <c r="I26" s="172"/>
      <c r="J26" s="172"/>
      <c r="K26" s="172"/>
      <c r="L26" s="172"/>
      <c r="M26" s="172"/>
      <c r="N26" s="172"/>
    </row>
    <row r="27" spans="1:14">
      <c r="A27" s="131"/>
      <c r="B27" s="4" t="s">
        <v>12</v>
      </c>
      <c r="C27" s="133" t="str">
        <f>Summary!B17</f>
        <v>A3</v>
      </c>
      <c r="D27" s="156" t="str">
        <f>Summary!C17</f>
        <v>Waste - Data Capture and Market Engagement</v>
      </c>
      <c r="E27" s="5"/>
      <c r="F27" s="5"/>
      <c r="G27" s="5"/>
      <c r="H27" s="5"/>
      <c r="I27" s="5"/>
      <c r="J27" s="5"/>
      <c r="K27" s="5"/>
      <c r="L27" s="5"/>
      <c r="M27" s="5"/>
      <c r="N27" s="5"/>
    </row>
    <row r="28" spans="1:14">
      <c r="A28" s="131"/>
      <c r="B28" s="7" t="s">
        <v>189</v>
      </c>
      <c r="C28" s="134" t="str">
        <f>'A3 Waste Data Capture'!D47</f>
        <v>A - High</v>
      </c>
      <c r="D28" s="176">
        <f>VLOOKUP(C28,'Confidence Factors'!$B$6:$D$9,3)-M3</f>
        <v>0.8</v>
      </c>
      <c r="E28" s="8"/>
      <c r="F28" s="8"/>
      <c r="G28" s="8"/>
      <c r="H28" s="8"/>
      <c r="I28" s="8"/>
      <c r="J28" s="8"/>
      <c r="K28" s="8"/>
      <c r="L28" s="8"/>
      <c r="M28" s="8"/>
      <c r="N28" s="8"/>
    </row>
    <row r="29" spans="1:14">
      <c r="A29" s="131"/>
      <c r="B29" s="7" t="s">
        <v>30</v>
      </c>
      <c r="C29" s="128">
        <f>SUM(D29:N29)</f>
        <v>50560</v>
      </c>
      <c r="D29" s="177">
        <f>(0.79*63200)*'A3 Waste Data Capture'!D75*'Calcs - Scen 3'!D28</f>
        <v>39942.400000000001</v>
      </c>
      <c r="E29" s="3">
        <f>(0.21*63200)*'A3 Waste Data Capture'!D75*'Calcs - Scen 3'!D28</f>
        <v>10617.6</v>
      </c>
      <c r="F29" s="3">
        <v>0</v>
      </c>
      <c r="G29" s="3">
        <v>0</v>
      </c>
      <c r="H29" s="3">
        <v>0</v>
      </c>
      <c r="I29" s="3">
        <v>0</v>
      </c>
      <c r="J29" s="3">
        <v>0</v>
      </c>
      <c r="K29" s="3">
        <v>0</v>
      </c>
      <c r="L29" s="3">
        <v>0</v>
      </c>
      <c r="M29" s="3">
        <v>0</v>
      </c>
      <c r="N29" s="3">
        <v>0</v>
      </c>
    </row>
    <row r="30" spans="1:14">
      <c r="A30" s="131"/>
      <c r="B30" s="7" t="s">
        <v>31</v>
      </c>
      <c r="C30" s="129">
        <f>NPV($C$7,F29:N29)+D29+E29</f>
        <v>50560</v>
      </c>
      <c r="D30" s="7"/>
      <c r="E30" s="8"/>
      <c r="F30" s="8"/>
      <c r="G30" s="8"/>
      <c r="H30" s="8"/>
      <c r="I30" s="8"/>
      <c r="J30" s="8"/>
      <c r="K30" s="8"/>
      <c r="L30" s="8"/>
      <c r="M30" s="8"/>
      <c r="N30" s="8"/>
    </row>
    <row r="31" spans="1:14">
      <c r="A31" s="131"/>
      <c r="B31" s="7" t="s">
        <v>4</v>
      </c>
      <c r="C31" s="130" t="str">
        <f>IF(SUM(D31:N31)&gt;1,"CHECK"," ")</f>
        <v xml:space="preserve"> </v>
      </c>
      <c r="D31" s="178">
        <v>0.79</v>
      </c>
      <c r="E31" s="15">
        <v>0.21</v>
      </c>
      <c r="F31" s="15"/>
      <c r="G31" s="15"/>
      <c r="H31" s="15"/>
      <c r="I31" s="15"/>
      <c r="J31" s="15"/>
      <c r="K31" s="15"/>
      <c r="L31" s="15"/>
      <c r="M31" s="15"/>
      <c r="N31" s="15"/>
    </row>
    <row r="32" spans="1:14" ht="15.75" thickBot="1">
      <c r="A32" s="131"/>
      <c r="B32" s="11" t="s">
        <v>32</v>
      </c>
      <c r="C32" s="51"/>
      <c r="D32" s="179">
        <f>IF(D31&gt;0,(D31*$C30),0)</f>
        <v>39942.400000000001</v>
      </c>
      <c r="E32" s="20">
        <f t="shared" ref="E32:N32" si="4">IF(E31&gt;0,(E31*$C30),0)</f>
        <v>10617.6</v>
      </c>
      <c r="F32" s="20">
        <f t="shared" si="4"/>
        <v>0</v>
      </c>
      <c r="G32" s="20">
        <f t="shared" si="4"/>
        <v>0</v>
      </c>
      <c r="H32" s="20">
        <f t="shared" si="4"/>
        <v>0</v>
      </c>
      <c r="I32" s="20">
        <f t="shared" si="4"/>
        <v>0</v>
      </c>
      <c r="J32" s="20">
        <f t="shared" si="4"/>
        <v>0</v>
      </c>
      <c r="K32" s="20">
        <f t="shared" si="4"/>
        <v>0</v>
      </c>
      <c r="L32" s="20">
        <f t="shared" si="4"/>
        <v>0</v>
      </c>
      <c r="M32" s="20">
        <f t="shared" si="4"/>
        <v>0</v>
      </c>
      <c r="N32" s="20">
        <f t="shared" si="4"/>
        <v>0</v>
      </c>
    </row>
    <row r="33" spans="1:14" ht="15.75" thickBot="1">
      <c r="A33" s="131"/>
      <c r="B33" s="7"/>
      <c r="C33" s="10"/>
      <c r="D33" s="221"/>
      <c r="E33" s="172"/>
      <c r="F33" s="172"/>
      <c r="G33" s="172"/>
      <c r="H33" s="172"/>
      <c r="I33" s="172"/>
      <c r="J33" s="172"/>
      <c r="K33" s="172"/>
      <c r="L33" s="172"/>
      <c r="M33" s="172"/>
      <c r="N33" s="172"/>
    </row>
    <row r="34" spans="1:14">
      <c r="A34" s="131"/>
      <c r="B34" s="4" t="s">
        <v>12</v>
      </c>
      <c r="C34" s="133" t="str">
        <f>Summary!B18</f>
        <v>A4</v>
      </c>
      <c r="D34" s="156" t="str">
        <f>Summary!C18</f>
        <v>Waste - Programme Support</v>
      </c>
      <c r="E34" s="5"/>
      <c r="F34" s="5"/>
      <c r="G34" s="5"/>
      <c r="H34" s="5"/>
      <c r="I34" s="5"/>
      <c r="J34" s="5"/>
      <c r="K34" s="5"/>
      <c r="L34" s="5"/>
      <c r="M34" s="5"/>
      <c r="N34" s="5"/>
    </row>
    <row r="35" spans="1:14">
      <c r="A35" s="131"/>
      <c r="B35" s="7" t="s">
        <v>189</v>
      </c>
      <c r="C35" s="134" t="str">
        <f>'A4 Waste Prog Support'!D47</f>
        <v>A - High</v>
      </c>
      <c r="D35" s="176">
        <f>VLOOKUP(C35,'Confidence Factors'!$B$6:$D$9,3)-M3</f>
        <v>0.8</v>
      </c>
      <c r="E35" s="8"/>
      <c r="F35" s="8"/>
      <c r="G35" s="8"/>
      <c r="H35" s="8"/>
      <c r="I35" s="8"/>
      <c r="J35" s="8"/>
      <c r="K35" s="8"/>
      <c r="L35" s="8"/>
      <c r="M35" s="8"/>
      <c r="N35" s="8"/>
    </row>
    <row r="36" spans="1:14">
      <c r="A36" s="131"/>
      <c r="B36" s="7" t="s">
        <v>30</v>
      </c>
      <c r="C36" s="128">
        <f>SUM(D36:N36)</f>
        <v>120000</v>
      </c>
      <c r="D36" s="177">
        <f>50000*'A4 Waste Prog Support'!D75*'Calcs - Scen 3'!D35</f>
        <v>40000</v>
      </c>
      <c r="E36" s="454">
        <f>100000*'A4 Waste Prog Support'!D75*'Calcs - Scen 3'!D35</f>
        <v>80000</v>
      </c>
      <c r="F36" s="3">
        <v>0</v>
      </c>
      <c r="G36" s="3">
        <v>0</v>
      </c>
      <c r="H36" s="3">
        <v>0</v>
      </c>
      <c r="I36" s="3">
        <v>0</v>
      </c>
      <c r="J36" s="3">
        <v>0</v>
      </c>
      <c r="K36" s="3">
        <v>0</v>
      </c>
      <c r="L36" s="3">
        <v>0</v>
      </c>
      <c r="M36" s="3">
        <v>0</v>
      </c>
      <c r="N36" s="3">
        <v>0</v>
      </c>
    </row>
    <row r="37" spans="1:14">
      <c r="A37" s="131"/>
      <c r="B37" s="7" t="s">
        <v>31</v>
      </c>
      <c r="C37" s="129">
        <f>NPV($C$7,F36:N36)+D36+E36</f>
        <v>120000</v>
      </c>
      <c r="D37" s="7"/>
      <c r="E37" s="8"/>
      <c r="F37" s="8"/>
      <c r="G37" s="8"/>
      <c r="H37" s="8"/>
      <c r="I37" s="8"/>
      <c r="J37" s="8"/>
      <c r="K37" s="8"/>
      <c r="L37" s="8"/>
      <c r="M37" s="8"/>
      <c r="N37" s="8"/>
    </row>
    <row r="38" spans="1:14">
      <c r="A38" s="131"/>
      <c r="B38" s="7" t="s">
        <v>4</v>
      </c>
      <c r="C38" s="130" t="str">
        <f>IF(SUM(D38:N38)&gt;1,"CHECK"," ")</f>
        <v xml:space="preserve"> </v>
      </c>
      <c r="D38" s="178">
        <v>0.33</v>
      </c>
      <c r="E38" s="15">
        <v>0.67</v>
      </c>
      <c r="F38" s="15"/>
      <c r="G38" s="15"/>
      <c r="H38" s="15"/>
      <c r="I38" s="15"/>
      <c r="J38" s="15"/>
      <c r="K38" s="15"/>
      <c r="L38" s="15"/>
      <c r="M38" s="15"/>
      <c r="N38" s="15"/>
    </row>
    <row r="39" spans="1:14" ht="15.75" thickBot="1">
      <c r="A39" s="131"/>
      <c r="B39" s="11" t="s">
        <v>32</v>
      </c>
      <c r="C39" s="51"/>
      <c r="D39" s="179">
        <f>IF(D38&gt;0,(D38*$C37),0)</f>
        <v>39600</v>
      </c>
      <c r="E39" s="20">
        <f t="shared" ref="E39:N39" si="5">IF(E38&gt;0,(E38*$C37),0)</f>
        <v>80400</v>
      </c>
      <c r="F39" s="20">
        <f t="shared" si="5"/>
        <v>0</v>
      </c>
      <c r="G39" s="20">
        <f t="shared" si="5"/>
        <v>0</v>
      </c>
      <c r="H39" s="20">
        <f t="shared" si="5"/>
        <v>0</v>
      </c>
      <c r="I39" s="20">
        <f t="shared" si="5"/>
        <v>0</v>
      </c>
      <c r="J39" s="20">
        <f t="shared" si="5"/>
        <v>0</v>
      </c>
      <c r="K39" s="20">
        <f t="shared" si="5"/>
        <v>0</v>
      </c>
      <c r="L39" s="20">
        <f t="shared" si="5"/>
        <v>0</v>
      </c>
      <c r="M39" s="20">
        <f t="shared" si="5"/>
        <v>0</v>
      </c>
      <c r="N39" s="20">
        <f t="shared" si="5"/>
        <v>0</v>
      </c>
    </row>
    <row r="40" spans="1:14" ht="15.75" thickBot="1">
      <c r="A40" s="39"/>
      <c r="B40" s="7"/>
      <c r="C40" s="10"/>
      <c r="D40" s="221"/>
      <c r="E40" s="172"/>
      <c r="F40" s="172"/>
      <c r="G40" s="172"/>
      <c r="H40" s="172"/>
      <c r="I40" s="172"/>
      <c r="J40" s="172"/>
      <c r="K40" s="172"/>
      <c r="L40" s="172"/>
      <c r="M40" s="172"/>
      <c r="N40" s="172"/>
    </row>
    <row r="41" spans="1:14">
      <c r="A41" s="39"/>
      <c r="B41" s="77" t="s">
        <v>12</v>
      </c>
      <c r="C41" s="133" t="str">
        <f>Summary!B19</f>
        <v>A5</v>
      </c>
      <c r="D41" s="156" t="str">
        <f>Summary!C19</f>
        <v>Waste - Procurement Cost Benefits - Avoided Support Costs</v>
      </c>
      <c r="E41" s="5"/>
      <c r="F41" s="5"/>
      <c r="G41" s="5"/>
      <c r="H41" s="5"/>
      <c r="I41" s="5"/>
      <c r="J41" s="5"/>
      <c r="K41" s="5"/>
      <c r="L41" s="5"/>
      <c r="M41" s="5"/>
      <c r="N41" s="5"/>
    </row>
    <row r="42" spans="1:14">
      <c r="A42" s="39"/>
      <c r="B42" s="7" t="s">
        <v>189</v>
      </c>
      <c r="C42" s="134" t="str">
        <f>'A5 Waste Proc Cost Benefits '!D47</f>
        <v>A - High</v>
      </c>
      <c r="D42" s="176">
        <f>VLOOKUP(C42,'Confidence Factors'!$B$6:$D$9,3)-M3</f>
        <v>0.8</v>
      </c>
      <c r="E42" s="8"/>
      <c r="F42" s="8"/>
      <c r="G42" s="8"/>
      <c r="H42" s="8"/>
      <c r="I42" s="8"/>
      <c r="J42" s="8"/>
      <c r="K42" s="8"/>
      <c r="L42" s="8"/>
      <c r="M42" s="8"/>
      <c r="N42" s="8"/>
    </row>
    <row r="43" spans="1:14">
      <c r="A43" s="39"/>
      <c r="B43" s="78" t="s">
        <v>30</v>
      </c>
      <c r="C43" s="128">
        <f>SUM(D43:N43)</f>
        <v>475200</v>
      </c>
      <c r="D43" s="177">
        <f>162000*'A5 Waste Proc Cost Benefits '!D75*'Calcs - Scen 3'!D42</f>
        <v>129600</v>
      </c>
      <c r="E43" s="19">
        <f>432000*'A5 Waste Proc Cost Benefits '!D75*'Calcs - Scen 3'!D42</f>
        <v>345600</v>
      </c>
      <c r="F43" s="19">
        <v>0</v>
      </c>
      <c r="G43" s="19">
        <v>0</v>
      </c>
      <c r="H43" s="19">
        <v>0</v>
      </c>
      <c r="I43" s="19">
        <v>0</v>
      </c>
      <c r="J43" s="19">
        <v>0</v>
      </c>
      <c r="K43" s="19">
        <v>0</v>
      </c>
      <c r="L43" s="19">
        <v>0</v>
      </c>
      <c r="M43" s="19">
        <v>0</v>
      </c>
      <c r="N43" s="19">
        <v>0</v>
      </c>
    </row>
    <row r="44" spans="1:14">
      <c r="A44" s="39"/>
      <c r="B44" s="78" t="s">
        <v>31</v>
      </c>
      <c r="C44" s="129">
        <f>NPV($C$7,F43:N43)+D43+E43</f>
        <v>475200</v>
      </c>
      <c r="D44" s="7"/>
      <c r="E44" s="8"/>
      <c r="F44" s="8"/>
      <c r="G44" s="8"/>
      <c r="H44" s="8"/>
      <c r="I44" s="8"/>
      <c r="J44" s="8"/>
      <c r="K44" s="8"/>
      <c r="L44" s="8"/>
      <c r="M44" s="8"/>
      <c r="N44" s="8"/>
    </row>
    <row r="45" spans="1:14">
      <c r="A45" s="39"/>
      <c r="B45" s="78" t="s">
        <v>4</v>
      </c>
      <c r="C45" s="130" t="str">
        <f>IF(SUM(D45:N45)&gt;1,"CHECK"," ")</f>
        <v xml:space="preserve"> </v>
      </c>
      <c r="D45" s="178">
        <v>0.33</v>
      </c>
      <c r="E45" s="15">
        <v>0.67</v>
      </c>
      <c r="F45" s="15"/>
      <c r="G45" s="15"/>
      <c r="H45" s="15"/>
      <c r="I45" s="15"/>
      <c r="J45" s="15"/>
      <c r="K45" s="15"/>
      <c r="L45" s="15"/>
      <c r="M45" s="15"/>
      <c r="N45" s="15"/>
    </row>
    <row r="46" spans="1:14" ht="15.75" thickBot="1">
      <c r="A46" s="39"/>
      <c r="B46" s="79" t="s">
        <v>32</v>
      </c>
      <c r="C46" s="51"/>
      <c r="D46" s="179">
        <f t="shared" ref="D46:N46" si="6">IF(D45&gt;0,(D45*$C44),0)</f>
        <v>156816</v>
      </c>
      <c r="E46" s="20">
        <f t="shared" si="6"/>
        <v>318384</v>
      </c>
      <c r="F46" s="20">
        <f t="shared" si="6"/>
        <v>0</v>
      </c>
      <c r="G46" s="20">
        <f t="shared" si="6"/>
        <v>0</v>
      </c>
      <c r="H46" s="20">
        <f t="shared" si="6"/>
        <v>0</v>
      </c>
      <c r="I46" s="20">
        <f t="shared" si="6"/>
        <v>0</v>
      </c>
      <c r="J46" s="20">
        <f t="shared" si="6"/>
        <v>0</v>
      </c>
      <c r="K46" s="20">
        <f t="shared" si="6"/>
        <v>0</v>
      </c>
      <c r="L46" s="20">
        <f t="shared" si="6"/>
        <v>0</v>
      </c>
      <c r="M46" s="20">
        <f t="shared" si="6"/>
        <v>0</v>
      </c>
      <c r="N46" s="20">
        <f t="shared" si="6"/>
        <v>0</v>
      </c>
    </row>
    <row r="47" spans="1:14" ht="15.75" thickBot="1">
      <c r="A47" s="131"/>
      <c r="B47" s="7"/>
      <c r="C47" s="10"/>
      <c r="D47" s="221"/>
      <c r="E47" s="172"/>
      <c r="F47" s="172"/>
      <c r="G47" s="172"/>
      <c r="H47" s="172"/>
      <c r="I47" s="172"/>
      <c r="J47" s="172"/>
      <c r="K47" s="172"/>
      <c r="L47" s="172"/>
      <c r="M47" s="172"/>
      <c r="N47" s="172"/>
    </row>
    <row r="48" spans="1:14">
      <c r="A48" s="39"/>
      <c r="B48" s="4" t="s">
        <v>12</v>
      </c>
      <c r="C48" s="133" t="str">
        <f>Summary!B20</f>
        <v>A6</v>
      </c>
      <c r="D48" s="156" t="str">
        <f>Summary!C20</f>
        <v>ESA 95 - Consultancy Costs Avoided</v>
      </c>
      <c r="E48" s="5"/>
      <c r="F48" s="5"/>
      <c r="G48" s="5"/>
      <c r="H48" s="5"/>
      <c r="I48" s="5"/>
      <c r="J48" s="5"/>
      <c r="K48" s="5"/>
      <c r="L48" s="5"/>
      <c r="M48" s="5"/>
      <c r="N48" s="5"/>
    </row>
    <row r="49" spans="1:14">
      <c r="A49" s="39"/>
      <c r="B49" s="7" t="s">
        <v>189</v>
      </c>
      <c r="C49" s="134" t="str">
        <f>'A6 ESA95 Consult Fees'!D47</f>
        <v>A - High</v>
      </c>
      <c r="D49" s="176">
        <f>VLOOKUP(C49,'Confidence Factors'!$B$6:$D$9,3)-M3</f>
        <v>0.8</v>
      </c>
      <c r="E49" s="8"/>
      <c r="F49" s="8"/>
      <c r="G49" s="8"/>
      <c r="H49" s="8"/>
      <c r="I49" s="8"/>
      <c r="J49" s="8"/>
      <c r="K49" s="8"/>
      <c r="L49" s="8"/>
      <c r="M49" s="8"/>
      <c r="N49" s="8"/>
    </row>
    <row r="50" spans="1:14">
      <c r="A50" s="39"/>
      <c r="B50" s="7" t="s">
        <v>30</v>
      </c>
      <c r="C50" s="128">
        <f>SUM(D50:N50)</f>
        <v>42599.819801999998</v>
      </c>
      <c r="D50" s="177">
        <f>(('A6 ESA95 Consult Fees'!D70)*0.4507)*'A6 ESA95 Consult Fees'!D75*'Calcs - Scen 3'!D49</f>
        <v>19199.82</v>
      </c>
      <c r="E50" s="454">
        <f>(('A6 ESA95 Consult Fees'!D70)*0.54929577)*'A6 ESA95 Consult Fees'!D75*'Calcs - Scen 3'!D49</f>
        <v>23399.999801999998</v>
      </c>
      <c r="F50" s="3">
        <v>0</v>
      </c>
      <c r="G50" s="3">
        <v>0</v>
      </c>
      <c r="H50" s="3">
        <v>0</v>
      </c>
      <c r="I50" s="3">
        <v>0</v>
      </c>
      <c r="J50" s="3">
        <v>0</v>
      </c>
      <c r="K50" s="3">
        <v>0</v>
      </c>
      <c r="L50" s="3">
        <v>0</v>
      </c>
      <c r="M50" s="3">
        <v>0</v>
      </c>
      <c r="N50" s="3">
        <v>0</v>
      </c>
    </row>
    <row r="51" spans="1:14">
      <c r="A51" s="39"/>
      <c r="B51" s="7" t="s">
        <v>31</v>
      </c>
      <c r="C51" s="129">
        <f>NPV($C$7,F50:N50)+D50+E50</f>
        <v>42599.819801999998</v>
      </c>
      <c r="D51" s="7"/>
      <c r="E51" s="8"/>
      <c r="F51" s="8"/>
      <c r="G51" s="8"/>
      <c r="H51" s="8"/>
      <c r="I51" s="8"/>
      <c r="J51" s="8"/>
      <c r="K51" s="8"/>
      <c r="L51" s="8"/>
      <c r="M51" s="8"/>
      <c r="N51" s="8"/>
    </row>
    <row r="52" spans="1:14">
      <c r="A52" s="39"/>
      <c r="B52" s="7" t="s">
        <v>4</v>
      </c>
      <c r="C52" s="130" t="str">
        <f>IF(SUM(D52:N52)&gt;1,"CHECK"," ")</f>
        <v xml:space="preserve"> </v>
      </c>
      <c r="D52" s="178">
        <v>0.45</v>
      </c>
      <c r="E52" s="15">
        <v>0.55000000000000004</v>
      </c>
      <c r="F52" s="15"/>
      <c r="G52" s="15"/>
      <c r="H52" s="15"/>
      <c r="I52" s="15"/>
      <c r="J52" s="15"/>
      <c r="K52" s="15"/>
      <c r="L52" s="15"/>
      <c r="M52" s="15"/>
      <c r="N52" s="15"/>
    </row>
    <row r="53" spans="1:14" ht="15.75" thickBot="1">
      <c r="A53" s="39"/>
      <c r="B53" s="11" t="s">
        <v>32</v>
      </c>
      <c r="C53" s="51"/>
      <c r="D53" s="179">
        <f>IF(D52&gt;0,(D52*$C51),0)</f>
        <v>19169.9189109</v>
      </c>
      <c r="E53" s="20">
        <f t="shared" ref="E53:N53" si="7">IF(E52&gt;0,(E52*$C51),0)</f>
        <v>23429.900891100002</v>
      </c>
      <c r="F53" s="20">
        <f t="shared" si="7"/>
        <v>0</v>
      </c>
      <c r="G53" s="20">
        <f t="shared" si="7"/>
        <v>0</v>
      </c>
      <c r="H53" s="20">
        <f t="shared" si="7"/>
        <v>0</v>
      </c>
      <c r="I53" s="20">
        <f t="shared" si="7"/>
        <v>0</v>
      </c>
      <c r="J53" s="20">
        <f t="shared" si="7"/>
        <v>0</v>
      </c>
      <c r="K53" s="20">
        <f t="shared" si="7"/>
        <v>0</v>
      </c>
      <c r="L53" s="20">
        <f t="shared" si="7"/>
        <v>0</v>
      </c>
      <c r="M53" s="20">
        <f t="shared" si="7"/>
        <v>0</v>
      </c>
      <c r="N53" s="20">
        <f t="shared" si="7"/>
        <v>0</v>
      </c>
    </row>
    <row r="54" spans="1:14" ht="15.75" thickBot="1">
      <c r="A54" s="39"/>
      <c r="B54" s="7"/>
      <c r="C54" s="10"/>
      <c r="D54" s="221"/>
      <c r="E54" s="172"/>
      <c r="F54" s="172"/>
      <c r="G54" s="172"/>
      <c r="H54" s="172"/>
      <c r="I54" s="172"/>
      <c r="J54" s="172"/>
      <c r="K54" s="172"/>
      <c r="L54" s="172"/>
      <c r="M54" s="172"/>
      <c r="N54" s="172"/>
    </row>
    <row r="55" spans="1:14">
      <c r="A55" s="39"/>
      <c r="B55" s="4" t="s">
        <v>12</v>
      </c>
      <c r="C55" s="133" t="str">
        <f>Summary!B21</f>
        <v>A7</v>
      </c>
      <c r="D55" s="156" t="str">
        <f>Summary!C21</f>
        <v>TIF - Consultancy Costs Avoided</v>
      </c>
      <c r="E55" s="5"/>
      <c r="F55" s="5"/>
      <c r="G55" s="5"/>
      <c r="H55" s="5"/>
      <c r="I55" s="5"/>
      <c r="J55" s="5"/>
      <c r="K55" s="5"/>
      <c r="L55" s="5"/>
      <c r="M55" s="5"/>
      <c r="N55" s="5"/>
    </row>
    <row r="56" spans="1:14">
      <c r="A56" s="39"/>
      <c r="B56" s="7" t="s">
        <v>189</v>
      </c>
      <c r="C56" s="134" t="str">
        <f>'A7 TIF Consult Fees'!D47</f>
        <v>A - High</v>
      </c>
      <c r="D56" s="176">
        <f>VLOOKUP(C56,'Confidence Factors'!$B$6:$D$9,3)-M3</f>
        <v>0.8</v>
      </c>
      <c r="E56" s="8"/>
      <c r="F56" s="8"/>
      <c r="G56" s="8"/>
      <c r="H56" s="8"/>
      <c r="I56" s="8"/>
      <c r="J56" s="8"/>
      <c r="K56" s="8"/>
      <c r="L56" s="8"/>
      <c r="M56" s="8"/>
      <c r="N56" s="8"/>
    </row>
    <row r="57" spans="1:14">
      <c r="A57" s="39"/>
      <c r="B57" s="7" t="s">
        <v>30</v>
      </c>
      <c r="C57" s="128">
        <f>SUM(D57:N57)</f>
        <v>139575.20000000001</v>
      </c>
      <c r="D57" s="177">
        <f>47344*'A7 TIF Consult Fees'!D75*'Calcs - Scen 3'!D56</f>
        <v>37875.200000000004</v>
      </c>
      <c r="E57" s="177">
        <f>('A7 TIF Consult Fees'!D70*'A7 TIF Consult Fees'!D75*'Calcs - Scen 3'!D56)-D57</f>
        <v>101700</v>
      </c>
      <c r="F57" s="3">
        <v>0</v>
      </c>
      <c r="G57" s="3">
        <v>0</v>
      </c>
      <c r="H57" s="3">
        <v>0</v>
      </c>
      <c r="I57" s="3">
        <v>0</v>
      </c>
      <c r="J57" s="3">
        <v>0</v>
      </c>
      <c r="K57" s="3">
        <v>0</v>
      </c>
      <c r="L57" s="3">
        <v>0</v>
      </c>
      <c r="M57" s="3">
        <v>0</v>
      </c>
      <c r="N57" s="3">
        <v>0</v>
      </c>
    </row>
    <row r="58" spans="1:14">
      <c r="A58" s="39"/>
      <c r="B58" s="7" t="s">
        <v>31</v>
      </c>
      <c r="C58" s="129">
        <f>NPV($C$7,F57:N57)+D57+E57</f>
        <v>139575.20000000001</v>
      </c>
      <c r="D58" s="7"/>
      <c r="E58" s="8"/>
      <c r="F58" s="8"/>
      <c r="G58" s="8"/>
      <c r="H58" s="8"/>
      <c r="I58" s="8"/>
      <c r="J58" s="8"/>
      <c r="K58" s="8"/>
      <c r="L58" s="8"/>
      <c r="M58" s="8"/>
      <c r="N58" s="8"/>
    </row>
    <row r="59" spans="1:14">
      <c r="A59" s="39"/>
      <c r="B59" s="7" t="s">
        <v>4</v>
      </c>
      <c r="C59" s="130" t="str">
        <f>IF(SUM(D59:N59)&gt;1,"CHECK"," ")</f>
        <v xml:space="preserve"> </v>
      </c>
      <c r="D59" s="178">
        <v>0.28000000000000003</v>
      </c>
      <c r="E59" s="15">
        <v>0.72</v>
      </c>
      <c r="F59" s="15"/>
      <c r="G59" s="15"/>
      <c r="H59" s="15"/>
      <c r="I59" s="15"/>
      <c r="J59" s="15"/>
      <c r="K59" s="15"/>
      <c r="L59" s="15"/>
      <c r="M59" s="15"/>
      <c r="N59" s="15"/>
    </row>
    <row r="60" spans="1:14" ht="15.75" thickBot="1">
      <c r="A60" s="39"/>
      <c r="B60" s="11" t="s">
        <v>32</v>
      </c>
      <c r="C60" s="51"/>
      <c r="D60" s="179">
        <f>IF(D59&gt;0,(D59*$C58),0)</f>
        <v>39081.056000000004</v>
      </c>
      <c r="E60" s="20">
        <f t="shared" ref="E60:N60" si="8">IF(E59&gt;0,(E59*$C58),0)</f>
        <v>100494.144</v>
      </c>
      <c r="F60" s="20">
        <f t="shared" si="8"/>
        <v>0</v>
      </c>
      <c r="G60" s="20">
        <f t="shared" si="8"/>
        <v>0</v>
      </c>
      <c r="H60" s="20">
        <f t="shared" si="8"/>
        <v>0</v>
      </c>
      <c r="I60" s="20">
        <f t="shared" si="8"/>
        <v>0</v>
      </c>
      <c r="J60" s="20">
        <f t="shared" si="8"/>
        <v>0</v>
      </c>
      <c r="K60" s="20">
        <f t="shared" si="8"/>
        <v>0</v>
      </c>
      <c r="L60" s="20">
        <f t="shared" si="8"/>
        <v>0</v>
      </c>
      <c r="M60" s="20">
        <f t="shared" si="8"/>
        <v>0</v>
      </c>
      <c r="N60" s="20">
        <f t="shared" si="8"/>
        <v>0</v>
      </c>
    </row>
    <row r="61" spans="1:14" ht="15.75" thickBot="1">
      <c r="A61" s="39"/>
      <c r="B61" s="7"/>
      <c r="C61" s="10"/>
      <c r="D61" s="221"/>
      <c r="E61" s="172"/>
      <c r="F61" s="172"/>
      <c r="G61" s="172"/>
      <c r="H61" s="172"/>
      <c r="I61" s="172"/>
      <c r="J61" s="172"/>
      <c r="K61" s="172"/>
      <c r="L61" s="172"/>
      <c r="M61" s="172"/>
      <c r="N61" s="172"/>
    </row>
    <row r="62" spans="1:14">
      <c r="A62" s="39"/>
      <c r="B62" s="4" t="s">
        <v>12</v>
      </c>
      <c r="C62" s="133" t="str">
        <f>Summary!B22</f>
        <v>A8</v>
      </c>
      <c r="D62" s="156" t="str">
        <f>Summary!C22</f>
        <v>NHT - Consultancy Costs Avoided</v>
      </c>
      <c r="E62" s="5"/>
      <c r="F62" s="5"/>
      <c r="G62" s="5"/>
      <c r="H62" s="5"/>
      <c r="I62" s="5"/>
      <c r="J62" s="5"/>
      <c r="K62" s="5"/>
      <c r="L62" s="5"/>
      <c r="M62" s="5"/>
      <c r="N62" s="5"/>
    </row>
    <row r="63" spans="1:14">
      <c r="A63" s="39"/>
      <c r="B63" s="7" t="s">
        <v>189</v>
      </c>
      <c r="C63" s="134" t="str">
        <f>'A8 NHT Consult Fees'!D47</f>
        <v>A - High</v>
      </c>
      <c r="D63" s="176">
        <f>VLOOKUP(C63,'Confidence Factors'!$B$6:$D$9,3)-M3</f>
        <v>0.8</v>
      </c>
      <c r="E63" s="8"/>
      <c r="F63" s="8"/>
      <c r="G63" s="8"/>
      <c r="H63" s="8"/>
      <c r="I63" s="8"/>
      <c r="J63" s="8"/>
      <c r="K63" s="8"/>
      <c r="L63" s="8"/>
      <c r="M63" s="8"/>
      <c r="N63" s="8"/>
    </row>
    <row r="64" spans="1:14">
      <c r="A64" s="39"/>
      <c r="B64" s="7" t="s">
        <v>30</v>
      </c>
      <c r="C64" s="128">
        <f>SUM(D64:N64)</f>
        <v>681120</v>
      </c>
      <c r="D64" s="177">
        <f>378600*'A8 NHT Consult Fees'!D75*'Calcs - Scen 3'!D63</f>
        <v>302880</v>
      </c>
      <c r="E64" s="3">
        <f>472800*'A8 NHT Consult Fees'!D75*'Calcs - Scen 3'!D63</f>
        <v>378240</v>
      </c>
      <c r="F64" s="3">
        <v>0</v>
      </c>
      <c r="G64" s="3">
        <v>0</v>
      </c>
      <c r="H64" s="3">
        <v>0</v>
      </c>
      <c r="I64" s="3">
        <v>0</v>
      </c>
      <c r="J64" s="3">
        <v>0</v>
      </c>
      <c r="K64" s="3">
        <v>0</v>
      </c>
      <c r="L64" s="3">
        <v>0</v>
      </c>
      <c r="M64" s="3">
        <v>0</v>
      </c>
      <c r="N64" s="3">
        <v>0</v>
      </c>
    </row>
    <row r="65" spans="1:14">
      <c r="A65" s="39"/>
      <c r="B65" s="7" t="s">
        <v>31</v>
      </c>
      <c r="C65" s="129">
        <f>NPV($C$7,F64:N64)+D64+E64</f>
        <v>681120</v>
      </c>
      <c r="D65" s="7"/>
      <c r="E65" s="8"/>
      <c r="F65" s="8"/>
      <c r="G65" s="8"/>
      <c r="H65" s="8"/>
      <c r="I65" s="8"/>
      <c r="J65" s="8"/>
      <c r="K65" s="8"/>
      <c r="L65" s="8"/>
      <c r="M65" s="8"/>
      <c r="N65" s="8"/>
    </row>
    <row r="66" spans="1:14">
      <c r="A66" s="39"/>
      <c r="B66" s="7" t="s">
        <v>4</v>
      </c>
      <c r="C66" s="130" t="str">
        <f>IF(SUM(D66:N66)&gt;1,"CHECK"," ")</f>
        <v xml:space="preserve"> </v>
      </c>
      <c r="D66" s="178">
        <v>0.44</v>
      </c>
      <c r="E66" s="15">
        <v>0.56000000000000005</v>
      </c>
      <c r="F66" s="15"/>
      <c r="G66" s="15"/>
      <c r="H66" s="15"/>
      <c r="I66" s="15"/>
      <c r="J66" s="15"/>
      <c r="K66" s="15"/>
      <c r="L66" s="15"/>
      <c r="M66" s="15"/>
      <c r="N66" s="15"/>
    </row>
    <row r="67" spans="1:14" ht="15.75" thickBot="1">
      <c r="A67" s="39"/>
      <c r="B67" s="11" t="s">
        <v>32</v>
      </c>
      <c r="C67" s="51"/>
      <c r="D67" s="179">
        <f>IF(D66&gt;0,(D66*$C65),0)</f>
        <v>299692.79999999999</v>
      </c>
      <c r="E67" s="20">
        <f t="shared" ref="E67:N67" si="9">IF(E66&gt;0,(E66*$C65),0)</f>
        <v>381427.20000000001</v>
      </c>
      <c r="F67" s="20">
        <f t="shared" si="9"/>
        <v>0</v>
      </c>
      <c r="G67" s="20">
        <f t="shared" si="9"/>
        <v>0</v>
      </c>
      <c r="H67" s="20">
        <f t="shared" si="9"/>
        <v>0</v>
      </c>
      <c r="I67" s="20">
        <f t="shared" si="9"/>
        <v>0</v>
      </c>
      <c r="J67" s="20">
        <f t="shared" si="9"/>
        <v>0</v>
      </c>
      <c r="K67" s="20">
        <f t="shared" si="9"/>
        <v>0</v>
      </c>
      <c r="L67" s="20">
        <f t="shared" si="9"/>
        <v>0</v>
      </c>
      <c r="M67" s="20">
        <f t="shared" si="9"/>
        <v>0</v>
      </c>
      <c r="N67" s="20">
        <f t="shared" si="9"/>
        <v>0</v>
      </c>
    </row>
    <row r="68" spans="1:14" ht="15.75" thickBot="1">
      <c r="A68" s="39"/>
      <c r="B68" s="7"/>
      <c r="C68" s="10"/>
      <c r="D68" s="463"/>
      <c r="E68" s="464"/>
      <c r="F68" s="464"/>
      <c r="G68" s="464"/>
      <c r="H68" s="464"/>
      <c r="I68" s="464"/>
      <c r="J68" s="464"/>
      <c r="K68" s="464"/>
      <c r="L68" s="464"/>
      <c r="M68" s="464"/>
      <c r="N68" s="464"/>
    </row>
    <row r="69" spans="1:14">
      <c r="A69" s="39"/>
      <c r="B69" s="4" t="s">
        <v>12</v>
      </c>
      <c r="C69" s="466" t="str">
        <f>Summary!B23</f>
        <v>A9</v>
      </c>
      <c r="D69" s="156" t="str">
        <f>Summary!C23</f>
        <v>URC - Consultancy Costs Avoided</v>
      </c>
      <c r="E69" s="5"/>
      <c r="F69" s="5"/>
      <c r="G69" s="5"/>
      <c r="H69" s="5"/>
      <c r="I69" s="5"/>
      <c r="J69" s="5"/>
      <c r="K69" s="5"/>
      <c r="L69" s="5"/>
      <c r="M69" s="5"/>
      <c r="N69" s="5"/>
    </row>
    <row r="70" spans="1:14">
      <c r="A70" s="39"/>
      <c r="B70" s="7" t="s">
        <v>189</v>
      </c>
      <c r="C70" s="134" t="str">
        <f>'A9 URC Consult Fees'!D47</f>
        <v>A - High</v>
      </c>
      <c r="D70" s="176">
        <f>VLOOKUP(C70,'Confidence Factors'!$B$6:$D$9,3)-M3</f>
        <v>0.8</v>
      </c>
      <c r="E70" s="8"/>
      <c r="F70" s="8"/>
      <c r="G70" s="8"/>
      <c r="H70" s="8"/>
      <c r="I70" s="8"/>
      <c r="J70" s="8"/>
      <c r="K70" s="8"/>
      <c r="L70" s="8"/>
      <c r="M70" s="8"/>
      <c r="N70" s="8"/>
    </row>
    <row r="71" spans="1:14">
      <c r="A71" s="39"/>
      <c r="B71" s="7" t="s">
        <v>30</v>
      </c>
      <c r="C71" s="128">
        <f>SUM(D71:N71)</f>
        <v>12960</v>
      </c>
      <c r="D71" s="177">
        <v>0</v>
      </c>
      <c r="E71" s="454">
        <f>'A9 URC Consult Fees'!D70*'A9 URC Consult Fees'!D75*'Calcs - Scen 3'!D70</f>
        <v>12960</v>
      </c>
      <c r="F71" s="3">
        <v>0</v>
      </c>
      <c r="G71" s="3">
        <v>0</v>
      </c>
      <c r="H71" s="3">
        <v>0</v>
      </c>
      <c r="I71" s="3">
        <v>0</v>
      </c>
      <c r="J71" s="3">
        <v>0</v>
      </c>
      <c r="K71" s="3">
        <v>0</v>
      </c>
      <c r="L71" s="3">
        <v>0</v>
      </c>
      <c r="M71" s="3">
        <v>0</v>
      </c>
      <c r="N71" s="3">
        <v>0</v>
      </c>
    </row>
    <row r="72" spans="1:14">
      <c r="A72" s="39"/>
      <c r="B72" s="7" t="s">
        <v>31</v>
      </c>
      <c r="C72" s="129">
        <f>NPV($C$7,F71:N71)+D71+E71</f>
        <v>12960</v>
      </c>
      <c r="D72" s="7"/>
      <c r="E72" s="8"/>
      <c r="F72" s="8"/>
      <c r="G72" s="8"/>
      <c r="H72" s="8"/>
      <c r="I72" s="8"/>
      <c r="J72" s="8"/>
      <c r="K72" s="8"/>
      <c r="L72" s="8"/>
      <c r="M72" s="8"/>
      <c r="N72" s="8"/>
    </row>
    <row r="73" spans="1:14">
      <c r="A73" s="39"/>
      <c r="B73" s="7" t="s">
        <v>4</v>
      </c>
      <c r="C73" s="130" t="str">
        <f>IF(SUM(D73:N73)&gt;1,"CHECK"," ")</f>
        <v xml:space="preserve"> </v>
      </c>
      <c r="D73" s="178">
        <v>0</v>
      </c>
      <c r="E73" s="15">
        <v>1</v>
      </c>
      <c r="F73" s="15"/>
      <c r="G73" s="15"/>
      <c r="H73" s="15"/>
      <c r="I73" s="15"/>
      <c r="J73" s="15"/>
      <c r="K73" s="15"/>
      <c r="L73" s="15"/>
      <c r="M73" s="15"/>
      <c r="N73" s="15"/>
    </row>
    <row r="74" spans="1:14" ht="15.75" thickBot="1">
      <c r="A74" s="39"/>
      <c r="B74" s="11" t="s">
        <v>32</v>
      </c>
      <c r="C74" s="51"/>
      <c r="D74" s="179">
        <f>IF(D73&gt;0,(D73*$C72),0)</f>
        <v>0</v>
      </c>
      <c r="E74" s="20">
        <f t="shared" ref="E74:N74" si="10">IF(E73&gt;0,(E73*$C72),0)</f>
        <v>12960</v>
      </c>
      <c r="F74" s="20">
        <f t="shared" si="10"/>
        <v>0</v>
      </c>
      <c r="G74" s="20">
        <f t="shared" si="10"/>
        <v>0</v>
      </c>
      <c r="H74" s="20">
        <f t="shared" si="10"/>
        <v>0</v>
      </c>
      <c r="I74" s="20">
        <f t="shared" si="10"/>
        <v>0</v>
      </c>
      <c r="J74" s="20">
        <f t="shared" si="10"/>
        <v>0</v>
      </c>
      <c r="K74" s="20">
        <f t="shared" si="10"/>
        <v>0</v>
      </c>
      <c r="L74" s="20">
        <f t="shared" si="10"/>
        <v>0</v>
      </c>
      <c r="M74" s="20">
        <f t="shared" si="10"/>
        <v>0</v>
      </c>
      <c r="N74" s="20">
        <f t="shared" si="10"/>
        <v>0</v>
      </c>
    </row>
    <row r="75" spans="1:14" ht="15.75" thickBot="1">
      <c r="A75" s="39"/>
      <c r="B75" s="7"/>
      <c r="C75" s="10"/>
      <c r="D75" s="463"/>
      <c r="E75" s="464"/>
      <c r="F75" s="464"/>
      <c r="G75" s="464"/>
      <c r="H75" s="464"/>
      <c r="I75" s="464"/>
      <c r="J75" s="464"/>
      <c r="K75" s="464"/>
      <c r="L75" s="464"/>
      <c r="M75" s="464"/>
      <c r="N75" s="464"/>
    </row>
    <row r="76" spans="1:14">
      <c r="A76" s="39"/>
      <c r="B76" s="4" t="s">
        <v>12</v>
      </c>
      <c r="C76" s="466" t="str">
        <f>Summary!B24</f>
        <v>A10</v>
      </c>
      <c r="D76" s="156" t="str">
        <f>Summary!C24</f>
        <v>CMAL - Consultancy Costs Avoided</v>
      </c>
      <c r="E76" s="5"/>
      <c r="F76" s="5"/>
      <c r="G76" s="5"/>
      <c r="H76" s="5"/>
      <c r="I76" s="5"/>
      <c r="J76" s="5"/>
      <c r="K76" s="5"/>
      <c r="L76" s="5"/>
      <c r="M76" s="5"/>
      <c r="N76" s="5"/>
    </row>
    <row r="77" spans="1:14">
      <c r="A77" s="39"/>
      <c r="B77" s="7" t="s">
        <v>189</v>
      </c>
      <c r="C77" s="134" t="str">
        <f>'A10 CMAL Consult Fees '!D47</f>
        <v>A - High</v>
      </c>
      <c r="D77" s="176">
        <f>VLOOKUP(C77,'Confidence Factors'!$B$6:$D$9,3)-M3</f>
        <v>0.8</v>
      </c>
      <c r="E77" s="8"/>
      <c r="F77" s="8"/>
      <c r="G77" s="8"/>
      <c r="H77" s="8"/>
      <c r="I77" s="8"/>
      <c r="J77" s="8"/>
      <c r="K77" s="8"/>
      <c r="L77" s="8"/>
      <c r="M77" s="8"/>
      <c r="N77" s="8"/>
    </row>
    <row r="78" spans="1:14">
      <c r="A78" s="39"/>
      <c r="B78" s="7" t="s">
        <v>30</v>
      </c>
      <c r="C78" s="128">
        <f>SUM(D78:N78)</f>
        <v>80000</v>
      </c>
      <c r="D78" s="177">
        <v>0</v>
      </c>
      <c r="E78" s="454">
        <f>'A10 CMAL Consult Fees '!D70*'A10 CMAL Consult Fees '!D75*'Calcs - Scen 3'!D77</f>
        <v>80000</v>
      </c>
      <c r="F78" s="3">
        <v>0</v>
      </c>
      <c r="G78" s="3">
        <v>0</v>
      </c>
      <c r="H78" s="3">
        <v>0</v>
      </c>
      <c r="I78" s="3">
        <v>0</v>
      </c>
      <c r="J78" s="3">
        <v>0</v>
      </c>
      <c r="K78" s="3">
        <v>0</v>
      </c>
      <c r="L78" s="3">
        <v>0</v>
      </c>
      <c r="M78" s="3">
        <v>0</v>
      </c>
      <c r="N78" s="3">
        <v>0</v>
      </c>
    </row>
    <row r="79" spans="1:14">
      <c r="A79" s="39"/>
      <c r="B79" s="7" t="s">
        <v>31</v>
      </c>
      <c r="C79" s="129">
        <f>NPV($C$7,F78:N78)+D78+E78</f>
        <v>80000</v>
      </c>
      <c r="D79" s="7"/>
      <c r="E79" s="8"/>
      <c r="F79" s="8"/>
      <c r="G79" s="8"/>
      <c r="H79" s="8"/>
      <c r="I79" s="8"/>
      <c r="J79" s="8"/>
      <c r="K79" s="8"/>
      <c r="L79" s="8"/>
      <c r="M79" s="8"/>
      <c r="N79" s="8"/>
    </row>
    <row r="80" spans="1:14">
      <c r="A80" s="39"/>
      <c r="B80" s="7" t="s">
        <v>4</v>
      </c>
      <c r="C80" s="130" t="str">
        <f>IF(SUM(D80:N80)&gt;1,"CHECK"," ")</f>
        <v xml:space="preserve"> </v>
      </c>
      <c r="D80" s="178">
        <v>0</v>
      </c>
      <c r="E80" s="15">
        <v>1</v>
      </c>
      <c r="F80" s="15"/>
      <c r="G80" s="15"/>
      <c r="H80" s="15"/>
      <c r="I80" s="15"/>
      <c r="J80" s="15"/>
      <c r="K80" s="15"/>
      <c r="L80" s="15"/>
      <c r="M80" s="15"/>
      <c r="N80" s="15"/>
    </row>
    <row r="81" spans="1:14" ht="15.75" thickBot="1">
      <c r="A81" s="39"/>
      <c r="B81" s="7"/>
      <c r="C81" s="10"/>
      <c r="D81" s="179">
        <f>IF(D80&gt;0,(D80*$C79),0)</f>
        <v>0</v>
      </c>
      <c r="E81" s="20">
        <f t="shared" ref="E81:N81" si="11">IF(E80&gt;0,(E80*$C79),0)</f>
        <v>80000</v>
      </c>
      <c r="F81" s="20">
        <f t="shared" si="11"/>
        <v>0</v>
      </c>
      <c r="G81" s="20">
        <f t="shared" si="11"/>
        <v>0</v>
      </c>
      <c r="H81" s="20">
        <f t="shared" si="11"/>
        <v>0</v>
      </c>
      <c r="I81" s="20">
        <f t="shared" si="11"/>
        <v>0</v>
      </c>
      <c r="J81" s="20">
        <f t="shared" si="11"/>
        <v>0</v>
      </c>
      <c r="K81" s="20">
        <f t="shared" si="11"/>
        <v>0</v>
      </c>
      <c r="L81" s="20">
        <f t="shared" si="11"/>
        <v>0</v>
      </c>
      <c r="M81" s="20">
        <f t="shared" si="11"/>
        <v>0</v>
      </c>
      <c r="N81" s="20">
        <f t="shared" si="11"/>
        <v>0</v>
      </c>
    </row>
    <row r="82" spans="1:14" ht="15.75" thickBot="1">
      <c r="A82" s="39"/>
      <c r="B82" s="11"/>
      <c r="C82" s="51"/>
      <c r="D82" s="463"/>
      <c r="E82" s="464"/>
      <c r="F82" s="464"/>
      <c r="G82" s="464"/>
      <c r="H82" s="464"/>
      <c r="I82" s="464"/>
      <c r="J82" s="464"/>
      <c r="K82" s="464"/>
      <c r="L82" s="464"/>
      <c r="M82" s="464"/>
      <c r="N82" s="464"/>
    </row>
    <row r="83" spans="1:14">
      <c r="A83" s="39"/>
      <c r="B83" s="4" t="s">
        <v>12</v>
      </c>
      <c r="C83" s="466" t="str">
        <f>Summary!B25</f>
        <v>A11</v>
      </c>
      <c r="D83" s="156" t="str">
        <f>Summary!C25</f>
        <v>Collaborative Housing - Consultancy Costs Avoided</v>
      </c>
      <c r="E83" s="5"/>
      <c r="F83" s="5"/>
      <c r="G83" s="5"/>
      <c r="H83" s="5"/>
      <c r="I83" s="5"/>
      <c r="J83" s="5"/>
      <c r="K83" s="5"/>
      <c r="L83" s="5"/>
      <c r="M83" s="5"/>
      <c r="N83" s="5"/>
    </row>
    <row r="84" spans="1:14">
      <c r="A84" s="39"/>
      <c r="B84" s="7" t="s">
        <v>189</v>
      </c>
      <c r="C84" s="134" t="str">
        <f>'A11 CH Consult Fees'!D47</f>
        <v>A - High</v>
      </c>
      <c r="D84" s="176">
        <f>VLOOKUP(C84,'Confidence Factors'!$B$6:$D$9,3)-M3</f>
        <v>0.8</v>
      </c>
      <c r="E84" s="8"/>
      <c r="F84" s="8"/>
      <c r="G84" s="8"/>
      <c r="H84" s="8"/>
      <c r="I84" s="8"/>
      <c r="J84" s="8"/>
      <c r="K84" s="8"/>
      <c r="L84" s="8"/>
      <c r="M84" s="8"/>
      <c r="N84" s="8"/>
    </row>
    <row r="85" spans="1:14">
      <c r="A85" s="39"/>
      <c r="B85" s="7" t="s">
        <v>30</v>
      </c>
      <c r="C85" s="128">
        <f>SUM(D85:N85)</f>
        <v>119200</v>
      </c>
      <c r="D85" s="177">
        <v>0</v>
      </c>
      <c r="E85" s="454">
        <f>'A11 CH Consult Fees'!D70*'A11 CH Consult Fees'!D75*'Calcs - Scen 3'!D84</f>
        <v>119200</v>
      </c>
      <c r="F85" s="3">
        <v>0</v>
      </c>
      <c r="G85" s="3">
        <v>0</v>
      </c>
      <c r="H85" s="3">
        <v>0</v>
      </c>
      <c r="I85" s="3">
        <v>0</v>
      </c>
      <c r="J85" s="3">
        <v>0</v>
      </c>
      <c r="K85" s="3">
        <v>0</v>
      </c>
      <c r="L85" s="3">
        <v>0</v>
      </c>
      <c r="M85" s="3">
        <v>0</v>
      </c>
      <c r="N85" s="3">
        <v>0</v>
      </c>
    </row>
    <row r="86" spans="1:14">
      <c r="A86" s="39"/>
      <c r="B86" s="7" t="s">
        <v>31</v>
      </c>
      <c r="C86" s="129">
        <f>NPV($C$7,F85:N85)+D85+E85</f>
        <v>119200</v>
      </c>
      <c r="D86" s="7"/>
      <c r="E86" s="8"/>
      <c r="F86" s="8"/>
      <c r="G86" s="8"/>
      <c r="H86" s="8"/>
      <c r="I86" s="8"/>
      <c r="J86" s="8"/>
      <c r="K86" s="8"/>
      <c r="L86" s="8"/>
      <c r="M86" s="8"/>
      <c r="N86" s="8"/>
    </row>
    <row r="87" spans="1:14">
      <c r="A87" s="39"/>
      <c r="B87" s="7" t="s">
        <v>4</v>
      </c>
      <c r="C87" s="130" t="str">
        <f>IF(SUM(D87:N87)&gt;1,"CHECK"," ")</f>
        <v xml:space="preserve"> </v>
      </c>
      <c r="D87" s="178">
        <v>0</v>
      </c>
      <c r="E87" s="15">
        <v>1</v>
      </c>
      <c r="F87" s="15"/>
      <c r="G87" s="15"/>
      <c r="H87" s="15"/>
      <c r="I87" s="15"/>
      <c r="J87" s="15"/>
      <c r="K87" s="15"/>
      <c r="L87" s="15"/>
      <c r="M87" s="15"/>
      <c r="N87" s="15"/>
    </row>
    <row r="88" spans="1:14" ht="15.75" thickBot="1">
      <c r="A88" s="39"/>
      <c r="B88" s="7"/>
      <c r="C88" s="10"/>
      <c r="D88" s="179">
        <f>IF(D87&gt;0,(D87*$C86),0)</f>
        <v>0</v>
      </c>
      <c r="E88" s="20">
        <f t="shared" ref="E88:N88" si="12">IF(E87&gt;0,(E87*$C86),0)</f>
        <v>119200</v>
      </c>
      <c r="F88" s="20">
        <f t="shared" si="12"/>
        <v>0</v>
      </c>
      <c r="G88" s="20">
        <f t="shared" si="12"/>
        <v>0</v>
      </c>
      <c r="H88" s="20">
        <f t="shared" si="12"/>
        <v>0</v>
      </c>
      <c r="I88" s="20">
        <f t="shared" si="12"/>
        <v>0</v>
      </c>
      <c r="J88" s="20">
        <f t="shared" si="12"/>
        <v>0</v>
      </c>
      <c r="K88" s="20">
        <f t="shared" si="12"/>
        <v>0</v>
      </c>
      <c r="L88" s="20">
        <f t="shared" si="12"/>
        <v>0</v>
      </c>
      <c r="M88" s="20">
        <f t="shared" si="12"/>
        <v>0</v>
      </c>
      <c r="N88" s="20">
        <f t="shared" si="12"/>
        <v>0</v>
      </c>
    </row>
    <row r="89" spans="1:14" ht="15.75" thickBot="1">
      <c r="A89" s="39"/>
      <c r="B89" s="7"/>
      <c r="C89" s="10"/>
      <c r="D89" s="463"/>
      <c r="E89" s="464"/>
      <c r="F89" s="464"/>
      <c r="G89" s="464"/>
      <c r="H89" s="464"/>
      <c r="I89" s="464"/>
      <c r="J89" s="464"/>
      <c r="K89" s="464"/>
      <c r="L89" s="464"/>
      <c r="M89" s="464"/>
      <c r="N89" s="464"/>
    </row>
    <row r="90" spans="1:14">
      <c r="A90" s="39"/>
      <c r="B90" s="4" t="s">
        <v>12</v>
      </c>
      <c r="C90" s="466" t="str">
        <f>Summary!B26</f>
        <v>A12</v>
      </c>
      <c r="D90" s="156" t="str">
        <f>Summary!C26</f>
        <v>Waste - Avoided Abortive Advisory Costs Clyde Valley</v>
      </c>
      <c r="E90" s="5"/>
      <c r="F90" s="5"/>
      <c r="G90" s="5"/>
      <c r="H90" s="5"/>
      <c r="I90" s="5"/>
      <c r="J90" s="5"/>
      <c r="K90" s="5"/>
      <c r="L90" s="5"/>
      <c r="M90" s="5"/>
      <c r="N90" s="5"/>
    </row>
    <row r="91" spans="1:14">
      <c r="A91" s="39"/>
      <c r="B91" s="7" t="s">
        <v>189</v>
      </c>
      <c r="C91" s="134" t="str">
        <f>'A12 Waste Avoided Abort Cost CV'!D47</f>
        <v>A - High</v>
      </c>
      <c r="D91" s="176">
        <f>VLOOKUP(C91,'Confidence Factors'!$B$6:$D$9,3)-M3</f>
        <v>0.8</v>
      </c>
      <c r="E91" s="8"/>
      <c r="F91" s="8"/>
      <c r="G91" s="8"/>
      <c r="H91" s="8"/>
      <c r="I91" s="8"/>
      <c r="J91" s="8"/>
      <c r="K91" s="8"/>
      <c r="L91" s="8"/>
      <c r="M91" s="8"/>
      <c r="N91" s="8"/>
    </row>
    <row r="92" spans="1:14">
      <c r="A92" s="39"/>
      <c r="B92" s="7" t="s">
        <v>30</v>
      </c>
      <c r="C92" s="128">
        <f>SUM(D92:N92)</f>
        <v>61600</v>
      </c>
      <c r="D92" s="177">
        <v>0</v>
      </c>
      <c r="E92" s="454">
        <f>'A12 Waste Avoided Abort Cost CV'!D70*'A12 Waste Avoided Abort Cost CV'!D75*'Calcs - Scen 3'!D91</f>
        <v>61600</v>
      </c>
      <c r="F92" s="3">
        <v>0</v>
      </c>
      <c r="G92" s="3">
        <v>0</v>
      </c>
      <c r="H92" s="3">
        <v>0</v>
      </c>
      <c r="I92" s="3">
        <v>0</v>
      </c>
      <c r="J92" s="3">
        <v>0</v>
      </c>
      <c r="K92" s="3">
        <v>0</v>
      </c>
      <c r="L92" s="3">
        <v>0</v>
      </c>
      <c r="M92" s="3">
        <v>0</v>
      </c>
      <c r="N92" s="3">
        <v>0</v>
      </c>
    </row>
    <row r="93" spans="1:14">
      <c r="A93" s="39"/>
      <c r="B93" s="7" t="s">
        <v>31</v>
      </c>
      <c r="C93" s="129">
        <f>NPV($C$7,F92:N92)+D92+E92</f>
        <v>61600</v>
      </c>
      <c r="D93" s="7"/>
      <c r="E93" s="8"/>
      <c r="F93" s="8"/>
      <c r="G93" s="8"/>
      <c r="H93" s="8"/>
      <c r="I93" s="8"/>
      <c r="J93" s="8"/>
      <c r="K93" s="8"/>
      <c r="L93" s="8"/>
      <c r="M93" s="8"/>
      <c r="N93" s="8"/>
    </row>
    <row r="94" spans="1:14">
      <c r="A94" s="39"/>
      <c r="B94" s="7" t="s">
        <v>4</v>
      </c>
      <c r="C94" s="130" t="str">
        <f>IF(SUM(D94:N94)&gt;1,"CHECK"," ")</f>
        <v xml:space="preserve"> </v>
      </c>
      <c r="D94" s="178">
        <v>0</v>
      </c>
      <c r="E94" s="15">
        <v>1</v>
      </c>
      <c r="F94" s="15"/>
      <c r="G94" s="15"/>
      <c r="H94" s="15"/>
      <c r="I94" s="15"/>
      <c r="J94" s="15"/>
      <c r="K94" s="15"/>
      <c r="L94" s="15"/>
      <c r="M94" s="15"/>
      <c r="N94" s="15"/>
    </row>
    <row r="95" spans="1:14" ht="15.75" thickBot="1">
      <c r="A95" s="39"/>
      <c r="B95" s="7"/>
      <c r="C95" s="10"/>
      <c r="D95" s="179">
        <f>IF(D94&gt;0,(D94*$C93),0)</f>
        <v>0</v>
      </c>
      <c r="E95" s="20">
        <f t="shared" ref="E95:N95" si="13">IF(E94&gt;0,(E94*$C93),0)</f>
        <v>61600</v>
      </c>
      <c r="F95" s="20">
        <f t="shared" si="13"/>
        <v>0</v>
      </c>
      <c r="G95" s="20">
        <f t="shared" si="13"/>
        <v>0</v>
      </c>
      <c r="H95" s="20">
        <f t="shared" si="13"/>
        <v>0</v>
      </c>
      <c r="I95" s="20">
        <f t="shared" si="13"/>
        <v>0</v>
      </c>
      <c r="J95" s="20">
        <f t="shared" si="13"/>
        <v>0</v>
      </c>
      <c r="K95" s="20">
        <f t="shared" si="13"/>
        <v>0</v>
      </c>
      <c r="L95" s="20">
        <f t="shared" si="13"/>
        <v>0</v>
      </c>
      <c r="M95" s="20">
        <f t="shared" si="13"/>
        <v>0</v>
      </c>
      <c r="N95" s="20">
        <f t="shared" si="13"/>
        <v>0</v>
      </c>
    </row>
    <row r="96" spans="1:14" ht="15.75" thickBot="1">
      <c r="A96" s="39"/>
      <c r="B96" s="7"/>
      <c r="C96" s="10"/>
      <c r="D96" s="463"/>
      <c r="E96" s="464"/>
      <c r="F96" s="464"/>
      <c r="G96" s="464"/>
      <c r="H96" s="464"/>
      <c r="I96" s="464"/>
      <c r="J96" s="464"/>
      <c r="K96" s="464"/>
      <c r="L96" s="464"/>
      <c r="M96" s="464"/>
      <c r="N96" s="464"/>
    </row>
    <row r="97" spans="1:14">
      <c r="A97" s="39"/>
      <c r="B97" s="4" t="s">
        <v>12</v>
      </c>
      <c r="C97" s="466" t="str">
        <f>'A13 Waste Avoid Advisor Non CV '!D10</f>
        <v>A13</v>
      </c>
      <c r="D97" s="156" t="str">
        <f>Summary!C27</f>
        <v>Waste - Avoided Advisory Costs - Projects other than Clyde Valley</v>
      </c>
      <c r="E97" s="5"/>
      <c r="F97" s="5"/>
      <c r="G97" s="5"/>
      <c r="H97" s="5"/>
      <c r="I97" s="5"/>
      <c r="J97" s="5"/>
      <c r="K97" s="5"/>
      <c r="L97" s="5"/>
      <c r="M97" s="5"/>
      <c r="N97" s="5"/>
    </row>
    <row r="98" spans="1:14">
      <c r="A98" s="39"/>
      <c r="B98" s="7" t="s">
        <v>189</v>
      </c>
      <c r="C98" s="134" t="str">
        <f>'A13 Waste Avoid Advisor Non CV '!D47</f>
        <v>C - Good</v>
      </c>
      <c r="D98" s="176">
        <f>VLOOKUP(C98,'Confidence Factors'!$B$6:$D$9,3)-M3</f>
        <v>0.55000000000000004</v>
      </c>
      <c r="E98" s="8"/>
      <c r="F98" s="8"/>
      <c r="G98" s="8"/>
      <c r="H98" s="8"/>
      <c r="I98" s="8"/>
      <c r="J98" s="8"/>
      <c r="K98" s="8"/>
      <c r="L98" s="8"/>
      <c r="M98" s="8"/>
      <c r="N98" s="8"/>
    </row>
    <row r="99" spans="1:14">
      <c r="A99" s="39"/>
      <c r="B99" s="7" t="s">
        <v>30</v>
      </c>
      <c r="C99" s="128">
        <f>SUM(D99:N99)</f>
        <v>169400</v>
      </c>
      <c r="D99" s="177">
        <v>0</v>
      </c>
      <c r="E99" s="454">
        <f>'A12 Waste Avoided Abort Cost CV'!D77*'A12 Waste Avoided Abort Cost CV'!D82*'Calcs - Scen 3'!D98</f>
        <v>0</v>
      </c>
      <c r="F99" s="454">
        <f>'A13 Waste Avoid Advisor Non CV '!H74*'A13 Waste Avoid Advisor Non CV '!D75*'Calcs - Scen 3'!D98</f>
        <v>42350</v>
      </c>
      <c r="G99" s="3">
        <v>0</v>
      </c>
      <c r="H99" s="3">
        <f>'A13 Waste Avoid Advisor Non CV '!J74*'A13 Waste Avoid Advisor Non CV '!D75*'Calcs - Scen 3'!D98</f>
        <v>42350</v>
      </c>
      <c r="I99" s="3">
        <f>'A13 Waste Avoid Advisor Non CV '!K74*'A13 Waste Avoid Advisor Non CV '!D75*'Calcs - Scen 3'!D98</f>
        <v>84700</v>
      </c>
      <c r="J99" s="3">
        <v>0</v>
      </c>
      <c r="K99" s="3">
        <v>0</v>
      </c>
      <c r="L99" s="3">
        <v>0</v>
      </c>
      <c r="M99" s="3">
        <v>0</v>
      </c>
      <c r="N99" s="3">
        <v>0</v>
      </c>
    </row>
    <row r="100" spans="1:14">
      <c r="A100" s="39"/>
      <c r="B100" s="7" t="s">
        <v>31</v>
      </c>
      <c r="C100" s="129">
        <f>NPV($C$7,F99:N99)+D99+E99</f>
        <v>152926.30466724507</v>
      </c>
      <c r="D100" s="7"/>
      <c r="E100" s="8"/>
      <c r="F100" s="8"/>
      <c r="G100" s="8"/>
      <c r="H100" s="8"/>
      <c r="I100" s="8"/>
      <c r="J100" s="8"/>
      <c r="K100" s="8"/>
      <c r="L100" s="8"/>
      <c r="M100" s="8"/>
      <c r="N100" s="8"/>
    </row>
    <row r="101" spans="1:14">
      <c r="A101" s="39"/>
      <c r="B101" s="7" t="s">
        <v>4</v>
      </c>
      <c r="C101" s="130" t="str">
        <f>IF(SUM(D101:N101)&gt;1,"CHECK"," ")</f>
        <v xml:space="preserve"> </v>
      </c>
      <c r="D101" s="178">
        <v>0.2</v>
      </c>
      <c r="E101" s="15">
        <v>0.3</v>
      </c>
      <c r="F101" s="15">
        <v>0.3</v>
      </c>
      <c r="G101" s="15">
        <v>0.2</v>
      </c>
      <c r="H101" s="15"/>
      <c r="I101" s="15"/>
      <c r="J101" s="15"/>
      <c r="K101" s="15"/>
      <c r="L101" s="15"/>
      <c r="M101" s="15"/>
      <c r="N101" s="15"/>
    </row>
    <row r="102" spans="1:14" ht="15.75" thickBot="1">
      <c r="A102" s="39"/>
      <c r="B102" s="7"/>
      <c r="C102" s="10"/>
      <c r="D102" s="179">
        <f>IF(D101&gt;0,(D101*$C100),0)</f>
        <v>30585.260933449015</v>
      </c>
      <c r="E102" s="20">
        <f t="shared" ref="E102:N102" si="14">IF(E101&gt;0,(E101*$C100),0)</f>
        <v>45877.891400173517</v>
      </c>
      <c r="F102" s="20">
        <f t="shared" si="14"/>
        <v>45877.891400173517</v>
      </c>
      <c r="G102" s="20">
        <f t="shared" si="14"/>
        <v>30585.260933449015</v>
      </c>
      <c r="H102" s="20">
        <f t="shared" si="14"/>
        <v>0</v>
      </c>
      <c r="I102" s="20">
        <f t="shared" si="14"/>
        <v>0</v>
      </c>
      <c r="J102" s="20">
        <f t="shared" si="14"/>
        <v>0</v>
      </c>
      <c r="K102" s="20">
        <f t="shared" si="14"/>
        <v>0</v>
      </c>
      <c r="L102" s="20">
        <f t="shared" si="14"/>
        <v>0</v>
      </c>
      <c r="M102" s="20">
        <f t="shared" si="14"/>
        <v>0</v>
      </c>
      <c r="N102" s="20">
        <f t="shared" si="14"/>
        <v>0</v>
      </c>
    </row>
    <row r="103" spans="1:14" ht="15.75" thickBot="1">
      <c r="A103" s="39"/>
      <c r="B103" s="7"/>
      <c r="C103" s="10"/>
      <c r="D103" s="463"/>
      <c r="E103" s="464"/>
      <c r="F103" s="464"/>
      <c r="G103" s="464"/>
      <c r="H103" s="464"/>
      <c r="I103" s="464"/>
      <c r="J103" s="464"/>
      <c r="K103" s="464"/>
      <c r="L103" s="464"/>
      <c r="M103" s="464"/>
      <c r="N103" s="464"/>
    </row>
    <row r="104" spans="1:14">
      <c r="A104" s="39"/>
      <c r="B104" s="4" t="s">
        <v>12</v>
      </c>
      <c r="C104" s="466" t="str">
        <f>Summary!B28</f>
        <v>A14</v>
      </c>
      <c r="D104" s="156" t="str">
        <f>Summary!C28</f>
        <v>Waste - Avoided Advisory Costs - Clyde Valley</v>
      </c>
      <c r="E104" s="5"/>
      <c r="F104" s="5"/>
      <c r="G104" s="5"/>
      <c r="H104" s="5"/>
      <c r="I104" s="5"/>
      <c r="J104" s="5"/>
      <c r="K104" s="5"/>
      <c r="L104" s="5"/>
      <c r="M104" s="5"/>
      <c r="N104" s="5"/>
    </row>
    <row r="105" spans="1:14">
      <c r="A105" s="39"/>
      <c r="B105" s="7" t="s">
        <v>189</v>
      </c>
      <c r="C105" s="134" t="str">
        <f>'A14 Waste Avoid Advisor CV '!D47</f>
        <v>D - Moderate</v>
      </c>
      <c r="D105" s="176">
        <f>VLOOKUP(C105,'Confidence Factors'!$B$6:$D$9,3)-M3</f>
        <v>0.35000000000000003</v>
      </c>
      <c r="E105" s="8"/>
      <c r="F105" s="8"/>
      <c r="G105" s="8"/>
      <c r="H105" s="8"/>
      <c r="I105" s="8"/>
      <c r="J105" s="8"/>
      <c r="K105" s="8"/>
      <c r="L105" s="8"/>
      <c r="M105" s="8"/>
      <c r="N105" s="8"/>
    </row>
    <row r="106" spans="1:14">
      <c r="A106" s="39"/>
      <c r="B106" s="7" t="s">
        <v>30</v>
      </c>
      <c r="C106" s="128">
        <f>SUM(D106:N106)</f>
        <v>17948.7</v>
      </c>
      <c r="D106" s="177">
        <v>0</v>
      </c>
      <c r="E106" s="454">
        <f>'A12 Waste Avoided Abort Cost CV'!D84*'A12 Waste Avoided Abort Cost CV'!D89*'Calcs - Scen 3'!D105</f>
        <v>0</v>
      </c>
      <c r="F106" s="454">
        <f>'A13 Waste Avoid Advisor Non CV '!H81*'A13 Waste Avoid Advisor Non CV '!D82*'Calcs - Scen 3'!D105</f>
        <v>0</v>
      </c>
      <c r="G106" s="3">
        <v>0</v>
      </c>
      <c r="H106" s="3">
        <f>'A13 Waste Avoid Advisor Non CV '!J81*'A13 Waste Avoid Advisor Non CV '!D82*'Calcs - Scen 3'!D105</f>
        <v>0</v>
      </c>
      <c r="I106" s="3">
        <f>'A14 Waste Avoid Advisor CV '!D70*'A14 Waste Avoid Advisor CV '!D75*'Calcs - Scen 3'!D105</f>
        <v>17948.7</v>
      </c>
      <c r="J106" s="3">
        <v>0</v>
      </c>
      <c r="K106" s="3">
        <v>0</v>
      </c>
      <c r="L106" s="3">
        <v>0</v>
      </c>
      <c r="M106" s="3">
        <v>0</v>
      </c>
      <c r="N106" s="3">
        <v>0</v>
      </c>
    </row>
    <row r="107" spans="1:14">
      <c r="A107" s="39"/>
      <c r="B107" s="7" t="s">
        <v>31</v>
      </c>
      <c r="C107" s="129">
        <f>NPV($C$7,F106:N106)+D106+E106</f>
        <v>15641.255112293367</v>
      </c>
      <c r="D107" s="7"/>
      <c r="E107" s="8"/>
      <c r="F107" s="8"/>
      <c r="G107" s="8"/>
      <c r="H107" s="8"/>
      <c r="I107" s="8"/>
      <c r="J107" s="8"/>
      <c r="K107" s="8"/>
      <c r="L107" s="8"/>
      <c r="M107" s="8"/>
      <c r="N107" s="8"/>
    </row>
    <row r="108" spans="1:14">
      <c r="A108" s="39"/>
      <c r="B108" s="7" t="s">
        <v>4</v>
      </c>
      <c r="C108" s="130" t="str">
        <f>IF(SUM(D108:N108)&gt;1,"CHECK"," ")</f>
        <v xml:space="preserve"> </v>
      </c>
      <c r="D108" s="178">
        <v>0</v>
      </c>
      <c r="E108" s="15">
        <f>1/3</f>
        <v>0.33333333333333331</v>
      </c>
      <c r="F108" s="15">
        <f>1/3</f>
        <v>0.33333333333333331</v>
      </c>
      <c r="G108" s="15">
        <f>1/3</f>
        <v>0.33333333333333331</v>
      </c>
      <c r="H108" s="15"/>
      <c r="I108" s="15"/>
      <c r="J108" s="15"/>
      <c r="K108" s="15"/>
      <c r="L108" s="15"/>
      <c r="M108" s="15"/>
      <c r="N108" s="15"/>
    </row>
    <row r="109" spans="1:14" ht="15.75" thickBot="1">
      <c r="A109" s="39"/>
      <c r="B109" s="7"/>
      <c r="C109" s="10"/>
      <c r="D109" s="179">
        <f>IF(D108&gt;0,(D108*$C107),0)</f>
        <v>0</v>
      </c>
      <c r="E109" s="20">
        <f t="shared" ref="E109:N109" si="15">IF(E108&gt;0,(E108*$C107),0)</f>
        <v>5213.7517040977891</v>
      </c>
      <c r="F109" s="20">
        <f t="shared" si="15"/>
        <v>5213.7517040977891</v>
      </c>
      <c r="G109" s="20">
        <f t="shared" si="15"/>
        <v>5213.7517040977891</v>
      </c>
      <c r="H109" s="20">
        <f t="shared" si="15"/>
        <v>0</v>
      </c>
      <c r="I109" s="20">
        <f t="shared" si="15"/>
        <v>0</v>
      </c>
      <c r="J109" s="20">
        <f t="shared" si="15"/>
        <v>0</v>
      </c>
      <c r="K109" s="20">
        <f t="shared" si="15"/>
        <v>0</v>
      </c>
      <c r="L109" s="20">
        <f t="shared" si="15"/>
        <v>0</v>
      </c>
      <c r="M109" s="20">
        <f t="shared" si="15"/>
        <v>0</v>
      </c>
      <c r="N109" s="20">
        <f t="shared" si="15"/>
        <v>0</v>
      </c>
    </row>
    <row r="110" spans="1:14" ht="15.75" thickBot="1">
      <c r="A110" s="39"/>
      <c r="B110" s="7"/>
      <c r="C110" s="10"/>
      <c r="D110" s="463"/>
      <c r="E110" s="464"/>
      <c r="F110" s="464"/>
      <c r="G110" s="464"/>
      <c r="H110" s="464"/>
      <c r="I110" s="464"/>
      <c r="J110" s="464"/>
      <c r="K110" s="464"/>
      <c r="L110" s="464"/>
      <c r="M110" s="464"/>
      <c r="N110" s="464"/>
    </row>
    <row r="111" spans="1:14">
      <c r="A111" s="39"/>
      <c r="B111" s="4" t="s">
        <v>12</v>
      </c>
      <c r="C111" s="466" t="str">
        <f>Summary!B29</f>
        <v>A15</v>
      </c>
      <c r="D111" s="156" t="str">
        <f>Summary!C29</f>
        <v xml:space="preserve">Waste - Avoided Disposal Costs - Clyde Valley </v>
      </c>
      <c r="E111" s="5"/>
      <c r="F111" s="5"/>
      <c r="G111" s="5"/>
      <c r="H111" s="5"/>
      <c r="I111" s="5"/>
      <c r="J111" s="5"/>
      <c r="K111" s="5"/>
      <c r="L111" s="5"/>
      <c r="M111" s="5"/>
      <c r="N111" s="5"/>
    </row>
    <row r="112" spans="1:14">
      <c r="A112" s="39"/>
      <c r="B112" s="7" t="s">
        <v>189</v>
      </c>
      <c r="C112" s="134" t="str">
        <f>'A15 Waste Avoid Disposal Non CV'!D47</f>
        <v>D - Moderate</v>
      </c>
      <c r="D112" s="176">
        <f>VLOOKUP(C112,'Confidence Factors'!$B$6:$D$9,3)-M3</f>
        <v>0.35000000000000003</v>
      </c>
      <c r="E112" s="8"/>
      <c r="F112" s="8"/>
      <c r="G112" s="8"/>
      <c r="H112" s="8"/>
      <c r="I112" s="8"/>
      <c r="J112" s="8"/>
      <c r="K112" s="8"/>
      <c r="L112" s="8"/>
      <c r="M112" s="8"/>
      <c r="N112" s="8"/>
    </row>
    <row r="113" spans="1:14">
      <c r="A113" s="39"/>
      <c r="B113" s="7" t="s">
        <v>30</v>
      </c>
      <c r="C113" s="128">
        <f>SUM(D113:N113)</f>
        <v>30594.375000000004</v>
      </c>
      <c r="D113" s="177">
        <v>0</v>
      </c>
      <c r="E113" s="454">
        <f>'A12 Waste Avoided Abort Cost CV'!D91*'A12 Waste Avoided Abort Cost CV'!D96*'Calcs - Scen 3'!D112</f>
        <v>0</v>
      </c>
      <c r="F113" s="454">
        <f>'A13 Waste Avoid Advisor Non CV '!H88*'A13 Waste Avoid Advisor Non CV '!D89*'Calcs - Scen 3'!D112</f>
        <v>0</v>
      </c>
      <c r="G113" s="3">
        <v>0</v>
      </c>
      <c r="H113" s="3">
        <f>'A13 Waste Avoid Advisor Non CV '!J88*'A13 Waste Avoid Advisor Non CV '!D89*'Calcs - Scen 3'!D112</f>
        <v>0</v>
      </c>
      <c r="I113" s="3">
        <f>'A14 Waste Avoid Advisor CV '!D77*'A14 Waste Avoid Advisor CV '!D82*'Calcs - Scen 3'!D112</f>
        <v>0</v>
      </c>
      <c r="J113" s="3">
        <v>0</v>
      </c>
      <c r="K113" s="3">
        <v>0</v>
      </c>
      <c r="L113" s="3">
        <f>'A15 Waste Avoid Disposal Non CV'!D70*'A15 Waste Avoid Disposal Non CV'!D75*'Calcs - Scen 3'!D112</f>
        <v>30594.375000000004</v>
      </c>
      <c r="M113" s="3">
        <v>0</v>
      </c>
      <c r="N113" s="3">
        <v>0</v>
      </c>
    </row>
    <row r="114" spans="1:14">
      <c r="A114" s="39"/>
      <c r="B114" s="7" t="s">
        <v>31</v>
      </c>
      <c r="C114" s="129">
        <f>NPV($C$7,F113:N113)+D113+E113</f>
        <v>24046.902197771025</v>
      </c>
      <c r="D114" s="7"/>
      <c r="E114" s="8"/>
      <c r="F114" s="8"/>
      <c r="G114" s="8"/>
      <c r="H114" s="8"/>
      <c r="I114" s="8"/>
      <c r="J114" s="8"/>
      <c r="K114" s="8"/>
      <c r="L114" s="8"/>
      <c r="M114" s="8"/>
      <c r="N114" s="8"/>
    </row>
    <row r="115" spans="1:14">
      <c r="A115" s="39"/>
      <c r="B115" s="7" t="s">
        <v>4</v>
      </c>
      <c r="C115" s="130" t="str">
        <f>IF(SUM(D115:N115)&gt;1,"CHECK"," ")</f>
        <v xml:space="preserve"> </v>
      </c>
      <c r="D115" s="178">
        <v>0</v>
      </c>
      <c r="E115" s="15">
        <f>1/3</f>
        <v>0.33333333333333331</v>
      </c>
      <c r="F115" s="15">
        <v>0.33300000000000002</v>
      </c>
      <c r="G115" s="15">
        <v>0.33300000000000002</v>
      </c>
      <c r="H115" s="15"/>
      <c r="I115" s="15"/>
      <c r="J115" s="15"/>
      <c r="K115" s="15"/>
      <c r="L115" s="15"/>
      <c r="M115" s="15"/>
      <c r="N115" s="15"/>
    </row>
    <row r="116" spans="1:14" ht="15.75" thickBot="1">
      <c r="A116" s="39"/>
      <c r="B116" s="7"/>
      <c r="C116" s="10"/>
      <c r="D116" s="179">
        <f>IF(D115&gt;0,(D115*$C114),0)</f>
        <v>0</v>
      </c>
      <c r="E116" s="20">
        <f t="shared" ref="E116:N116" si="16">IF(E115&gt;0,(E115*$C114),0)</f>
        <v>8015.6340659236748</v>
      </c>
      <c r="F116" s="20">
        <f t="shared" si="16"/>
        <v>8007.6184318577516</v>
      </c>
      <c r="G116" s="20">
        <f t="shared" si="16"/>
        <v>8007.6184318577516</v>
      </c>
      <c r="H116" s="20">
        <f t="shared" si="16"/>
        <v>0</v>
      </c>
      <c r="I116" s="20">
        <f t="shared" si="16"/>
        <v>0</v>
      </c>
      <c r="J116" s="20">
        <f t="shared" si="16"/>
        <v>0</v>
      </c>
      <c r="K116" s="20">
        <f t="shared" si="16"/>
        <v>0</v>
      </c>
      <c r="L116" s="20">
        <f t="shared" si="16"/>
        <v>0</v>
      </c>
      <c r="M116" s="20">
        <f t="shared" si="16"/>
        <v>0</v>
      </c>
      <c r="N116" s="20">
        <f t="shared" si="16"/>
        <v>0</v>
      </c>
    </row>
    <row r="117" spans="1:14" ht="15.75" thickBot="1">
      <c r="A117" s="39"/>
      <c r="B117" s="7"/>
      <c r="C117" s="10"/>
      <c r="D117" s="463"/>
      <c r="E117" s="464"/>
      <c r="F117" s="464"/>
      <c r="G117" s="464"/>
      <c r="H117" s="464"/>
      <c r="I117" s="464"/>
      <c r="J117" s="464"/>
      <c r="K117" s="464"/>
      <c r="L117" s="464"/>
      <c r="M117" s="464"/>
      <c r="N117" s="464"/>
    </row>
    <row r="118" spans="1:14">
      <c r="A118" s="39"/>
      <c r="B118" s="4" t="s">
        <v>12</v>
      </c>
      <c r="C118" s="466" t="str">
        <f>Summary!B30</f>
        <v>A16</v>
      </c>
      <c r="D118" s="156" t="str">
        <f>Summary!C30</f>
        <v>Waste - Food Treatment Support</v>
      </c>
      <c r="E118" s="5"/>
      <c r="F118" s="5"/>
      <c r="G118" s="5"/>
      <c r="H118" s="5"/>
      <c r="I118" s="5"/>
      <c r="J118" s="5"/>
      <c r="K118" s="5"/>
      <c r="L118" s="5"/>
      <c r="M118" s="5"/>
      <c r="N118" s="5"/>
    </row>
    <row r="119" spans="1:14">
      <c r="A119" s="39"/>
      <c r="B119" s="7" t="s">
        <v>189</v>
      </c>
      <c r="C119" s="134" t="str">
        <f>'A16 Waste Food Treatment Suppor'!D47</f>
        <v>A - High</v>
      </c>
      <c r="D119" s="176">
        <f>VLOOKUP(C119,'Confidence Factors'!$B$6:$D$9,3)-M3</f>
        <v>0.8</v>
      </c>
      <c r="E119" s="8"/>
      <c r="F119" s="8"/>
      <c r="G119" s="8"/>
      <c r="H119" s="8"/>
      <c r="I119" s="8"/>
      <c r="J119" s="8"/>
      <c r="K119" s="8"/>
      <c r="L119" s="8"/>
      <c r="M119" s="8"/>
      <c r="N119" s="8"/>
    </row>
    <row r="120" spans="1:14">
      <c r="A120" s="39"/>
      <c r="B120" s="7" t="s">
        <v>30</v>
      </c>
      <c r="C120" s="128">
        <f>SUM(D120:N120)</f>
        <v>9600</v>
      </c>
      <c r="D120" s="177">
        <v>0</v>
      </c>
      <c r="E120" s="454">
        <f>'A16 Waste Food Treatment Suppor'!D70*'A16 Waste Food Treatment Suppor'!D75*'Calcs - Scen 3'!D119</f>
        <v>9600</v>
      </c>
      <c r="F120" s="454"/>
      <c r="G120" s="454"/>
      <c r="H120" s="454"/>
      <c r="I120" s="454"/>
      <c r="J120" s="454"/>
      <c r="K120" s="454"/>
      <c r="L120" s="454"/>
      <c r="M120" s="454"/>
      <c r="N120" s="454"/>
    </row>
    <row r="121" spans="1:14">
      <c r="A121" s="39"/>
      <c r="B121" s="7" t="s">
        <v>31</v>
      </c>
      <c r="C121" s="129">
        <f>NPV($C$7,F120:N120)+D120+E120</f>
        <v>9600</v>
      </c>
      <c r="D121" s="7"/>
      <c r="E121" s="8"/>
      <c r="F121" s="8"/>
      <c r="G121" s="8"/>
      <c r="H121" s="8"/>
      <c r="I121" s="8"/>
      <c r="J121" s="8"/>
      <c r="K121" s="8"/>
      <c r="L121" s="8"/>
      <c r="M121" s="8"/>
      <c r="N121" s="8"/>
    </row>
    <row r="122" spans="1:14">
      <c r="A122" s="39"/>
      <c r="B122" s="7" t="s">
        <v>4</v>
      </c>
      <c r="C122" s="130" t="str">
        <f>IF(SUM(D122:N122)&gt;1,"CHECK"," ")</f>
        <v xml:space="preserve"> </v>
      </c>
      <c r="D122" s="178">
        <v>0</v>
      </c>
      <c r="E122" s="15">
        <v>1</v>
      </c>
      <c r="F122" s="15"/>
      <c r="G122" s="15"/>
      <c r="H122" s="15"/>
      <c r="I122" s="15"/>
      <c r="J122" s="15"/>
      <c r="K122" s="15"/>
      <c r="L122" s="15"/>
      <c r="M122" s="15"/>
      <c r="N122" s="15"/>
    </row>
    <row r="123" spans="1:14" ht="15.75" thickBot="1">
      <c r="A123" s="39"/>
      <c r="B123" s="7"/>
      <c r="C123" s="10"/>
      <c r="D123" s="179">
        <f>IF(D122&gt;0,(D122*$C121),0)</f>
        <v>0</v>
      </c>
      <c r="E123" s="20">
        <f t="shared" ref="E123:N123" si="17">IF(E122&gt;0,(E122*$C121),0)</f>
        <v>9600</v>
      </c>
      <c r="F123" s="20">
        <f t="shared" si="17"/>
        <v>0</v>
      </c>
      <c r="G123" s="20">
        <f t="shared" si="17"/>
        <v>0</v>
      </c>
      <c r="H123" s="20">
        <f t="shared" si="17"/>
        <v>0</v>
      </c>
      <c r="I123" s="20">
        <f t="shared" si="17"/>
        <v>0</v>
      </c>
      <c r="J123" s="20">
        <f t="shared" si="17"/>
        <v>0</v>
      </c>
      <c r="K123" s="20">
        <f t="shared" si="17"/>
        <v>0</v>
      </c>
      <c r="L123" s="20">
        <f t="shared" si="17"/>
        <v>0</v>
      </c>
      <c r="M123" s="20">
        <f t="shared" si="17"/>
        <v>0</v>
      </c>
      <c r="N123" s="20">
        <f t="shared" si="17"/>
        <v>0</v>
      </c>
    </row>
    <row r="124" spans="1:14" ht="15.75" thickBot="1">
      <c r="A124" s="39"/>
      <c r="B124" s="7"/>
      <c r="C124" s="10"/>
      <c r="D124" s="463"/>
      <c r="E124" s="464"/>
      <c r="F124" s="464"/>
      <c r="G124" s="464"/>
      <c r="H124" s="464"/>
      <c r="I124" s="464"/>
      <c r="J124" s="464"/>
      <c r="K124" s="464"/>
      <c r="L124" s="464"/>
      <c r="M124" s="464"/>
      <c r="N124" s="464"/>
    </row>
    <row r="125" spans="1:14">
      <c r="A125" s="39"/>
      <c r="B125" s="4" t="s">
        <v>12</v>
      </c>
      <c r="C125" s="466" t="str">
        <f>Summary!B31</f>
        <v>A17</v>
      </c>
      <c r="D125" s="156" t="str">
        <f>Summary!C31</f>
        <v>Waste - Avoided Future Contract Variations</v>
      </c>
      <c r="E125" s="5"/>
      <c r="F125" s="5"/>
      <c r="G125" s="5"/>
      <c r="H125" s="5"/>
      <c r="I125" s="5"/>
      <c r="J125" s="5"/>
      <c r="K125" s="5"/>
      <c r="L125" s="5"/>
      <c r="M125" s="5"/>
      <c r="N125" s="5"/>
    </row>
    <row r="126" spans="1:14">
      <c r="A126" s="39"/>
      <c r="B126" s="7" t="s">
        <v>189</v>
      </c>
      <c r="C126" s="134" t="str">
        <f>'A17 Wst Avoid Future Variations'!D47</f>
        <v>D - Moderate</v>
      </c>
      <c r="D126" s="176">
        <f>VLOOKUP(C126,'Confidence Factors'!$B$6:$D$9,3)-M3</f>
        <v>0.35000000000000003</v>
      </c>
      <c r="E126" s="8"/>
      <c r="F126" s="8"/>
      <c r="G126" s="8"/>
      <c r="H126" s="8"/>
      <c r="I126" s="8"/>
      <c r="J126" s="8"/>
      <c r="K126" s="8"/>
      <c r="L126" s="8"/>
      <c r="M126" s="8"/>
      <c r="N126" s="8"/>
    </row>
    <row r="127" spans="1:14">
      <c r="A127" s="39"/>
      <c r="B127" s="7" t="s">
        <v>30</v>
      </c>
      <c r="C127" s="128">
        <f>SUM(D127:N127)</f>
        <v>246750.00000000006</v>
      </c>
      <c r="D127" s="177">
        <v>0</v>
      </c>
      <c r="E127" s="454">
        <f>'A12 Waste Avoided Abort Cost CV'!D105*'A12 Waste Avoided Abort Cost CV'!D110*'Calcs - Scen 3'!D126</f>
        <v>0</v>
      </c>
      <c r="F127" s="454">
        <f>'A13 Waste Avoid Advisor Non CV '!H102*'A13 Waste Avoid Advisor Non CV '!D103*'Calcs - Scen 3'!D126</f>
        <v>0</v>
      </c>
      <c r="G127" s="3">
        <v>0</v>
      </c>
      <c r="H127" s="3">
        <f>'A13 Waste Avoid Advisor Non CV '!J102*'A13 Waste Avoid Advisor Non CV '!D103*'Calcs - Scen 3'!D126</f>
        <v>0</v>
      </c>
      <c r="I127" s="3">
        <f>'A16 Waste Food Treatment Suppor'!H82*'A16 Waste Food Treatment Suppor'!D82*'Calcs - Scen 3'!D126</f>
        <v>0</v>
      </c>
      <c r="J127" s="3">
        <f>'A16 Waste Food Treatment Suppor'!I82*'A16 Waste Food Treatment Suppor'!D82*'Calcs - Scen 3'!D126</f>
        <v>0</v>
      </c>
      <c r="K127" s="3">
        <f>'A16 Waste Food Treatment Suppor'!J82*'A16 Waste Food Treatment Suppor'!D82*'Calcs - Scen 3'!D126</f>
        <v>0</v>
      </c>
      <c r="L127" s="3">
        <f>'A17 Wst Avoid Future Variations'!I$73*'A17 Wst Avoid Future Variations'!$D75*'Calcs - Scen 3'!$D126</f>
        <v>82250.000000000015</v>
      </c>
      <c r="M127" s="3">
        <f>'A17 Wst Avoid Future Variations'!J$73*'A17 Wst Avoid Future Variations'!$D75*'Calcs - Scen 3'!$D126</f>
        <v>82250.000000000015</v>
      </c>
      <c r="N127" s="3">
        <f>'A17 Wst Avoid Future Variations'!K$73*'A17 Wst Avoid Future Variations'!$D75*'Calcs - Scen 3'!$D126</f>
        <v>82250.000000000015</v>
      </c>
    </row>
    <row r="128" spans="1:14">
      <c r="A128" s="39"/>
      <c r="B128" s="7" t="s">
        <v>31</v>
      </c>
      <c r="C128" s="129">
        <f>NPV($C$7,F127:N127)+D127+E127</f>
        <v>187458.72947762656</v>
      </c>
      <c r="D128" s="7"/>
      <c r="E128" s="8"/>
      <c r="F128" s="8"/>
      <c r="G128" s="8"/>
      <c r="H128" s="8"/>
      <c r="I128" s="8"/>
      <c r="J128" s="8"/>
      <c r="K128" s="8"/>
      <c r="L128" s="8"/>
      <c r="M128" s="8"/>
      <c r="N128" s="8"/>
    </row>
    <row r="129" spans="1:14">
      <c r="A129" s="39"/>
      <c r="B129" s="7" t="s">
        <v>4</v>
      </c>
      <c r="C129" s="130" t="str">
        <f>IF(SUM(D129:N129)&gt;1,"CHECK"," ")</f>
        <v xml:space="preserve"> </v>
      </c>
      <c r="D129" s="178">
        <f>1/3</f>
        <v>0.33333333333333331</v>
      </c>
      <c r="E129" s="178">
        <f t="shared" ref="E129:F129" si="18">1/3</f>
        <v>0.33333333333333331</v>
      </c>
      <c r="F129" s="178">
        <f t="shared" si="18"/>
        <v>0.33333333333333331</v>
      </c>
      <c r="G129" s="15"/>
      <c r="H129" s="15"/>
      <c r="I129" s="15"/>
      <c r="J129" s="15"/>
      <c r="K129" s="15"/>
      <c r="L129" s="15"/>
      <c r="M129" s="15"/>
      <c r="N129" s="15"/>
    </row>
    <row r="130" spans="1:14" ht="15.75" thickBot="1">
      <c r="A130" s="39"/>
      <c r="B130" s="7"/>
      <c r="C130" s="10"/>
      <c r="D130" s="179">
        <f>IF(D129&gt;0,(D129*$C128),0)</f>
        <v>62486.243159208854</v>
      </c>
      <c r="E130" s="20">
        <f t="shared" ref="E130:N130" si="19">IF(E129&gt;0,(E129*$C128),0)</f>
        <v>62486.243159208854</v>
      </c>
      <c r="F130" s="20">
        <f t="shared" si="19"/>
        <v>62486.243159208854</v>
      </c>
      <c r="G130" s="20">
        <f t="shared" si="19"/>
        <v>0</v>
      </c>
      <c r="H130" s="20">
        <f t="shared" si="19"/>
        <v>0</v>
      </c>
      <c r="I130" s="20">
        <f t="shared" si="19"/>
        <v>0</v>
      </c>
      <c r="J130" s="20">
        <f t="shared" si="19"/>
        <v>0</v>
      </c>
      <c r="K130" s="20">
        <f t="shared" si="19"/>
        <v>0</v>
      </c>
      <c r="L130" s="20">
        <f t="shared" si="19"/>
        <v>0</v>
      </c>
      <c r="M130" s="20">
        <f t="shared" si="19"/>
        <v>0</v>
      </c>
      <c r="N130" s="20">
        <f t="shared" si="19"/>
        <v>0</v>
      </c>
    </row>
    <row r="131" spans="1:14" ht="15.75" thickBot="1">
      <c r="A131" s="39"/>
      <c r="B131" s="7"/>
      <c r="C131" s="10"/>
      <c r="D131" s="463"/>
      <c r="E131" s="464"/>
      <c r="F131" s="464"/>
      <c r="G131" s="464"/>
      <c r="H131" s="464"/>
      <c r="I131" s="464"/>
      <c r="J131" s="464"/>
      <c r="K131" s="464"/>
      <c r="L131" s="464"/>
      <c r="M131" s="464"/>
      <c r="N131" s="464"/>
    </row>
    <row r="132" spans="1:14">
      <c r="A132" s="39"/>
      <c r="B132" s="4" t="s">
        <v>12</v>
      </c>
      <c r="C132" s="466" t="str">
        <f>Summary!B32</f>
        <v>A18</v>
      </c>
      <c r="D132" s="156" t="str">
        <f>Summary!C32</f>
        <v>Avoided Consultancy Costs - NPD Contract</v>
      </c>
      <c r="E132" s="5"/>
      <c r="F132" s="5"/>
      <c r="G132" s="5"/>
      <c r="H132" s="5"/>
      <c r="I132" s="5"/>
      <c r="J132" s="5"/>
      <c r="K132" s="5"/>
      <c r="L132" s="5"/>
      <c r="M132" s="5"/>
      <c r="N132" s="5"/>
    </row>
    <row r="133" spans="1:14">
      <c r="A133" s="39"/>
      <c r="B133" s="7" t="s">
        <v>189</v>
      </c>
      <c r="C133" s="134" t="str">
        <f>'A18 NPD Contract-Avoid Consulta'!D47</f>
        <v>A - High</v>
      </c>
      <c r="D133" s="176">
        <f>VLOOKUP(C133,'Confidence Factors'!$B$6:$D$9,3)-M3</f>
        <v>0.8</v>
      </c>
      <c r="E133" s="8"/>
      <c r="F133" s="8"/>
      <c r="G133" s="8"/>
      <c r="H133" s="8"/>
      <c r="I133" s="8"/>
      <c r="J133" s="8"/>
      <c r="K133" s="8"/>
      <c r="L133" s="8"/>
      <c r="M133" s="8"/>
      <c r="N133" s="8"/>
    </row>
    <row r="134" spans="1:14">
      <c r="A134" s="39"/>
      <c r="B134" s="7" t="s">
        <v>30</v>
      </c>
      <c r="C134" s="128">
        <f>SUM(D134:N134)</f>
        <v>59200</v>
      </c>
      <c r="D134" s="177">
        <v>0</v>
      </c>
      <c r="E134" s="454">
        <f>'A18 NPD Contract-Avoid Consulta'!D70*'A18 NPD Contract-Avoid Consulta'!D75*'Calcs - Scen 3'!D133</f>
        <v>59200</v>
      </c>
      <c r="F134" s="454">
        <f>'A13 Waste Avoid Advisor Non CV '!H109*'A13 Waste Avoid Advisor Non CV '!D110*'Calcs - Scen 3'!D133</f>
        <v>0</v>
      </c>
      <c r="G134" s="3">
        <v>0</v>
      </c>
      <c r="H134" s="3">
        <f>'A13 Waste Avoid Advisor Non CV '!J109*'A13 Waste Avoid Advisor Non CV '!D110*'Calcs - Scen 3'!D133</f>
        <v>0</v>
      </c>
      <c r="I134" s="3">
        <f>'A16 Waste Food Treatment Suppor'!H89*'A16 Waste Food Treatment Suppor'!D89*'Calcs - Scen 3'!D133</f>
        <v>0</v>
      </c>
      <c r="J134" s="3">
        <f>'A16 Waste Food Treatment Suppor'!I89*'A16 Waste Food Treatment Suppor'!D89*'Calcs - Scen 3'!D133</f>
        <v>0</v>
      </c>
      <c r="K134" s="3">
        <f>'A16 Waste Food Treatment Suppor'!J89*'A16 Waste Food Treatment Suppor'!D89*'Calcs - Scen 3'!D133</f>
        <v>0</v>
      </c>
      <c r="L134" s="3">
        <f>'A17 Wst Avoid Future Variations'!I80*'A17 Wst Avoid Future Variations'!D82*'Calcs - Scen 3'!D133</f>
        <v>0</v>
      </c>
      <c r="M134" s="3">
        <f>'A17 Wst Avoid Future Variations'!J80*'A17 Wst Avoid Future Variations'!D82*'Calcs - Scen 3'!D133</f>
        <v>0</v>
      </c>
      <c r="N134" s="3">
        <f>'A17 Wst Avoid Future Variations'!K80*'Calcs - Scen 3'!D133</f>
        <v>0</v>
      </c>
    </row>
    <row r="135" spans="1:14">
      <c r="A135" s="39"/>
      <c r="B135" s="7" t="s">
        <v>31</v>
      </c>
      <c r="C135" s="129">
        <f>NPV($C$7,F134:N134)+D134+E134</f>
        <v>59200</v>
      </c>
      <c r="D135" s="7"/>
      <c r="E135" s="8"/>
      <c r="F135" s="8"/>
      <c r="G135" s="8"/>
      <c r="H135" s="8"/>
      <c r="I135" s="8"/>
      <c r="J135" s="8"/>
      <c r="K135" s="8"/>
      <c r="L135" s="8"/>
      <c r="M135" s="8"/>
      <c r="N135" s="8"/>
    </row>
    <row r="136" spans="1:14">
      <c r="A136" s="39"/>
      <c r="B136" s="7" t="s">
        <v>4</v>
      </c>
      <c r="C136" s="130" t="str">
        <f>IF(SUM(D136:N136)&gt;1,"CHECK"," ")</f>
        <v xml:space="preserve"> </v>
      </c>
      <c r="D136" s="178">
        <v>0</v>
      </c>
      <c r="E136" s="15">
        <v>1</v>
      </c>
      <c r="F136" s="15"/>
      <c r="G136" s="15"/>
      <c r="H136" s="15"/>
      <c r="I136" s="15"/>
      <c r="J136" s="15"/>
      <c r="K136" s="15"/>
      <c r="L136" s="15"/>
      <c r="M136" s="15"/>
      <c r="N136" s="15"/>
    </row>
    <row r="137" spans="1:14" ht="15.75" thickBot="1">
      <c r="A137" s="39"/>
      <c r="B137" s="7"/>
      <c r="C137" s="10"/>
      <c r="D137" s="179">
        <f>IF(D136&gt;0,(D136*$C135),0)</f>
        <v>0</v>
      </c>
      <c r="E137" s="20">
        <f t="shared" ref="E137:N137" si="20">IF(E136&gt;0,(E136*$C135),0)</f>
        <v>59200</v>
      </c>
      <c r="F137" s="20">
        <f t="shared" si="20"/>
        <v>0</v>
      </c>
      <c r="G137" s="20">
        <f t="shared" si="20"/>
        <v>0</v>
      </c>
      <c r="H137" s="20">
        <f t="shared" si="20"/>
        <v>0</v>
      </c>
      <c r="I137" s="20">
        <f t="shared" si="20"/>
        <v>0</v>
      </c>
      <c r="J137" s="20">
        <f t="shared" si="20"/>
        <v>0</v>
      </c>
      <c r="K137" s="20">
        <f t="shared" si="20"/>
        <v>0</v>
      </c>
      <c r="L137" s="20">
        <f t="shared" si="20"/>
        <v>0</v>
      </c>
      <c r="M137" s="20">
        <f t="shared" si="20"/>
        <v>0</v>
      </c>
      <c r="N137" s="20">
        <f t="shared" si="20"/>
        <v>0</v>
      </c>
    </row>
    <row r="138" spans="1:14" ht="15.75" thickBot="1">
      <c r="A138" s="39"/>
      <c r="B138" s="7"/>
      <c r="C138" s="10"/>
      <c r="D138" s="463"/>
      <c r="E138" s="464"/>
      <c r="F138" s="464"/>
      <c r="G138" s="464"/>
      <c r="H138" s="464"/>
      <c r="I138" s="464"/>
      <c r="J138" s="464"/>
      <c r="K138" s="464"/>
      <c r="L138" s="464"/>
      <c r="M138" s="464"/>
      <c r="N138" s="464"/>
    </row>
    <row r="139" spans="1:14">
      <c r="A139" s="39"/>
      <c r="B139" s="4" t="s">
        <v>12</v>
      </c>
      <c r="C139" s="466" t="str">
        <f>Summary!B33</f>
        <v>A19</v>
      </c>
      <c r="D139" s="156" t="str">
        <f>Summary!C33</f>
        <v>hub - Consultancy Costs Avoided</v>
      </c>
      <c r="E139" s="5"/>
      <c r="F139" s="5"/>
      <c r="G139" s="5"/>
      <c r="H139" s="5"/>
      <c r="I139" s="5"/>
      <c r="J139" s="5"/>
      <c r="K139" s="5"/>
      <c r="L139" s="5"/>
      <c r="M139" s="5"/>
      <c r="N139" s="5"/>
    </row>
    <row r="140" spans="1:14">
      <c r="A140" s="39"/>
      <c r="B140" s="7" t="s">
        <v>189</v>
      </c>
      <c r="C140" s="134" t="str">
        <f>'A19 hub consultancy avoided'!D47</f>
        <v>B - Very Good</v>
      </c>
      <c r="D140" s="176">
        <f>VLOOKUP(C140,'Confidence Factors'!$B$6:$D$9,3)-M3</f>
        <v>0.7</v>
      </c>
      <c r="E140" s="8"/>
      <c r="F140" s="8"/>
      <c r="G140" s="8"/>
      <c r="H140" s="8"/>
      <c r="I140" s="8"/>
      <c r="J140" s="8"/>
      <c r="K140" s="8"/>
      <c r="L140" s="8"/>
      <c r="M140" s="8"/>
      <c r="N140" s="8"/>
    </row>
    <row r="141" spans="1:14">
      <c r="A141" s="39"/>
      <c r="B141" s="7" t="s">
        <v>30</v>
      </c>
      <c r="C141" s="128">
        <f>SUM(D141:N141)</f>
        <v>97482</v>
      </c>
      <c r="D141" s="177">
        <v>0</v>
      </c>
      <c r="E141" s="454">
        <f>'A18 NPD Contract-Avoid Consulta'!D77*'A18 NPD Contract-Avoid Consulta'!D82*'Calcs - Scen 3'!D140</f>
        <v>0</v>
      </c>
      <c r="F141" s="454">
        <f>422000*'A19 hub consultancy avoided'!D75*'Calcs - Scen 3'!D140</f>
        <v>97482</v>
      </c>
      <c r="G141" s="3">
        <v>0</v>
      </c>
      <c r="H141" s="3">
        <f>'A13 Waste Avoid Advisor Non CV '!J116*'A13 Waste Avoid Advisor Non CV '!D117*'Calcs - Scen 3'!D140</f>
        <v>0</v>
      </c>
      <c r="I141" s="3">
        <f>'A16 Waste Food Treatment Suppor'!H96*'A16 Waste Food Treatment Suppor'!D96*'Calcs - Scen 3'!D140</f>
        <v>0</v>
      </c>
      <c r="J141" s="3">
        <f>'A16 Waste Food Treatment Suppor'!I96*'A16 Waste Food Treatment Suppor'!D96*'Calcs - Scen 3'!D140</f>
        <v>0</v>
      </c>
      <c r="K141" s="3">
        <f>'A16 Waste Food Treatment Suppor'!J96*'A16 Waste Food Treatment Suppor'!D96*'Calcs - Scen 3'!D140</f>
        <v>0</v>
      </c>
      <c r="L141" s="3">
        <f>'A17 Wst Avoid Future Variations'!I87*'A17 Wst Avoid Future Variations'!D89*'Calcs - Scen 3'!D140</f>
        <v>0</v>
      </c>
      <c r="M141" s="3">
        <f>'A17 Wst Avoid Future Variations'!J87*'A17 Wst Avoid Future Variations'!D89*'Calcs - Scen 3'!D140</f>
        <v>0</v>
      </c>
      <c r="N141" s="3">
        <f>'A17 Wst Avoid Future Variations'!K87*'Calcs - Scen 3'!D140</f>
        <v>0</v>
      </c>
    </row>
    <row r="142" spans="1:14">
      <c r="A142" s="39"/>
      <c r="B142" s="7" t="s">
        <v>31</v>
      </c>
      <c r="C142" s="129">
        <f>NPV($C$7,F141:N141)+D141+E141</f>
        <v>94185.507246376816</v>
      </c>
      <c r="D142" s="7"/>
      <c r="E142" s="8"/>
      <c r="F142" s="8"/>
      <c r="G142" s="8"/>
      <c r="H142" s="8"/>
      <c r="I142" s="8"/>
      <c r="J142" s="8"/>
      <c r="K142" s="8"/>
      <c r="L142" s="8"/>
      <c r="M142" s="8"/>
      <c r="N142" s="8"/>
    </row>
    <row r="143" spans="1:14">
      <c r="A143" s="39"/>
      <c r="B143" s="7" t="s">
        <v>4</v>
      </c>
      <c r="C143" s="130" t="str">
        <f>IF(SUM(D143:N143)&gt;1,"CHECK"," ")</f>
        <v xml:space="preserve"> </v>
      </c>
      <c r="D143" s="178">
        <v>0</v>
      </c>
      <c r="E143" s="15">
        <v>1</v>
      </c>
      <c r="F143" s="15"/>
      <c r="G143" s="15"/>
      <c r="H143" s="15"/>
      <c r="I143" s="15"/>
      <c r="J143" s="15"/>
      <c r="K143" s="15"/>
      <c r="L143" s="15"/>
      <c r="M143" s="15"/>
      <c r="N143" s="15"/>
    </row>
    <row r="144" spans="1:14" ht="15.75" thickBot="1">
      <c r="A144" s="39"/>
      <c r="B144" s="7"/>
      <c r="C144" s="10"/>
      <c r="D144" s="179">
        <f>IF(D143&gt;0,(D143*$C142),0)</f>
        <v>0</v>
      </c>
      <c r="E144" s="20">
        <f t="shared" ref="E144:N144" si="21">IF(E143&gt;0,(E143*$C142),0)</f>
        <v>94185.507246376816</v>
      </c>
      <c r="F144" s="20">
        <f t="shared" si="21"/>
        <v>0</v>
      </c>
      <c r="G144" s="20">
        <f t="shared" si="21"/>
        <v>0</v>
      </c>
      <c r="H144" s="20">
        <f t="shared" si="21"/>
        <v>0</v>
      </c>
      <c r="I144" s="20">
        <f t="shared" si="21"/>
        <v>0</v>
      </c>
      <c r="J144" s="20">
        <f t="shared" si="21"/>
        <v>0</v>
      </c>
      <c r="K144" s="20">
        <f t="shared" si="21"/>
        <v>0</v>
      </c>
      <c r="L144" s="20">
        <f t="shared" si="21"/>
        <v>0</v>
      </c>
      <c r="M144" s="20">
        <f t="shared" si="21"/>
        <v>0</v>
      </c>
      <c r="N144" s="20">
        <f t="shared" si="21"/>
        <v>0</v>
      </c>
    </row>
    <row r="145" spans="1:14" ht="15.75" thickBot="1">
      <c r="A145" s="39"/>
      <c r="B145" s="7"/>
      <c r="C145" s="10"/>
      <c r="D145" s="463"/>
      <c r="E145" s="464"/>
      <c r="F145" s="464"/>
      <c r="G145" s="464"/>
      <c r="H145" s="464"/>
      <c r="I145" s="464"/>
      <c r="J145" s="464"/>
      <c r="K145" s="464"/>
      <c r="L145" s="464"/>
      <c r="M145" s="464"/>
      <c r="N145" s="464"/>
    </row>
    <row r="146" spans="1:14">
      <c r="A146" s="39"/>
      <c r="B146" s="4" t="s">
        <v>12</v>
      </c>
      <c r="C146" s="466" t="str">
        <f>Summary!B34</f>
        <v>A20</v>
      </c>
      <c r="D146" s="156" t="str">
        <f>Summary!C34</f>
        <v>hub performance management - avoided costs</v>
      </c>
      <c r="E146" s="5"/>
      <c r="F146" s="5"/>
      <c r="G146" s="5"/>
      <c r="H146" s="5"/>
      <c r="I146" s="5"/>
      <c r="J146" s="5"/>
      <c r="K146" s="5"/>
      <c r="L146" s="5"/>
      <c r="M146" s="5"/>
      <c r="N146" s="5"/>
    </row>
    <row r="147" spans="1:14">
      <c r="A147" s="39"/>
      <c r="B147" s="7" t="s">
        <v>189</v>
      </c>
      <c r="C147" s="134" t="str">
        <f>'A20 hub performance mngt'!D47</f>
        <v>B - Very Good</v>
      </c>
      <c r="D147" s="176">
        <f>VLOOKUP(C147,'Confidence Factors'!$B$6:$D$9,3)-M3</f>
        <v>0.7</v>
      </c>
      <c r="E147" s="8"/>
      <c r="F147" s="8"/>
      <c r="G147" s="8"/>
      <c r="H147" s="8"/>
      <c r="I147" s="8"/>
      <c r="J147" s="8"/>
      <c r="K147" s="8"/>
      <c r="L147" s="8"/>
      <c r="M147" s="8"/>
      <c r="N147" s="8"/>
    </row>
    <row r="148" spans="1:14">
      <c r="A148" s="39"/>
      <c r="B148" s="7" t="s">
        <v>30</v>
      </c>
      <c r="C148" s="128">
        <f>SUM(D148:N148)</f>
        <v>39830</v>
      </c>
      <c r="D148" s="177">
        <v>0</v>
      </c>
      <c r="E148" s="454">
        <f>'A18 NPD Contract-Avoid Consulta'!D84*'A18 NPD Contract-Avoid Consulta'!D89*'Calcs - Scen 3'!D147</f>
        <v>0</v>
      </c>
      <c r="F148" s="454">
        <f>(('A20 hub performance mngt'!$D70)/3)*'A20 hub performance mngt'!$D75*'Calcs - Scen 3'!$D147</f>
        <v>13276.666666666666</v>
      </c>
      <c r="G148" s="454">
        <f>(('A20 hub performance mngt'!$D70)/3)*'A20 hub performance mngt'!$D75*'Calcs - Scen 3'!$D147</f>
        <v>13276.666666666666</v>
      </c>
      <c r="H148" s="454">
        <f>(('A20 hub performance mngt'!$D70)/3)*'A20 hub performance mngt'!$D75*'Calcs - Scen 3'!$D147</f>
        <v>13276.666666666666</v>
      </c>
      <c r="I148" s="3">
        <f>'A16 Waste Food Treatment Suppor'!H103*'A16 Waste Food Treatment Suppor'!D103*'Calcs - Scen 3'!D147</f>
        <v>0</v>
      </c>
      <c r="J148" s="3">
        <f>'A16 Waste Food Treatment Suppor'!I103*'A16 Waste Food Treatment Suppor'!D103*'Calcs - Scen 3'!D147</f>
        <v>0</v>
      </c>
      <c r="K148" s="3">
        <f>'A16 Waste Food Treatment Suppor'!J103*'A16 Waste Food Treatment Suppor'!D103*'Calcs - Scen 3'!D147</f>
        <v>0</v>
      </c>
      <c r="L148" s="3">
        <f>'A17 Wst Avoid Future Variations'!I94*'A17 Wst Avoid Future Variations'!D96*'Calcs - Scen 3'!D147</f>
        <v>0</v>
      </c>
      <c r="M148" s="3">
        <f>'A17 Wst Avoid Future Variations'!J94*'A17 Wst Avoid Future Variations'!D96*'Calcs - Scen 3'!D147</f>
        <v>0</v>
      </c>
      <c r="N148" s="3">
        <f>'A17 Wst Avoid Future Variations'!K94*'Calcs - Scen 3'!D147</f>
        <v>0</v>
      </c>
    </row>
    <row r="149" spans="1:14">
      <c r="A149" s="39"/>
      <c r="B149" s="7" t="s">
        <v>31</v>
      </c>
      <c r="C149" s="129">
        <f>NPV($C$7,F148:N148)+D148+E148</f>
        <v>37196.400316596926</v>
      </c>
      <c r="D149" s="7"/>
      <c r="E149" s="8"/>
      <c r="F149" s="8"/>
      <c r="G149" s="8"/>
      <c r="H149" s="8"/>
      <c r="I149" s="8"/>
      <c r="J149" s="8"/>
      <c r="K149" s="8"/>
      <c r="L149" s="8"/>
      <c r="M149" s="8"/>
      <c r="N149" s="8"/>
    </row>
    <row r="150" spans="1:14">
      <c r="A150" s="39"/>
      <c r="B150" s="7" t="s">
        <v>4</v>
      </c>
      <c r="C150" s="130" t="str">
        <f>IF(SUM(D150:N150)&gt;1,"CHECK"," ")</f>
        <v xml:space="preserve"> </v>
      </c>
      <c r="D150" s="178">
        <v>0</v>
      </c>
      <c r="E150" s="15">
        <v>1</v>
      </c>
      <c r="F150" s="15"/>
      <c r="G150" s="15"/>
      <c r="H150" s="15"/>
      <c r="I150" s="15"/>
      <c r="J150" s="15"/>
      <c r="K150" s="15"/>
      <c r="L150" s="15"/>
      <c r="M150" s="15"/>
      <c r="N150" s="15"/>
    </row>
    <row r="151" spans="1:14" ht="15.75" thickBot="1">
      <c r="A151" s="39"/>
      <c r="B151" s="7"/>
      <c r="C151" s="10"/>
      <c r="D151" s="179">
        <f>IF(D150&gt;0,(D150*$C149),0)</f>
        <v>0</v>
      </c>
      <c r="E151" s="20">
        <f t="shared" ref="E151:N151" si="22">IF(E150&gt;0,(E150*$C149),0)</f>
        <v>37196.400316596926</v>
      </c>
      <c r="F151" s="20">
        <f t="shared" si="22"/>
        <v>0</v>
      </c>
      <c r="G151" s="20">
        <f t="shared" si="22"/>
        <v>0</v>
      </c>
      <c r="H151" s="20">
        <f t="shared" si="22"/>
        <v>0</v>
      </c>
      <c r="I151" s="20">
        <f t="shared" si="22"/>
        <v>0</v>
      </c>
      <c r="J151" s="20">
        <f t="shared" si="22"/>
        <v>0</v>
      </c>
      <c r="K151" s="20">
        <f t="shared" si="22"/>
        <v>0</v>
      </c>
      <c r="L151" s="20">
        <f t="shared" si="22"/>
        <v>0</v>
      </c>
      <c r="M151" s="20">
        <f t="shared" si="22"/>
        <v>0</v>
      </c>
      <c r="N151" s="20">
        <f t="shared" si="22"/>
        <v>0</v>
      </c>
    </row>
    <row r="152" spans="1:14" ht="15.75" thickBot="1">
      <c r="A152" s="39"/>
      <c r="B152" s="7"/>
      <c r="C152" s="10"/>
      <c r="D152" s="463"/>
      <c r="E152" s="464"/>
      <c r="F152" s="464"/>
      <c r="G152" s="464"/>
      <c r="H152" s="464"/>
      <c r="I152" s="464"/>
      <c r="J152" s="464"/>
      <c r="K152" s="464"/>
      <c r="L152" s="464"/>
      <c r="M152" s="464"/>
      <c r="N152" s="464"/>
    </row>
    <row r="153" spans="1:14">
      <c r="A153" s="39"/>
      <c r="B153" s="4" t="s">
        <v>12</v>
      </c>
      <c r="C153" s="466" t="str">
        <f>Summary!B35</f>
        <v>A21</v>
      </c>
      <c r="D153" s="156" t="str">
        <f>Summary!C35</f>
        <v>Asset Management - Avoided Cost of Pilot Development Work (Consultancy Costs Avoided)</v>
      </c>
      <c r="E153" s="5"/>
      <c r="F153" s="5"/>
      <c r="G153" s="5"/>
      <c r="H153" s="5"/>
      <c r="I153" s="5"/>
      <c r="J153" s="5"/>
      <c r="K153" s="5"/>
      <c r="L153" s="5"/>
      <c r="M153" s="5"/>
      <c r="N153" s="5"/>
    </row>
    <row r="154" spans="1:14">
      <c r="A154" s="39"/>
      <c r="B154" s="7" t="s">
        <v>189</v>
      </c>
      <c r="C154" s="134" t="str">
        <f>'A21 Asset Mgt Avoided Dev Work'!D47</f>
        <v>A - High</v>
      </c>
      <c r="D154" s="176">
        <f>VLOOKUP(C154,'Confidence Factors'!$B$6:$D$9,3)-M3</f>
        <v>0.8</v>
      </c>
      <c r="E154" s="8"/>
      <c r="F154" s="8"/>
      <c r="G154" s="8"/>
      <c r="H154" s="8"/>
      <c r="I154" s="8"/>
      <c r="J154" s="8"/>
      <c r="K154" s="8"/>
      <c r="L154" s="8"/>
      <c r="M154" s="8"/>
      <c r="N154" s="8"/>
    </row>
    <row r="155" spans="1:14">
      <c r="A155" s="39"/>
      <c r="B155" s="7" t="s">
        <v>30</v>
      </c>
      <c r="C155" s="128">
        <f>SUM(D155:N155)</f>
        <v>107200</v>
      </c>
      <c r="D155" s="177">
        <v>0</v>
      </c>
      <c r="E155" s="454">
        <f>'A21 Asset Mgt Avoided Dev Work'!D70*'A21 Asset Mgt Avoided Dev Work'!D75*'Calcs - Scen 3'!D154</f>
        <v>107200</v>
      </c>
      <c r="F155" s="454">
        <f>(('A20 hub performance mngt'!$D77)/3)*'A20 hub performance mngt'!$D82*'Calcs - Scen 3'!$D154</f>
        <v>0</v>
      </c>
      <c r="G155" s="454">
        <f>(('A20 hub performance mngt'!$D77)/3)*'A20 hub performance mngt'!$D82*'Calcs - Scen 3'!$D154</f>
        <v>0</v>
      </c>
      <c r="H155" s="454">
        <f>(('A20 hub performance mngt'!$D77)/3)*'A20 hub performance mngt'!$D82*'Calcs - Scen 3'!$D154</f>
        <v>0</v>
      </c>
      <c r="I155" s="3">
        <f>'A16 Waste Food Treatment Suppor'!H110*'A16 Waste Food Treatment Suppor'!D110*'Calcs - Scen 3'!D154</f>
        <v>0</v>
      </c>
      <c r="J155" s="3">
        <f>'A16 Waste Food Treatment Suppor'!I110*'A16 Waste Food Treatment Suppor'!D110*'Calcs - Scen 3'!D154</f>
        <v>0</v>
      </c>
      <c r="K155" s="3">
        <f>'A16 Waste Food Treatment Suppor'!J110*'A16 Waste Food Treatment Suppor'!D110*'Calcs - Scen 3'!D154</f>
        <v>0</v>
      </c>
      <c r="L155" s="3">
        <f>'A17 Wst Avoid Future Variations'!I101*'A17 Wst Avoid Future Variations'!D103*'Calcs - Scen 3'!D154</f>
        <v>0</v>
      </c>
      <c r="M155" s="3">
        <f>'A17 Wst Avoid Future Variations'!J101*'A17 Wst Avoid Future Variations'!D103*'Calcs - Scen 3'!D154</f>
        <v>0</v>
      </c>
      <c r="N155" s="3">
        <f>'A17 Wst Avoid Future Variations'!K101*'Calcs - Scen 3'!D154</f>
        <v>0</v>
      </c>
    </row>
    <row r="156" spans="1:14">
      <c r="A156" s="39"/>
      <c r="B156" s="7" t="s">
        <v>31</v>
      </c>
      <c r="C156" s="129">
        <f>NPV($C$7,F155:N155)+D155+E155</f>
        <v>107200</v>
      </c>
      <c r="D156" s="7"/>
      <c r="E156" s="8"/>
      <c r="F156" s="8"/>
      <c r="G156" s="8"/>
      <c r="H156" s="8"/>
      <c r="I156" s="8"/>
      <c r="J156" s="8"/>
      <c r="K156" s="8"/>
      <c r="L156" s="8"/>
      <c r="M156" s="8"/>
      <c r="N156" s="8"/>
    </row>
    <row r="157" spans="1:14">
      <c r="A157" s="39"/>
      <c r="B157" s="7" t="s">
        <v>4</v>
      </c>
      <c r="C157" s="130" t="str">
        <f>IF(SUM(D157:N157)&gt;1,"CHECK"," ")</f>
        <v xml:space="preserve"> </v>
      </c>
      <c r="D157" s="178">
        <v>0</v>
      </c>
      <c r="E157" s="15">
        <v>1</v>
      </c>
      <c r="F157" s="15"/>
      <c r="G157" s="15"/>
      <c r="H157" s="15"/>
      <c r="I157" s="15"/>
      <c r="J157" s="15"/>
      <c r="K157" s="15"/>
      <c r="L157" s="15"/>
      <c r="M157" s="15"/>
      <c r="N157" s="15"/>
    </row>
    <row r="158" spans="1:14" ht="15.75" thickBot="1">
      <c r="A158" s="39"/>
      <c r="B158" s="7"/>
      <c r="C158" s="10"/>
      <c r="D158" s="179">
        <f>IF(D157&gt;0,(D157*$C156),0)</f>
        <v>0</v>
      </c>
      <c r="E158" s="20">
        <f t="shared" ref="E158:N158" si="23">IF(E157&gt;0,(E157*$C156),0)</f>
        <v>107200</v>
      </c>
      <c r="F158" s="20">
        <f t="shared" si="23"/>
        <v>0</v>
      </c>
      <c r="G158" s="20">
        <f t="shared" si="23"/>
        <v>0</v>
      </c>
      <c r="H158" s="20">
        <f t="shared" si="23"/>
        <v>0</v>
      </c>
      <c r="I158" s="20">
        <f t="shared" si="23"/>
        <v>0</v>
      </c>
      <c r="J158" s="20">
        <f t="shared" si="23"/>
        <v>0</v>
      </c>
      <c r="K158" s="20">
        <f t="shared" si="23"/>
        <v>0</v>
      </c>
      <c r="L158" s="20">
        <f t="shared" si="23"/>
        <v>0</v>
      </c>
      <c r="M158" s="20">
        <f t="shared" si="23"/>
        <v>0</v>
      </c>
      <c r="N158" s="20">
        <f t="shared" si="23"/>
        <v>0</v>
      </c>
    </row>
    <row r="159" spans="1:14" ht="15.75" thickBot="1">
      <c r="A159" s="39"/>
      <c r="B159" s="7"/>
      <c r="C159" s="10"/>
      <c r="D159" s="463"/>
      <c r="E159" s="464"/>
      <c r="F159" s="464"/>
      <c r="G159" s="464"/>
      <c r="H159" s="464"/>
      <c r="I159" s="464"/>
      <c r="J159" s="464"/>
      <c r="K159" s="464"/>
      <c r="L159" s="464"/>
      <c r="M159" s="464"/>
      <c r="N159" s="464"/>
    </row>
    <row r="160" spans="1:14">
      <c r="A160" s="39"/>
      <c r="B160" s="4" t="s">
        <v>12</v>
      </c>
      <c r="C160" s="466" t="str">
        <f>Summary!B36</f>
        <v>A22</v>
      </c>
      <c r="D160" s="156" t="str">
        <f>Summary!C36</f>
        <v>Optimism Bias &amp; Contingency Management Review - Development Work</v>
      </c>
      <c r="E160" s="5"/>
      <c r="F160" s="5"/>
      <c r="G160" s="5"/>
      <c r="H160" s="5"/>
      <c r="I160" s="5"/>
      <c r="J160" s="5"/>
      <c r="K160" s="5"/>
      <c r="L160" s="5"/>
      <c r="M160" s="5"/>
      <c r="N160" s="5"/>
    </row>
    <row r="161" spans="1:14">
      <c r="A161" s="39"/>
      <c r="B161" s="7" t="s">
        <v>189</v>
      </c>
      <c r="C161" s="134" t="str">
        <f>'A22 Optimism Bias &amp; Contingency'!D47</f>
        <v>A - High</v>
      </c>
      <c r="D161" s="176">
        <f>VLOOKUP(C161,'Confidence Factors'!$B$6:$D$9,3)-M3</f>
        <v>0.8</v>
      </c>
      <c r="E161" s="8"/>
      <c r="F161" s="8"/>
      <c r="G161" s="8"/>
      <c r="H161" s="8"/>
      <c r="I161" s="8"/>
      <c r="J161" s="8"/>
      <c r="K161" s="8"/>
      <c r="L161" s="8"/>
      <c r="M161" s="8"/>
      <c r="N161" s="8"/>
    </row>
    <row r="162" spans="1:14">
      <c r="A162" s="39"/>
      <c r="B162" s="7" t="s">
        <v>30</v>
      </c>
      <c r="C162" s="128">
        <f>SUM(D162:N162)</f>
        <v>80000</v>
      </c>
      <c r="D162" s="177">
        <v>0</v>
      </c>
      <c r="E162" s="454">
        <f>(('A22 Optimism Bias &amp; Contingency'!D70)/2)*'A22 Optimism Bias &amp; Contingency'!D75*'Calcs - Scen 3'!D161</f>
        <v>40000</v>
      </c>
      <c r="F162" s="454">
        <f>(('A22 Optimism Bias &amp; Contingency'!D70)/2)*'A22 Optimism Bias &amp; Contingency'!D75*'Calcs - Scen 3'!D161</f>
        <v>40000</v>
      </c>
      <c r="G162" s="454">
        <f>(('A20 hub performance mngt'!$D84)/3)*'A20 hub performance mngt'!$D89*'Calcs - Scen 3'!$D161</f>
        <v>0</v>
      </c>
      <c r="H162" s="454">
        <f>(('A20 hub performance mngt'!$D84)/3)*'A20 hub performance mngt'!$D89*'Calcs - Scen 3'!$D161</f>
        <v>0</v>
      </c>
      <c r="I162" s="3">
        <f>'A16 Waste Food Treatment Suppor'!H117*'A16 Waste Food Treatment Suppor'!D117*'Calcs - Scen 3'!D161</f>
        <v>0</v>
      </c>
      <c r="J162" s="3">
        <f>'A16 Waste Food Treatment Suppor'!I117*'A16 Waste Food Treatment Suppor'!D117*'Calcs - Scen 3'!D161</f>
        <v>0</v>
      </c>
      <c r="K162" s="3">
        <f>'A16 Waste Food Treatment Suppor'!J117*'A16 Waste Food Treatment Suppor'!D117*'Calcs - Scen 3'!D161</f>
        <v>0</v>
      </c>
      <c r="L162" s="3">
        <f>'A17 Wst Avoid Future Variations'!I108*'A17 Wst Avoid Future Variations'!D110*'Calcs - Scen 3'!D161</f>
        <v>0</v>
      </c>
      <c r="M162" s="3">
        <f>'A17 Wst Avoid Future Variations'!J108*'A17 Wst Avoid Future Variations'!D110*'Calcs - Scen 3'!D161</f>
        <v>0</v>
      </c>
      <c r="N162" s="3">
        <f>'A17 Wst Avoid Future Variations'!K108*'Calcs - Scen 3'!D161</f>
        <v>0</v>
      </c>
    </row>
    <row r="163" spans="1:14">
      <c r="A163" s="39"/>
      <c r="B163" s="7" t="s">
        <v>31</v>
      </c>
      <c r="C163" s="129">
        <f>NPV($C$7,F162:N162)+D162+E162</f>
        <v>78647.342995169078</v>
      </c>
      <c r="D163" s="7"/>
      <c r="E163" s="8"/>
      <c r="F163" s="8"/>
      <c r="G163" s="8"/>
      <c r="H163" s="8"/>
      <c r="I163" s="8"/>
      <c r="J163" s="8"/>
      <c r="K163" s="8"/>
      <c r="L163" s="8"/>
      <c r="M163" s="8"/>
      <c r="N163" s="8"/>
    </row>
    <row r="164" spans="1:14">
      <c r="A164" s="39"/>
      <c r="B164" s="7" t="s">
        <v>4</v>
      </c>
      <c r="C164" s="130" t="str">
        <f>IF(SUM(D164:N164)&gt;1,"CHECK"," ")</f>
        <v xml:space="preserve"> </v>
      </c>
      <c r="D164" s="178">
        <v>0</v>
      </c>
      <c r="E164" s="15">
        <v>0.5</v>
      </c>
      <c r="F164" s="15">
        <v>0.5</v>
      </c>
      <c r="G164" s="15"/>
      <c r="H164" s="15"/>
      <c r="I164" s="15"/>
      <c r="J164" s="15"/>
      <c r="K164" s="15"/>
      <c r="L164" s="15"/>
      <c r="M164" s="15"/>
      <c r="N164" s="15"/>
    </row>
    <row r="165" spans="1:14" ht="15.75" thickBot="1">
      <c r="A165" s="39"/>
      <c r="B165" s="7"/>
      <c r="C165" s="10"/>
      <c r="D165" s="179">
        <f>IF(D164&gt;0,(D164*$C163),0)</f>
        <v>0</v>
      </c>
      <c r="E165" s="20">
        <f t="shared" ref="E165:N165" si="24">IF(E164&gt;0,(E164*$C163),0)</f>
        <v>39323.671497584539</v>
      </c>
      <c r="F165" s="20">
        <f t="shared" si="24"/>
        <v>39323.671497584539</v>
      </c>
      <c r="G165" s="20">
        <f t="shared" si="24"/>
        <v>0</v>
      </c>
      <c r="H165" s="20">
        <f t="shared" si="24"/>
        <v>0</v>
      </c>
      <c r="I165" s="20">
        <f t="shared" si="24"/>
        <v>0</v>
      </c>
      <c r="J165" s="20">
        <f t="shared" si="24"/>
        <v>0</v>
      </c>
      <c r="K165" s="20">
        <f t="shared" si="24"/>
        <v>0</v>
      </c>
      <c r="L165" s="20">
        <f t="shared" si="24"/>
        <v>0</v>
      </c>
      <c r="M165" s="20">
        <f t="shared" si="24"/>
        <v>0</v>
      </c>
      <c r="N165" s="20">
        <f t="shared" si="24"/>
        <v>0</v>
      </c>
    </row>
    <row r="166" spans="1:14" ht="15.75" thickBot="1">
      <c r="A166" s="39"/>
      <c r="B166" s="7"/>
      <c r="C166" s="10"/>
      <c r="D166" s="463"/>
      <c r="E166" s="464"/>
      <c r="F166" s="464"/>
      <c r="G166" s="464"/>
      <c r="H166" s="464"/>
      <c r="I166" s="464"/>
      <c r="J166" s="464"/>
      <c r="K166" s="464"/>
      <c r="L166" s="464"/>
      <c r="M166" s="464"/>
      <c r="N166" s="464"/>
    </row>
    <row r="167" spans="1:14">
      <c r="A167" s="39"/>
      <c r="B167" s="4" t="s">
        <v>12</v>
      </c>
      <c r="C167" s="133" t="str">
        <f>Summary!B37</f>
        <v>B1</v>
      </c>
      <c r="D167" s="156" t="str">
        <f>Summary!C37</f>
        <v xml:space="preserve">TIF - Development of Model </v>
      </c>
      <c r="E167" s="21"/>
      <c r="F167" s="21"/>
      <c r="G167" s="21"/>
      <c r="H167" s="21"/>
      <c r="I167" s="21"/>
      <c r="J167" s="5"/>
      <c r="K167" s="5"/>
      <c r="L167" s="5"/>
      <c r="M167" s="5"/>
      <c r="N167" s="5"/>
    </row>
    <row r="168" spans="1:14">
      <c r="A168" s="39"/>
      <c r="B168" s="7" t="s">
        <v>189</v>
      </c>
      <c r="C168" s="134" t="str">
        <f>'B1 TIF Develop'!D47</f>
        <v>C - Good</v>
      </c>
      <c r="D168" s="176">
        <f>VLOOKUP(C168,'Confidence Factors'!$B$6:$D$9,3)-M3</f>
        <v>0.55000000000000004</v>
      </c>
      <c r="E168" s="95"/>
      <c r="F168" s="95"/>
      <c r="G168" s="95"/>
      <c r="H168" s="95"/>
      <c r="I168" s="95"/>
      <c r="J168" s="8"/>
      <c r="K168" s="8"/>
      <c r="L168" s="8"/>
      <c r="M168" s="8"/>
      <c r="N168" s="8"/>
    </row>
    <row r="169" spans="1:14">
      <c r="A169" s="39"/>
      <c r="B169" s="7" t="s">
        <v>30</v>
      </c>
      <c r="C169" s="128">
        <f>SUM(D169:N169)</f>
        <v>44993666.666666664</v>
      </c>
      <c r="D169" s="180">
        <v>0</v>
      </c>
      <c r="E169" s="19">
        <v>0</v>
      </c>
      <c r="F169" s="19">
        <f>14490000*D168*'B1 TIF Develop'!D75</f>
        <v>2656500</v>
      </c>
      <c r="G169" s="19">
        <f>19100000*D168*'B1 TIF Develop'!D75</f>
        <v>3501666.6666666665</v>
      </c>
      <c r="H169" s="19">
        <f>49000000*D168*'B1 TIF Develop'!D75</f>
        <v>8983333.333333334</v>
      </c>
      <c r="I169" s="19">
        <f>73000000*D168*'B1 TIF Develop'!D75</f>
        <v>13383333.333333332</v>
      </c>
      <c r="J169" s="19">
        <f>24240000*D168*'B1 TIF Develop'!D75</f>
        <v>4444000</v>
      </c>
      <c r="K169" s="454">
        <f>13310000*D168*'B1 TIF Develop'!D75</f>
        <v>2440166.666666667</v>
      </c>
      <c r="L169" s="454">
        <f>31940000*D168*'B1 TIF Develop'!D75</f>
        <v>5855666.666666666</v>
      </c>
      <c r="M169" s="454">
        <f>19090000*D168*'B1 TIF Develop'!D75</f>
        <v>3499833.333333333</v>
      </c>
      <c r="N169" s="454">
        <f>1250000*D168*'B1 TIF Develop'!D75</f>
        <v>229166.66666666666</v>
      </c>
    </row>
    <row r="170" spans="1:14">
      <c r="A170" s="39"/>
      <c r="B170" s="7" t="s">
        <v>31</v>
      </c>
      <c r="C170" s="129">
        <f>NPV($C$7,F169:N169)+D169+E169</f>
        <v>38756031.292872742</v>
      </c>
      <c r="D170" s="7"/>
      <c r="E170" s="8"/>
      <c r="F170" s="8"/>
      <c r="G170" s="8"/>
      <c r="H170" s="8"/>
      <c r="I170" s="8"/>
      <c r="J170" s="8"/>
      <c r="K170" s="8"/>
      <c r="L170" s="8"/>
      <c r="M170" s="8"/>
      <c r="N170" s="8"/>
    </row>
    <row r="171" spans="1:14">
      <c r="A171" s="39"/>
      <c r="B171" s="7" t="s">
        <v>4</v>
      </c>
      <c r="C171" s="130" t="str">
        <f>IF(SUM(D171:N171)&gt;1,"CHECK"," ")</f>
        <v xml:space="preserve"> </v>
      </c>
      <c r="D171" s="178">
        <v>0.5</v>
      </c>
      <c r="E171" s="15">
        <v>0.3</v>
      </c>
      <c r="F171" s="15">
        <v>0.2</v>
      </c>
      <c r="G171" s="15"/>
      <c r="H171" s="15"/>
      <c r="I171" s="15"/>
      <c r="J171" s="15"/>
      <c r="K171" s="15"/>
      <c r="L171" s="15"/>
      <c r="M171" s="15"/>
      <c r="N171" s="15"/>
    </row>
    <row r="172" spans="1:14" ht="15.75" thickBot="1">
      <c r="A172" s="39"/>
      <c r="B172" s="11" t="s">
        <v>32</v>
      </c>
      <c r="C172" s="51"/>
      <c r="D172" s="179">
        <f>IF(D171&gt;0,(D171*$C170),0)</f>
        <v>19378015.646436371</v>
      </c>
      <c r="E172" s="20">
        <f t="shared" ref="E172:N172" si="25">IF(E171&gt;0,(E171*$C170),0)</f>
        <v>11626809.387861822</v>
      </c>
      <c r="F172" s="20">
        <f t="shared" si="25"/>
        <v>7751206.2585745491</v>
      </c>
      <c r="G172" s="20">
        <f t="shared" si="25"/>
        <v>0</v>
      </c>
      <c r="H172" s="20">
        <f t="shared" si="25"/>
        <v>0</v>
      </c>
      <c r="I172" s="20">
        <f t="shared" si="25"/>
        <v>0</v>
      </c>
      <c r="J172" s="20">
        <f t="shared" si="25"/>
        <v>0</v>
      </c>
      <c r="K172" s="20">
        <f t="shared" si="25"/>
        <v>0</v>
      </c>
      <c r="L172" s="20">
        <f t="shared" si="25"/>
        <v>0</v>
      </c>
      <c r="M172" s="20">
        <f t="shared" si="25"/>
        <v>0</v>
      </c>
      <c r="N172" s="20">
        <f t="shared" si="25"/>
        <v>0</v>
      </c>
    </row>
    <row r="173" spans="1:14" ht="15.75" thickBot="1">
      <c r="A173" s="39"/>
      <c r="B173" s="7"/>
      <c r="C173" s="10"/>
      <c r="D173" s="221"/>
      <c r="E173" s="172"/>
      <c r="F173" s="172"/>
      <c r="G173" s="172"/>
      <c r="H173" s="172"/>
      <c r="I173" s="172"/>
      <c r="J173" s="172"/>
      <c r="K173" s="172"/>
      <c r="L173" s="172"/>
      <c r="M173" s="172"/>
      <c r="N173" s="172"/>
    </row>
    <row r="174" spans="1:14">
      <c r="A174" s="39"/>
      <c r="B174" s="4" t="s">
        <v>12</v>
      </c>
      <c r="C174" s="133" t="str">
        <f>Summary!B38</f>
        <v>B2</v>
      </c>
      <c r="D174" s="156" t="str">
        <f>Summary!C38</f>
        <v xml:space="preserve">NHT - Development of Model </v>
      </c>
      <c r="E174" s="5"/>
      <c r="F174" s="5"/>
      <c r="G174" s="5"/>
      <c r="H174" s="5"/>
      <c r="I174" s="5"/>
      <c r="J174" s="5"/>
      <c r="K174" s="5"/>
      <c r="L174" s="5"/>
      <c r="M174" s="5"/>
      <c r="N174" s="5"/>
    </row>
    <row r="175" spans="1:14">
      <c r="A175" s="39"/>
      <c r="B175" s="7" t="s">
        <v>189</v>
      </c>
      <c r="C175" s="134" t="str">
        <f>'B2 NHT Develop'!D47</f>
        <v>B - Very Good</v>
      </c>
      <c r="D175" s="176">
        <f>VLOOKUP(C175,'Confidence Factors'!$B$6:$D$9,3)-M3</f>
        <v>0.7</v>
      </c>
      <c r="E175" s="8"/>
      <c r="F175" s="8"/>
      <c r="G175" s="8"/>
      <c r="H175" s="8"/>
      <c r="I175" s="8"/>
      <c r="J175" s="8"/>
      <c r="K175" s="8"/>
      <c r="L175" s="8"/>
      <c r="M175" s="8"/>
      <c r="N175" s="8"/>
    </row>
    <row r="176" spans="1:14">
      <c r="A176" s="39"/>
      <c r="B176" s="7" t="s">
        <v>30</v>
      </c>
      <c r="C176" s="128">
        <f>SUM(D176:N176)</f>
        <v>23562000</v>
      </c>
      <c r="D176" s="180">
        <v>0</v>
      </c>
      <c r="E176" s="19">
        <v>0</v>
      </c>
      <c r="F176" s="19">
        <f>4000000*'B2 NHT Develop'!D75*'Calcs - Scen 3'!D175</f>
        <v>923999.99999999988</v>
      </c>
      <c r="G176" s="19">
        <f>98000000*'B2 NHT Develop'!D75*'Calcs - Scen 3'!D175</f>
        <v>22638000</v>
      </c>
      <c r="H176" s="19">
        <f>'B2 NHT Develop'!K$71*'B2 NHT Develop'!$D75*'Calcs - Scen 3'!$D175</f>
        <v>0</v>
      </c>
      <c r="I176" s="19">
        <f>'B2 NHT Develop'!L$71*'B2 NHT Develop'!$D75*'Calcs - Scen 3'!$D175</f>
        <v>0</v>
      </c>
      <c r="J176" s="19">
        <f>'B2 NHT Develop'!M$71*'B2 NHT Develop'!$D75*'Calcs - Scen 3'!$D175</f>
        <v>0</v>
      </c>
      <c r="K176" s="19">
        <f>'B2 NHT Develop'!N$71*'B2 NHT Develop'!$D75*'Calcs - Scen 3'!$D175</f>
        <v>0</v>
      </c>
      <c r="L176" s="19">
        <f>'B2 NHT Develop'!O$71*'B2 NHT Develop'!$D75*'Calcs - Scen 3'!$D175</f>
        <v>0</v>
      </c>
      <c r="M176" s="19">
        <f>'B2 NHT Develop'!P$71*'B2 NHT Develop'!$D75*'Calcs - Scen 3'!$D175</f>
        <v>0</v>
      </c>
      <c r="N176" s="19">
        <f>'B2 NHT Develop'!Q$71*'B2 NHT Develop'!$D75*'Calcs - Scen 3'!$D175</f>
        <v>0</v>
      </c>
    </row>
    <row r="177" spans="1:14">
      <c r="A177" s="39"/>
      <c r="B177" s="7" t="s">
        <v>31</v>
      </c>
      <c r="C177" s="129">
        <f>NPV($C$7,F176:N176)+D176+E176</f>
        <v>22025568.85808304</v>
      </c>
      <c r="D177" s="7"/>
      <c r="E177" s="8"/>
      <c r="F177" s="8"/>
      <c r="G177" s="8"/>
      <c r="H177" s="8"/>
      <c r="I177" s="8"/>
      <c r="J177" s="8"/>
      <c r="K177" s="8"/>
      <c r="L177" s="8"/>
      <c r="M177" s="8"/>
      <c r="N177" s="8"/>
    </row>
    <row r="178" spans="1:14">
      <c r="A178" s="39"/>
      <c r="B178" s="7" t="s">
        <v>4</v>
      </c>
      <c r="C178" s="130" t="str">
        <f>IF(SUM(D178:N178)&gt;1,"CHECK"," ")</f>
        <v xml:space="preserve"> </v>
      </c>
      <c r="D178" s="178">
        <v>0.2</v>
      </c>
      <c r="E178" s="15">
        <v>0.6</v>
      </c>
      <c r="F178" s="15">
        <v>0.2</v>
      </c>
      <c r="G178" s="15"/>
      <c r="H178" s="15"/>
      <c r="I178" s="15"/>
      <c r="J178" s="15"/>
      <c r="K178" s="15"/>
      <c r="L178" s="15"/>
      <c r="M178" s="15"/>
      <c r="N178" s="15"/>
    </row>
    <row r="179" spans="1:14" ht="15.75" thickBot="1">
      <c r="A179" s="39"/>
      <c r="B179" s="11" t="s">
        <v>32</v>
      </c>
      <c r="C179" s="51"/>
      <c r="D179" s="179">
        <f>IF(D178&gt;0,(D178*$C177),0)</f>
        <v>4405113.7716166079</v>
      </c>
      <c r="E179" s="20">
        <f t="shared" ref="E179:N179" si="26">IF(E178&gt;0,(E178*$C177),0)</f>
        <v>13215341.314849824</v>
      </c>
      <c r="F179" s="20">
        <f t="shared" si="26"/>
        <v>4405113.7716166079</v>
      </c>
      <c r="G179" s="20">
        <f t="shared" si="26"/>
        <v>0</v>
      </c>
      <c r="H179" s="20">
        <f t="shared" si="26"/>
        <v>0</v>
      </c>
      <c r="I179" s="20">
        <f t="shared" si="26"/>
        <v>0</v>
      </c>
      <c r="J179" s="20">
        <f t="shared" si="26"/>
        <v>0</v>
      </c>
      <c r="K179" s="20">
        <f t="shared" si="26"/>
        <v>0</v>
      </c>
      <c r="L179" s="20">
        <f t="shared" si="26"/>
        <v>0</v>
      </c>
      <c r="M179" s="20">
        <f t="shared" si="26"/>
        <v>0</v>
      </c>
      <c r="N179" s="20">
        <f t="shared" si="26"/>
        <v>0</v>
      </c>
    </row>
    <row r="180" spans="1:14" ht="15.75" thickBot="1">
      <c r="A180" s="39"/>
      <c r="B180" s="7"/>
      <c r="C180" s="10"/>
      <c r="D180" s="221"/>
      <c r="E180" s="172"/>
      <c r="F180" s="172"/>
      <c r="G180" s="172"/>
      <c r="H180" s="172"/>
      <c r="I180" s="172"/>
      <c r="J180" s="172"/>
      <c r="K180" s="172"/>
      <c r="L180" s="172"/>
      <c r="M180" s="172"/>
      <c r="N180" s="172"/>
    </row>
    <row r="181" spans="1:14">
      <c r="A181" s="39"/>
      <c r="B181" s="4" t="s">
        <v>12</v>
      </c>
      <c r="C181" s="133" t="str">
        <f>Summary!B39</f>
        <v>C1</v>
      </c>
      <c r="D181" s="156" t="str">
        <f>Summary!C39</f>
        <v>Western Isles and Orkney Schools Projects - Finance Structure</v>
      </c>
      <c r="E181" s="5"/>
      <c r="F181" s="5"/>
      <c r="G181" s="5"/>
      <c r="H181" s="5"/>
      <c r="I181" s="5"/>
      <c r="J181" s="5"/>
      <c r="K181" s="5"/>
      <c r="L181" s="5"/>
      <c r="M181" s="5"/>
      <c r="N181" s="5"/>
    </row>
    <row r="182" spans="1:14">
      <c r="A182" s="39"/>
      <c r="B182" s="7" t="s">
        <v>189</v>
      </c>
      <c r="C182" s="134" t="str">
        <f>'C1 West &amp; Ork'!D47</f>
        <v>A - High</v>
      </c>
      <c r="D182" s="176">
        <f>VLOOKUP(C182,'Confidence Factors'!$B$6:$D$9,3)-M3</f>
        <v>0.8</v>
      </c>
      <c r="E182" s="8"/>
      <c r="F182" s="8"/>
      <c r="G182" s="8"/>
      <c r="H182" s="8"/>
      <c r="I182" s="8"/>
      <c r="J182" s="8"/>
      <c r="K182" s="8"/>
      <c r="L182" s="8"/>
      <c r="M182" s="8"/>
      <c r="N182" s="8"/>
    </row>
    <row r="183" spans="1:14">
      <c r="A183" s="39"/>
      <c r="B183" s="7" t="s">
        <v>30</v>
      </c>
      <c r="C183" s="128">
        <f>SUM(D183:N183)</f>
        <v>13760000</v>
      </c>
      <c r="D183" s="177">
        <v>0</v>
      </c>
      <c r="E183" s="19">
        <v>0</v>
      </c>
      <c r="F183" s="19">
        <v>0</v>
      </c>
      <c r="G183" s="19">
        <f>(('C1 West &amp; Ork'!$D70)/30)*'C1 West &amp; Ork'!$D75*'Calcs - Scen 3'!$D182</f>
        <v>1720000</v>
      </c>
      <c r="H183" s="19">
        <f>(('C1 West &amp; Ork'!$D70)/30)*'C1 West &amp; Ork'!$D75*'Calcs - Scen 3'!$D182</f>
        <v>1720000</v>
      </c>
      <c r="I183" s="19">
        <f>(('C1 West &amp; Ork'!$D70)/30)*'C1 West &amp; Ork'!$D75*'Calcs - Scen 3'!$D182</f>
        <v>1720000</v>
      </c>
      <c r="J183" s="19">
        <f>(('C1 West &amp; Ork'!$D70)/30)*'C1 West &amp; Ork'!$D75*'Calcs - Scen 3'!$D182</f>
        <v>1720000</v>
      </c>
      <c r="K183" s="19">
        <f>(('C1 West &amp; Ork'!$D70)/30)*'C1 West &amp; Ork'!$D75*'Calcs - Scen 3'!$D182</f>
        <v>1720000</v>
      </c>
      <c r="L183" s="19">
        <f>(('C1 West &amp; Ork'!$D70)/30)*'C1 West &amp; Ork'!$D75*'Calcs - Scen 3'!$D182</f>
        <v>1720000</v>
      </c>
      <c r="M183" s="19">
        <f>(('C1 West &amp; Ork'!$D70)/30)*'C1 West &amp; Ork'!$D75*'Calcs - Scen 3'!$D182</f>
        <v>1720000</v>
      </c>
      <c r="N183" s="19">
        <f>(('C1 West &amp; Ork'!$D70)/30)*'C1 West &amp; Ork'!$D75*'Calcs - Scen 3'!$D182</f>
        <v>1720000</v>
      </c>
    </row>
    <row r="184" spans="1:14">
      <c r="A184" s="39"/>
      <c r="B184" s="7" t="s">
        <v>31</v>
      </c>
      <c r="C184" s="129">
        <f>NPV($C$7,F183:N183)+D183+E183</f>
        <v>11423385.046461008</v>
      </c>
      <c r="D184" s="7"/>
      <c r="E184" s="8"/>
      <c r="F184" s="8"/>
      <c r="G184" s="8"/>
      <c r="H184" s="8"/>
      <c r="I184" s="8"/>
      <c r="J184" s="8"/>
      <c r="K184" s="8"/>
      <c r="L184" s="8"/>
      <c r="M184" s="8"/>
      <c r="N184" s="8"/>
    </row>
    <row r="185" spans="1:14">
      <c r="A185" s="39"/>
      <c r="B185" s="7" t="s">
        <v>4</v>
      </c>
      <c r="C185" s="130" t="str">
        <f>IF(SUM(D185:N185)&gt;1,"CHECK"," ")</f>
        <v xml:space="preserve"> </v>
      </c>
      <c r="D185" s="178">
        <v>0.2</v>
      </c>
      <c r="E185" s="15">
        <v>0.8</v>
      </c>
      <c r="F185" s="15"/>
      <c r="G185" s="15"/>
      <c r="H185" s="15"/>
      <c r="I185" s="15"/>
      <c r="J185" s="15"/>
      <c r="K185" s="15"/>
      <c r="L185" s="15"/>
      <c r="M185" s="15"/>
      <c r="N185" s="15"/>
    </row>
    <row r="186" spans="1:14" ht="15.75" thickBot="1">
      <c r="A186" s="39"/>
      <c r="B186" s="11" t="s">
        <v>32</v>
      </c>
      <c r="C186" s="51"/>
      <c r="D186" s="179">
        <f>IF(D185&gt;0,(D185*$C184),0)</f>
        <v>2284677.0092922016</v>
      </c>
      <c r="E186" s="20">
        <f t="shared" ref="E186:N186" si="27">IF(E185&gt;0,(E185*$C184),0)</f>
        <v>9138708.0371688064</v>
      </c>
      <c r="F186" s="20">
        <f t="shared" si="27"/>
        <v>0</v>
      </c>
      <c r="G186" s="20">
        <f t="shared" si="27"/>
        <v>0</v>
      </c>
      <c r="H186" s="20">
        <f t="shared" si="27"/>
        <v>0</v>
      </c>
      <c r="I186" s="20">
        <f t="shared" si="27"/>
        <v>0</v>
      </c>
      <c r="J186" s="20">
        <f t="shared" si="27"/>
        <v>0</v>
      </c>
      <c r="K186" s="20">
        <f t="shared" si="27"/>
        <v>0</v>
      </c>
      <c r="L186" s="20">
        <f t="shared" si="27"/>
        <v>0</v>
      </c>
      <c r="M186" s="20">
        <f t="shared" si="27"/>
        <v>0</v>
      </c>
      <c r="N186" s="20">
        <f t="shared" si="27"/>
        <v>0</v>
      </c>
    </row>
    <row r="187" spans="1:14" ht="15.75" thickBot="1">
      <c r="A187" s="39"/>
      <c r="B187" s="11"/>
      <c r="C187" s="51"/>
      <c r="D187" s="221"/>
      <c r="E187" s="172"/>
      <c r="F187" s="172"/>
      <c r="G187" s="172"/>
      <c r="H187" s="172"/>
      <c r="I187" s="172"/>
      <c r="J187" s="172"/>
      <c r="K187" s="172"/>
      <c r="L187" s="172"/>
      <c r="M187" s="172"/>
      <c r="N187" s="172"/>
    </row>
    <row r="188" spans="1:14">
      <c r="A188" s="39"/>
      <c r="B188" s="4" t="s">
        <v>12</v>
      </c>
      <c r="C188" s="133" t="str">
        <f>Summary!B40</f>
        <v>C2</v>
      </c>
      <c r="D188" s="156" t="str">
        <f>Summary!C40</f>
        <v>Borders Rail - Lower Financing Costs (Nil Benefit)</v>
      </c>
      <c r="E188" s="5"/>
      <c r="F188" s="5"/>
      <c r="G188" s="5"/>
      <c r="H188" s="5"/>
      <c r="I188" s="5"/>
      <c r="J188" s="5"/>
      <c r="K188" s="5"/>
      <c r="L188" s="5"/>
      <c r="M188" s="5"/>
      <c r="N188" s="5"/>
    </row>
    <row r="189" spans="1:14">
      <c r="A189" s="39"/>
      <c r="B189" s="7" t="s">
        <v>189</v>
      </c>
      <c r="C189" s="134" t="str">
        <f>'C2 Borders Rail Fin'!D47</f>
        <v>D - Moderate</v>
      </c>
      <c r="D189" s="176">
        <f>VLOOKUP(C189,'Confidence Factors'!$B$6:$D$9,3)-M3</f>
        <v>0.35000000000000003</v>
      </c>
      <c r="E189" s="8"/>
      <c r="F189" s="8"/>
      <c r="G189" s="8"/>
      <c r="H189" s="8"/>
      <c r="I189" s="8"/>
      <c r="J189" s="8"/>
      <c r="K189" s="8"/>
      <c r="L189" s="8"/>
      <c r="M189" s="8"/>
      <c r="N189" s="8"/>
    </row>
    <row r="190" spans="1:14">
      <c r="A190" s="39"/>
      <c r="B190" s="7" t="s">
        <v>30</v>
      </c>
      <c r="C190" s="128">
        <f>SUM(D190:N190)</f>
        <v>0</v>
      </c>
      <c r="D190" s="180">
        <v>0</v>
      </c>
      <c r="E190" s="3">
        <v>0</v>
      </c>
      <c r="F190" s="3">
        <v>0</v>
      </c>
      <c r="G190" s="3">
        <v>0</v>
      </c>
      <c r="H190" s="3">
        <v>0</v>
      </c>
      <c r="I190" s="19">
        <f>(1500000-1500000)*'C2 Borders Rail Fin'!$D$75*$D$189</f>
        <v>0</v>
      </c>
      <c r="J190" s="19">
        <f>(('C2 Borders Rail Fin'!$D70)/30)*'C2 Borders Rail Fin'!$D75*'Calcs - Scen 3'!$D189</f>
        <v>0</v>
      </c>
      <c r="K190" s="19">
        <f>(('C2 Borders Rail Fin'!$D70)/30)*'C2 Borders Rail Fin'!$D75*'Calcs - Scen 3'!$D189</f>
        <v>0</v>
      </c>
      <c r="L190" s="19">
        <f>(('C2 Borders Rail Fin'!$D70)/30)*'C2 Borders Rail Fin'!$D75*'Calcs - Scen 3'!$D189</f>
        <v>0</v>
      </c>
      <c r="M190" s="19">
        <f>(('C2 Borders Rail Fin'!$D70)/30)*'C2 Borders Rail Fin'!$D75*'Calcs - Scen 3'!$D189</f>
        <v>0</v>
      </c>
      <c r="N190" s="19">
        <f>(('C2 Borders Rail Fin'!$D70)/30)*'C2 Borders Rail Fin'!$D75*'Calcs - Scen 3'!$D189</f>
        <v>0</v>
      </c>
    </row>
    <row r="191" spans="1:14">
      <c r="A191" s="39"/>
      <c r="B191" s="7" t="s">
        <v>31</v>
      </c>
      <c r="C191" s="129">
        <f>NPV($C$7,F190:N190)+D190+E190</f>
        <v>0</v>
      </c>
      <c r="D191" s="7"/>
      <c r="E191" s="8"/>
      <c r="F191" s="8"/>
      <c r="G191" s="8"/>
      <c r="H191" s="8"/>
      <c r="I191" s="8"/>
      <c r="J191" s="8"/>
      <c r="K191" s="8"/>
      <c r="L191" s="8"/>
      <c r="M191" s="8"/>
      <c r="N191" s="8"/>
    </row>
    <row r="192" spans="1:14">
      <c r="A192" s="39"/>
      <c r="B192" s="7" t="s">
        <v>4</v>
      </c>
      <c r="C192" s="130" t="str">
        <f>IF(SUM(D192:N192)&gt;1,"CHECK"," ")</f>
        <v xml:space="preserve"> </v>
      </c>
      <c r="D192" s="178">
        <v>0.2</v>
      </c>
      <c r="E192" s="15">
        <v>0.8</v>
      </c>
      <c r="F192" s="15"/>
      <c r="G192" s="15"/>
      <c r="H192" s="15"/>
      <c r="I192" s="15"/>
      <c r="J192" s="15"/>
      <c r="K192" s="15"/>
      <c r="L192" s="15"/>
      <c r="M192" s="15"/>
      <c r="N192" s="15"/>
    </row>
    <row r="193" spans="1:14" ht="15.75" thickBot="1">
      <c r="A193" s="39"/>
      <c r="B193" s="11" t="s">
        <v>32</v>
      </c>
      <c r="C193" s="51"/>
      <c r="D193" s="179">
        <f>IF(D192&gt;0,(D192*$C191),0)</f>
        <v>0</v>
      </c>
      <c r="E193" s="20">
        <f t="shared" ref="E193:N193" si="28">IF(E192&gt;0,(E192*$C191),0)</f>
        <v>0</v>
      </c>
      <c r="F193" s="20">
        <f t="shared" si="28"/>
        <v>0</v>
      </c>
      <c r="G193" s="20">
        <f t="shared" si="28"/>
        <v>0</v>
      </c>
      <c r="H193" s="20">
        <f t="shared" si="28"/>
        <v>0</v>
      </c>
      <c r="I193" s="20">
        <f t="shared" si="28"/>
        <v>0</v>
      </c>
      <c r="J193" s="20">
        <f t="shared" si="28"/>
        <v>0</v>
      </c>
      <c r="K193" s="20">
        <f t="shared" si="28"/>
        <v>0</v>
      </c>
      <c r="L193" s="20">
        <f t="shared" si="28"/>
        <v>0</v>
      </c>
      <c r="M193" s="20">
        <f t="shared" si="28"/>
        <v>0</v>
      </c>
      <c r="N193" s="20">
        <f t="shared" si="28"/>
        <v>0</v>
      </c>
    </row>
    <row r="194" spans="1:14" ht="15.75" thickBot="1">
      <c r="A194" s="39"/>
      <c r="B194" s="7"/>
      <c r="C194" s="10"/>
      <c r="D194" s="221"/>
      <c r="E194" s="172"/>
      <c r="F194" s="172"/>
      <c r="G194" s="172"/>
      <c r="H194" s="172"/>
      <c r="I194" s="172"/>
      <c r="J194" s="172"/>
      <c r="K194" s="172"/>
      <c r="L194" s="172"/>
      <c r="M194" s="172"/>
      <c r="N194" s="172"/>
    </row>
    <row r="195" spans="1:14">
      <c r="A195" s="39"/>
      <c r="B195" s="4" t="s">
        <v>12</v>
      </c>
      <c r="C195" s="133" t="str">
        <f>Summary!B41</f>
        <v>C3</v>
      </c>
      <c r="D195" s="156" t="str">
        <f>Summary!C41</f>
        <v>Borders Rail - Competition</v>
      </c>
      <c r="E195" s="5"/>
      <c r="F195" s="5"/>
      <c r="G195" s="5"/>
      <c r="H195" s="5"/>
      <c r="I195" s="5"/>
      <c r="J195" s="5"/>
      <c r="K195" s="5"/>
      <c r="L195" s="5"/>
      <c r="M195" s="5"/>
      <c r="N195" s="5"/>
    </row>
    <row r="196" spans="1:14">
      <c r="A196" s="39"/>
      <c r="B196" s="7" t="s">
        <v>189</v>
      </c>
      <c r="C196" s="134" t="str">
        <f>'C3 Borders Rail Comp'!D47</f>
        <v>C - Good</v>
      </c>
      <c r="D196" s="176">
        <f>VLOOKUP(C196,'Confidence Factors'!$B$6:$D$9,3)-M3</f>
        <v>0.55000000000000004</v>
      </c>
      <c r="E196" s="8"/>
      <c r="F196" s="8"/>
      <c r="G196" s="8"/>
      <c r="H196" s="8"/>
      <c r="I196" s="8"/>
      <c r="J196" s="8"/>
      <c r="K196" s="8"/>
      <c r="L196" s="8"/>
      <c r="M196" s="8"/>
      <c r="N196" s="8"/>
    </row>
    <row r="197" spans="1:14">
      <c r="A197" s="39"/>
      <c r="B197" s="7" t="s">
        <v>30</v>
      </c>
      <c r="C197" s="128">
        <f>SUM(D197:N197)</f>
        <v>2145000</v>
      </c>
      <c r="D197" s="177">
        <v>0</v>
      </c>
      <c r="E197" s="19">
        <v>0</v>
      </c>
      <c r="F197" s="19">
        <v>0</v>
      </c>
      <c r="G197" s="19">
        <v>0</v>
      </c>
      <c r="H197" s="19">
        <v>0</v>
      </c>
      <c r="I197" s="19">
        <f>(('C3 Borders Rail Comp'!$D70)/30)*'C3 Borders Rail Comp'!$D75*'Calcs - Scen 3'!$D196</f>
        <v>357500</v>
      </c>
      <c r="J197" s="19">
        <f>(('C3 Borders Rail Comp'!$D70)/30)*'C3 Borders Rail Comp'!$D75*'Calcs - Scen 3'!$D196</f>
        <v>357500</v>
      </c>
      <c r="K197" s="19">
        <f>(('C3 Borders Rail Comp'!$D70)/30)*'C3 Borders Rail Comp'!$D75*'Calcs - Scen 3'!$D196</f>
        <v>357500</v>
      </c>
      <c r="L197" s="19">
        <f>(('C3 Borders Rail Comp'!$D70)/30)*'C3 Borders Rail Comp'!$D75*'Calcs - Scen 3'!$D196</f>
        <v>357500</v>
      </c>
      <c r="M197" s="19">
        <f>(('C3 Borders Rail Comp'!$D70)/30)*'C3 Borders Rail Comp'!$D75*'Calcs - Scen 3'!$D196</f>
        <v>357500</v>
      </c>
      <c r="N197" s="19">
        <f>(('C3 Borders Rail Comp'!$D70)/30)*'C3 Borders Rail Comp'!$D75*'Calcs - Scen 3'!$D196</f>
        <v>357500</v>
      </c>
    </row>
    <row r="198" spans="1:14">
      <c r="A198" s="39"/>
      <c r="B198" s="7" t="s">
        <v>31</v>
      </c>
      <c r="C198" s="129">
        <f>NPV($C$7,F197:N197)+D197+E197</f>
        <v>1718162.7062437457</v>
      </c>
      <c r="D198" s="7"/>
      <c r="E198" s="8"/>
      <c r="F198" s="8"/>
      <c r="G198" s="8"/>
      <c r="H198" s="8"/>
      <c r="I198" s="8"/>
      <c r="J198" s="8"/>
      <c r="K198" s="8"/>
      <c r="L198" s="8"/>
      <c r="M198" s="8"/>
      <c r="N198" s="8"/>
    </row>
    <row r="199" spans="1:14">
      <c r="A199" s="39"/>
      <c r="B199" s="7" t="s">
        <v>4</v>
      </c>
      <c r="C199" s="130" t="str">
        <f>IF(SUM(D199:N199)&gt;1,"CHECK"," ")</f>
        <v xml:space="preserve"> </v>
      </c>
      <c r="D199" s="178">
        <v>1</v>
      </c>
      <c r="E199" s="15">
        <v>0</v>
      </c>
      <c r="F199" s="15"/>
      <c r="G199" s="15"/>
      <c r="H199" s="15"/>
      <c r="I199" s="15"/>
      <c r="J199" s="15"/>
      <c r="K199" s="15"/>
      <c r="L199" s="15"/>
      <c r="M199" s="15"/>
      <c r="N199" s="15"/>
    </row>
    <row r="200" spans="1:14" ht="15.75" thickBot="1">
      <c r="A200" s="39"/>
      <c r="B200" s="11" t="s">
        <v>32</v>
      </c>
      <c r="C200" s="51"/>
      <c r="D200" s="179">
        <f t="shared" ref="D200:N200" si="29">IF(D199&gt;0,(D199*$C198),0)</f>
        <v>1718162.7062437457</v>
      </c>
      <c r="E200" s="20">
        <f t="shared" si="29"/>
        <v>0</v>
      </c>
      <c r="F200" s="20">
        <f t="shared" si="29"/>
        <v>0</v>
      </c>
      <c r="G200" s="20">
        <f t="shared" si="29"/>
        <v>0</v>
      </c>
      <c r="H200" s="20">
        <f t="shared" si="29"/>
        <v>0</v>
      </c>
      <c r="I200" s="20">
        <f t="shared" si="29"/>
        <v>0</v>
      </c>
      <c r="J200" s="20">
        <f t="shared" si="29"/>
        <v>0</v>
      </c>
      <c r="K200" s="20">
        <f t="shared" si="29"/>
        <v>0</v>
      </c>
      <c r="L200" s="20">
        <f t="shared" si="29"/>
        <v>0</v>
      </c>
      <c r="M200" s="20">
        <f t="shared" si="29"/>
        <v>0</v>
      </c>
      <c r="N200" s="20">
        <f t="shared" si="29"/>
        <v>0</v>
      </c>
    </row>
    <row r="201" spans="1:14" ht="15.75" thickBot="1">
      <c r="A201" s="39"/>
      <c r="B201" s="7"/>
      <c r="C201" s="10"/>
      <c r="D201" s="221"/>
      <c r="E201" s="172"/>
      <c r="F201" s="172"/>
      <c r="G201" s="172"/>
      <c r="H201" s="172"/>
      <c r="I201" s="172"/>
      <c r="J201" s="172"/>
      <c r="K201" s="172"/>
      <c r="L201" s="172"/>
      <c r="M201" s="172"/>
      <c r="N201" s="172"/>
    </row>
    <row r="202" spans="1:14">
      <c r="A202" s="39"/>
      <c r="B202" s="4" t="s">
        <v>12</v>
      </c>
      <c r="C202" s="133" t="str">
        <f>Summary!B42</f>
        <v>C4</v>
      </c>
      <c r="D202" s="156" t="str">
        <f>Summary!C42</f>
        <v>Orkney Schools Projects -  Business Case Diligence</v>
      </c>
      <c r="E202" s="5"/>
      <c r="F202" s="5"/>
      <c r="G202" s="5"/>
      <c r="H202" s="5"/>
      <c r="I202" s="5"/>
      <c r="J202" s="5"/>
      <c r="K202" s="5"/>
      <c r="L202" s="5"/>
      <c r="M202" s="5"/>
      <c r="N202" s="5"/>
    </row>
    <row r="203" spans="1:14">
      <c r="A203" s="39"/>
      <c r="B203" s="7" t="s">
        <v>189</v>
      </c>
      <c r="C203" s="134" t="str">
        <f>'C4 Orkney Schools Fin'!D47</f>
        <v>A - High</v>
      </c>
      <c r="D203" s="176">
        <f>VLOOKUP(C203,'Confidence Factors'!$B$6:$D$9,3)-M3</f>
        <v>0.8</v>
      </c>
      <c r="E203" s="8"/>
      <c r="F203" s="8"/>
      <c r="G203" s="8"/>
      <c r="H203" s="8"/>
      <c r="I203" s="8"/>
      <c r="J203" s="8"/>
      <c r="K203" s="8"/>
      <c r="L203" s="8"/>
      <c r="M203" s="8"/>
      <c r="N203" s="8"/>
    </row>
    <row r="204" spans="1:14">
      <c r="A204" s="39"/>
      <c r="B204" s="7" t="s">
        <v>30</v>
      </c>
      <c r="C204" s="128">
        <f>SUM(D204:N204)</f>
        <v>347200</v>
      </c>
      <c r="D204" s="177">
        <v>0</v>
      </c>
      <c r="E204" s="19"/>
      <c r="F204" s="19">
        <v>0</v>
      </c>
      <c r="G204" s="19">
        <v>0</v>
      </c>
      <c r="H204" s="19">
        <f>(('C4 Orkney Schools Fin'!$D70)/28)*'C4 Orkney Schools Fin'!$D75*'Calcs - Scen 3'!$D203</f>
        <v>49600</v>
      </c>
      <c r="I204" s="19">
        <f>(('C4 Orkney Schools Fin'!$D70)/28)*'C4 Orkney Schools Fin'!$D75*'Calcs - Scen 3'!$D203</f>
        <v>49600</v>
      </c>
      <c r="J204" s="19">
        <f>(('C4 Orkney Schools Fin'!$D70)/28)*'C4 Orkney Schools Fin'!$D75*'Calcs - Scen 3'!$D203</f>
        <v>49600</v>
      </c>
      <c r="K204" s="19">
        <f>(('C4 Orkney Schools Fin'!$D70)/28)*'C4 Orkney Schools Fin'!$D75*'Calcs - Scen 3'!$D203</f>
        <v>49600</v>
      </c>
      <c r="L204" s="19">
        <f>(('C4 Orkney Schools Fin'!$D70)/28)*'C4 Orkney Schools Fin'!$D75*'Calcs - Scen 3'!$D203</f>
        <v>49600</v>
      </c>
      <c r="M204" s="19">
        <f>(('C4 Orkney Schools Fin'!$D70)/28)*'C4 Orkney Schools Fin'!$D75*'Calcs - Scen 3'!$D203</f>
        <v>49600</v>
      </c>
      <c r="N204" s="19">
        <f>(('C4 Orkney Schools Fin'!$D70)/28)*'C4 Orkney Schools Fin'!$D75*'Calcs - Scen 3'!$D203</f>
        <v>49600</v>
      </c>
    </row>
    <row r="205" spans="1:14">
      <c r="A205" s="39"/>
      <c r="B205" s="7" t="s">
        <v>31</v>
      </c>
      <c r="C205" s="129">
        <f>NPV($C$7,F204:N204)+D204+E204</f>
        <v>283116.4147876788</v>
      </c>
      <c r="D205" s="7"/>
      <c r="E205" s="8"/>
      <c r="F205" s="8"/>
      <c r="G205" s="8"/>
      <c r="H205" s="8"/>
      <c r="I205" s="8"/>
      <c r="J205" s="8"/>
      <c r="K205" s="8"/>
      <c r="L205" s="8"/>
      <c r="M205" s="8"/>
      <c r="N205" s="8"/>
    </row>
    <row r="206" spans="1:14">
      <c r="A206" s="39"/>
      <c r="B206" s="7" t="s">
        <v>4</v>
      </c>
      <c r="C206" s="130" t="str">
        <f>IF(SUM(D206:N206)&gt;1,"CHECK"," ")</f>
        <v xml:space="preserve"> </v>
      </c>
      <c r="D206" s="178">
        <v>0</v>
      </c>
      <c r="E206" s="15">
        <v>1</v>
      </c>
      <c r="F206" s="15"/>
      <c r="G206" s="15"/>
      <c r="H206" s="15"/>
      <c r="I206" s="15"/>
      <c r="J206" s="15"/>
      <c r="K206" s="15"/>
      <c r="L206" s="15"/>
      <c r="M206" s="15"/>
      <c r="N206" s="15"/>
    </row>
    <row r="207" spans="1:14" ht="15.75" thickBot="1">
      <c r="A207" s="39"/>
      <c r="B207" s="11" t="s">
        <v>32</v>
      </c>
      <c r="C207" s="51"/>
      <c r="D207" s="179">
        <f t="shared" ref="D207:N207" si="30">IF(D206&gt;0,(D206*$C205),0)</f>
        <v>0</v>
      </c>
      <c r="E207" s="20">
        <f t="shared" si="30"/>
        <v>283116.4147876788</v>
      </c>
      <c r="F207" s="20">
        <f t="shared" si="30"/>
        <v>0</v>
      </c>
      <c r="G207" s="20">
        <f t="shared" si="30"/>
        <v>0</v>
      </c>
      <c r="H207" s="20">
        <f t="shared" si="30"/>
        <v>0</v>
      </c>
      <c r="I207" s="20">
        <f t="shared" si="30"/>
        <v>0</v>
      </c>
      <c r="J207" s="20">
        <f t="shared" si="30"/>
        <v>0</v>
      </c>
      <c r="K207" s="20">
        <f t="shared" si="30"/>
        <v>0</v>
      </c>
      <c r="L207" s="20">
        <f t="shared" si="30"/>
        <v>0</v>
      </c>
      <c r="M207" s="20">
        <f t="shared" si="30"/>
        <v>0</v>
      </c>
      <c r="N207" s="20">
        <f t="shared" si="30"/>
        <v>0</v>
      </c>
    </row>
    <row r="208" spans="1:14" ht="15.75" thickBot="1">
      <c r="A208" s="39"/>
      <c r="B208" s="7"/>
      <c r="C208" s="10"/>
      <c r="D208" s="221"/>
      <c r="E208" s="172"/>
      <c r="F208" s="172"/>
      <c r="G208" s="172"/>
      <c r="H208" s="172"/>
      <c r="I208" s="172"/>
      <c r="J208" s="172"/>
      <c r="K208" s="172"/>
      <c r="L208" s="172"/>
      <c r="M208" s="172"/>
      <c r="N208" s="172"/>
    </row>
    <row r="209" spans="1:14">
      <c r="A209" s="39"/>
      <c r="B209" s="4" t="s">
        <v>12</v>
      </c>
      <c r="C209" s="133" t="str">
        <f>Summary!B43</f>
        <v>C5</v>
      </c>
      <c r="D209" s="156" t="str">
        <f>Summary!C43</f>
        <v>RHSC/DCN Procurement Strategy and Increased Competition</v>
      </c>
      <c r="E209" s="5"/>
      <c r="F209" s="5"/>
      <c r="G209" s="5"/>
      <c r="H209" s="5"/>
      <c r="I209" s="5"/>
      <c r="J209" s="5"/>
      <c r="K209" s="5"/>
      <c r="L209" s="5"/>
      <c r="M209" s="5"/>
      <c r="N209" s="5"/>
    </row>
    <row r="210" spans="1:14">
      <c r="A210" s="39"/>
      <c r="B210" s="7" t="s">
        <v>189</v>
      </c>
      <c r="C210" s="134" t="str">
        <f>'C5 RHSC DCN Comp'!D47</f>
        <v>C - Good</v>
      </c>
      <c r="D210" s="176">
        <f>VLOOKUP(C210,'Confidence Factors'!$B$6:$D$9,3)-M3</f>
        <v>0.55000000000000004</v>
      </c>
      <c r="E210" s="8"/>
      <c r="F210" s="8"/>
      <c r="G210" s="8"/>
      <c r="H210" s="8"/>
      <c r="I210" s="8"/>
      <c r="J210" s="8"/>
      <c r="K210" s="8"/>
      <c r="L210" s="8"/>
      <c r="M210" s="8"/>
      <c r="N210" s="8"/>
    </row>
    <row r="211" spans="1:14">
      <c r="A211" s="39"/>
      <c r="B211" s="7" t="s">
        <v>30</v>
      </c>
      <c r="C211" s="128">
        <f>SUM(D211:N211)</f>
        <v>1322475</v>
      </c>
      <c r="D211" s="177">
        <v>0</v>
      </c>
      <c r="E211" s="19">
        <v>0</v>
      </c>
      <c r="F211" s="19">
        <v>0</v>
      </c>
      <c r="G211" s="19">
        <v>0</v>
      </c>
      <c r="H211" s="19">
        <v>0</v>
      </c>
      <c r="I211" s="19">
        <f>'C5 RHSC DCN Comp'!N$78*'C5 RHSC DCN Comp'!$D75*'Calcs - Scen 3'!$D210</f>
        <v>220412.5</v>
      </c>
      <c r="J211" s="19">
        <f>'C5 RHSC DCN Comp'!O$78*'C5 RHSC DCN Comp'!$D75*'Calcs - Scen 3'!$D210</f>
        <v>220412.5</v>
      </c>
      <c r="K211" s="19">
        <f>'C5 RHSC DCN Comp'!P$78*'C5 RHSC DCN Comp'!$D75*'Calcs - Scen 3'!$D210</f>
        <v>220412.5</v>
      </c>
      <c r="L211" s="19">
        <f>'C5 RHSC DCN Comp'!Q$78*'C5 RHSC DCN Comp'!$D75*'Calcs - Scen 3'!$D210</f>
        <v>220412.5</v>
      </c>
      <c r="M211" s="19">
        <f>'C5 RHSC DCN Comp'!R$78*'C5 RHSC DCN Comp'!$D75*'Calcs - Scen 3'!$D210</f>
        <v>220412.5</v>
      </c>
      <c r="N211" s="19">
        <f>'C5 RHSC DCN Comp'!S$78*'C5 RHSC DCN Comp'!$D75*'Calcs - Scen 3'!$D210</f>
        <v>220412.5</v>
      </c>
    </row>
    <row r="212" spans="1:14">
      <c r="A212" s="39"/>
      <c r="B212" s="7" t="s">
        <v>31</v>
      </c>
      <c r="C212" s="129">
        <f>NPV($C$7,F211:N211)+D211+E211</f>
        <v>1059313.3915802788</v>
      </c>
      <c r="D212" s="7"/>
      <c r="E212" s="8"/>
      <c r="F212" s="8"/>
      <c r="G212" s="8"/>
      <c r="H212" s="8"/>
      <c r="I212" s="8"/>
      <c r="J212" s="8"/>
      <c r="K212" s="8"/>
      <c r="L212" s="8"/>
      <c r="M212" s="8"/>
      <c r="N212" s="8"/>
    </row>
    <row r="213" spans="1:14">
      <c r="A213" s="39"/>
      <c r="B213" s="7" t="s">
        <v>4</v>
      </c>
      <c r="C213" s="130" t="str">
        <f>IF(SUM(D213:N213)&gt;1,"CHECK"," ")</f>
        <v xml:space="preserve"> </v>
      </c>
      <c r="D213" s="178">
        <v>0</v>
      </c>
      <c r="E213" s="15">
        <v>0.25</v>
      </c>
      <c r="F213" s="15">
        <v>0.5</v>
      </c>
      <c r="G213" s="15">
        <v>0.25</v>
      </c>
      <c r="H213" s="15"/>
      <c r="I213" s="15"/>
      <c r="J213" s="15"/>
      <c r="K213" s="15"/>
      <c r="L213" s="15"/>
      <c r="M213" s="15"/>
      <c r="N213" s="15"/>
    </row>
    <row r="214" spans="1:14" ht="15.75" thickBot="1">
      <c r="A214" s="39"/>
      <c r="B214" s="11" t="s">
        <v>32</v>
      </c>
      <c r="C214" s="51"/>
      <c r="D214" s="179">
        <f t="shared" ref="D214:N214" si="31">IF(D213&gt;0,(D213*$C212),0)</f>
        <v>0</v>
      </c>
      <c r="E214" s="20">
        <f t="shared" si="31"/>
        <v>264828.34789506969</v>
      </c>
      <c r="F214" s="20">
        <f t="shared" si="31"/>
        <v>529656.69579013938</v>
      </c>
      <c r="G214" s="20">
        <f t="shared" si="31"/>
        <v>264828.34789506969</v>
      </c>
      <c r="H214" s="20">
        <f t="shared" si="31"/>
        <v>0</v>
      </c>
      <c r="I214" s="20">
        <f t="shared" si="31"/>
        <v>0</v>
      </c>
      <c r="J214" s="20">
        <f t="shared" si="31"/>
        <v>0</v>
      </c>
      <c r="K214" s="20">
        <f t="shared" si="31"/>
        <v>0</v>
      </c>
      <c r="L214" s="20">
        <f t="shared" si="31"/>
        <v>0</v>
      </c>
      <c r="M214" s="20">
        <f t="shared" si="31"/>
        <v>0</v>
      </c>
      <c r="N214" s="20">
        <f t="shared" si="31"/>
        <v>0</v>
      </c>
    </row>
    <row r="215" spans="1:14" ht="15.75" thickBot="1">
      <c r="A215" s="39"/>
      <c r="B215" s="7"/>
      <c r="C215" s="10"/>
      <c r="D215" s="221"/>
      <c r="E215" s="172"/>
      <c r="F215" s="172"/>
      <c r="G215" s="172"/>
      <c r="H215" s="172"/>
      <c r="I215" s="172"/>
      <c r="J215" s="172"/>
      <c r="K215" s="172"/>
      <c r="L215" s="172"/>
      <c r="M215" s="172"/>
      <c r="N215" s="172"/>
    </row>
    <row r="216" spans="1:14">
      <c r="A216" s="39"/>
      <c r="B216" s="4" t="s">
        <v>12</v>
      </c>
      <c r="C216" s="133" t="str">
        <f>Summary!B44</f>
        <v>C6</v>
      </c>
      <c r="D216" s="156" t="str">
        <f>Summary!C44</f>
        <v>NPD Contract - Saved Procurement Time</v>
      </c>
      <c r="E216" s="5"/>
      <c r="F216" s="5"/>
      <c r="G216" s="5"/>
      <c r="H216" s="5"/>
      <c r="I216" s="5"/>
      <c r="J216" s="5"/>
      <c r="K216" s="5"/>
      <c r="L216" s="5"/>
      <c r="M216" s="5"/>
      <c r="N216" s="5"/>
    </row>
    <row r="217" spans="1:14">
      <c r="A217" s="39"/>
      <c r="B217" s="7" t="s">
        <v>189</v>
      </c>
      <c r="C217" s="134" t="str">
        <f>'C6 NPD Saved Proc Time'!D47</f>
        <v>D - Moderate</v>
      </c>
      <c r="D217" s="176">
        <f>VLOOKUP(C217,'Confidence Factors'!$B$6:$D$9,3)-M3</f>
        <v>0.35000000000000003</v>
      </c>
      <c r="E217" s="8"/>
      <c r="F217" s="8"/>
      <c r="G217" s="8"/>
      <c r="H217" s="8"/>
      <c r="I217" s="8"/>
      <c r="J217" s="8"/>
      <c r="K217" s="8"/>
      <c r="L217" s="8"/>
      <c r="M217" s="8"/>
      <c r="N217" s="8"/>
    </row>
    <row r="218" spans="1:14">
      <c r="A218" s="39"/>
      <c r="B218" s="7" t="s">
        <v>30</v>
      </c>
      <c r="C218" s="128">
        <f>SUM(D218:N218)</f>
        <v>991025</v>
      </c>
      <c r="D218" s="177">
        <v>0</v>
      </c>
      <c r="E218" s="19">
        <f>(('C5 RHSC DCN Comp'!$D77)*0.25)*'C5 RHSC DCN Comp'!$D82*'Calcs - Scen 3'!$D217</f>
        <v>0</v>
      </c>
      <c r="F218" s="516">
        <f>'C6 NPD Saved Proc Time'!L$79*'C6 NPD Saved Proc Time'!$D75*'Calcs - Scen 3'!$D217</f>
        <v>0</v>
      </c>
      <c r="G218" s="516">
        <f>(('C6 NPD Saved Proc Time'!M$75)*1000)*'C6 NPD Saved Proc Time'!$D75*'Calcs - Scen 3'!$D217</f>
        <v>122500.00000000001</v>
      </c>
      <c r="H218" s="516">
        <f>(('C6 NPD Saved Proc Time'!N$75)*1000)*'C6 NPD Saved Proc Time'!$D75*'Calcs - Scen 3'!$D217</f>
        <v>122500.00000000001</v>
      </c>
      <c r="I218" s="516">
        <f>(('C6 NPD Saved Proc Time'!O$75)*1000)*'C6 NPD Saved Proc Time'!$D75*'Calcs - Scen 3'!$D217</f>
        <v>216825.00000000003</v>
      </c>
      <c r="J218" s="516">
        <f>(('C6 NPD Saved Proc Time'!P$75)*1000)*'C6 NPD Saved Proc Time'!$D75*'Calcs - Scen 3'!$D217</f>
        <v>66150</v>
      </c>
      <c r="K218" s="516">
        <f>(('C6 NPD Saved Proc Time'!Q$75)*1000)*'C6 NPD Saved Proc Time'!$D75*'Calcs - Scen 3'!$D217</f>
        <v>115762.50000000001</v>
      </c>
      <c r="L218" s="516">
        <f>(('C6 NPD Saved Proc Time'!R$75)*1000)*'C6 NPD Saved Proc Time'!$D75*'Calcs - Scen 3'!$D217</f>
        <v>115762.50000000001</v>
      </c>
      <c r="M218" s="516">
        <f>(('C6 NPD Saved Proc Time'!S$75)*1000)*'C6 NPD Saved Proc Time'!$D75*'Calcs - Scen 3'!$D217</f>
        <v>115762.50000000001</v>
      </c>
      <c r="N218" s="516">
        <f>(('C6 NPD Saved Proc Time'!T$75)*1000)*'C6 NPD Saved Proc Time'!$D75*'Calcs - Scen 3'!$D217</f>
        <v>115762.50000000001</v>
      </c>
    </row>
    <row r="219" spans="1:14">
      <c r="A219" s="39"/>
      <c r="B219" s="7" t="s">
        <v>31</v>
      </c>
      <c r="C219" s="129">
        <f>NPV($C$7,F218:N218)+D218+E218</f>
        <v>827501.08711507241</v>
      </c>
      <c r="D219" s="7"/>
      <c r="E219" s="8"/>
      <c r="F219" s="8"/>
      <c r="G219" s="8"/>
      <c r="H219" s="8"/>
      <c r="I219" s="8"/>
      <c r="J219" s="8"/>
      <c r="K219" s="8"/>
      <c r="L219" s="8"/>
      <c r="M219" s="8"/>
      <c r="N219" s="8"/>
    </row>
    <row r="220" spans="1:14">
      <c r="A220" s="39"/>
      <c r="B220" s="7" t="s">
        <v>4</v>
      </c>
      <c r="C220" s="130" t="str">
        <f>IF(SUM(D220:N220)&gt;1,"CHECK"," ")</f>
        <v xml:space="preserve"> </v>
      </c>
      <c r="D220" s="178">
        <v>0</v>
      </c>
      <c r="E220" s="15">
        <v>0.6</v>
      </c>
      <c r="F220" s="15">
        <v>0.4</v>
      </c>
      <c r="G220" s="15"/>
      <c r="H220" s="15"/>
      <c r="I220" s="15"/>
      <c r="J220" s="15"/>
      <c r="K220" s="15"/>
      <c r="L220" s="15"/>
      <c r="M220" s="15"/>
      <c r="N220" s="15"/>
    </row>
    <row r="221" spans="1:14" ht="15.75" thickBot="1">
      <c r="A221" s="39"/>
      <c r="B221" s="11"/>
      <c r="C221" s="51"/>
      <c r="D221" s="179">
        <f t="shared" ref="D221:N221" si="32">IF(D220&gt;0,(D220*$C219),0)</f>
        <v>0</v>
      </c>
      <c r="E221" s="20">
        <f t="shared" si="32"/>
        <v>496500.65226904344</v>
      </c>
      <c r="F221" s="20">
        <f t="shared" si="32"/>
        <v>331000.43484602898</v>
      </c>
      <c r="G221" s="20">
        <f t="shared" si="32"/>
        <v>0</v>
      </c>
      <c r="H221" s="20">
        <f t="shared" si="32"/>
        <v>0</v>
      </c>
      <c r="I221" s="20">
        <f t="shared" si="32"/>
        <v>0</v>
      </c>
      <c r="J221" s="20">
        <f t="shared" si="32"/>
        <v>0</v>
      </c>
      <c r="K221" s="20">
        <f t="shared" si="32"/>
        <v>0</v>
      </c>
      <c r="L221" s="20">
        <f t="shared" si="32"/>
        <v>0</v>
      </c>
      <c r="M221" s="20">
        <f t="shared" si="32"/>
        <v>0</v>
      </c>
      <c r="N221" s="20">
        <f t="shared" si="32"/>
        <v>0</v>
      </c>
    </row>
    <row r="222" spans="1:14" ht="15.75" thickBot="1">
      <c r="A222" s="39"/>
      <c r="B222" s="7"/>
      <c r="C222" s="10"/>
      <c r="D222" s="221"/>
      <c r="E222" s="172"/>
      <c r="F222" s="172"/>
      <c r="G222" s="172"/>
      <c r="H222" s="172"/>
      <c r="I222" s="172"/>
      <c r="J222" s="172"/>
      <c r="K222" s="172"/>
      <c r="L222" s="172"/>
      <c r="M222" s="172"/>
      <c r="N222" s="172"/>
    </row>
    <row r="223" spans="1:14">
      <c r="A223" s="39"/>
      <c r="B223" s="4" t="s">
        <v>12</v>
      </c>
      <c r="C223" s="133" t="str">
        <f>Summary!B45</f>
        <v>C7</v>
      </c>
      <c r="D223" s="156" t="str">
        <f>Summary!C45</f>
        <v xml:space="preserve">NPD Contract - Optimal Risk Transfer </v>
      </c>
      <c r="E223" s="5"/>
      <c r="F223" s="5"/>
      <c r="G223" s="5"/>
      <c r="H223" s="5"/>
      <c r="I223" s="5"/>
      <c r="J223" s="5"/>
      <c r="K223" s="5"/>
      <c r="L223" s="5"/>
      <c r="M223" s="5"/>
      <c r="N223" s="5"/>
    </row>
    <row r="224" spans="1:14">
      <c r="A224" s="39"/>
      <c r="B224" s="7" t="s">
        <v>189</v>
      </c>
      <c r="C224" s="134" t="str">
        <f>'C7 NPD Optimal Risk Transfer'!D47</f>
        <v>C - Good</v>
      </c>
      <c r="D224" s="176">
        <f>VLOOKUP(C224,'Confidence Factors'!$B$6:$D$9,3)-M3</f>
        <v>0.55000000000000004</v>
      </c>
      <c r="E224" s="8"/>
      <c r="F224" s="8"/>
      <c r="G224" s="8"/>
      <c r="H224" s="8"/>
      <c r="I224" s="8"/>
      <c r="J224" s="8"/>
      <c r="K224" s="8"/>
      <c r="L224" s="8"/>
      <c r="M224" s="8"/>
      <c r="N224" s="8"/>
    </row>
    <row r="225" spans="1:14">
      <c r="A225" s="39"/>
      <c r="B225" s="7" t="s">
        <v>30</v>
      </c>
      <c r="C225" s="128">
        <f>SUM(D225:N225)</f>
        <v>2396313.333333333</v>
      </c>
      <c r="D225" s="177">
        <v>0</v>
      </c>
      <c r="E225" s="19">
        <f>(('C5 RHSC DCN Comp'!$D84)*0.25)*'C5 RHSC DCN Comp'!$D89*'Calcs - Scen 3'!$D224</f>
        <v>0</v>
      </c>
      <c r="F225" s="516">
        <f>'C6 NPD Saved Proc Time'!L$79*'C6 NPD Saved Proc Time'!$D82*'Calcs - Scen 3'!$D224</f>
        <v>0</v>
      </c>
      <c r="G225" s="516">
        <f>'C6 NPD Saved Proc Time'!M$79*'C6 NPD Saved Proc Time'!$D82*'Calcs - Scen 3'!$D224</f>
        <v>0</v>
      </c>
      <c r="H225" s="516">
        <f>'C6 NPD Saved Proc Time'!N$79*'C6 NPD Saved Proc Time'!$D82*'Calcs - Scen 3'!$D224</f>
        <v>0</v>
      </c>
      <c r="I225" s="516">
        <f>'C7 NPD Optimal Risk Transfer'!R$42*'C7 NPD Optimal Risk Transfer'!$D75*'Calcs - Scen 3'!$D224</f>
        <v>121763.88888888888</v>
      </c>
      <c r="J225" s="516">
        <f>'C7 NPD Optimal Risk Transfer'!S$42*'C7 NPD Optimal Risk Transfer'!$D75*'Calcs - Scen 3'!$D224</f>
        <v>326327.22222222225</v>
      </c>
      <c r="K225" s="516">
        <f>'C7 NPD Optimal Risk Transfer'!T$42*'C7 NPD Optimal Risk Transfer'!$D75*'Calcs - Scen 3'!$D224</f>
        <v>487055.5555555555</v>
      </c>
      <c r="L225" s="516">
        <f>'C7 NPD Optimal Risk Transfer'!U$42*'C7 NPD Optimal Risk Transfer'!$D75*'Calcs - Scen 3'!$D224</f>
        <v>487055.5555555555</v>
      </c>
      <c r="M225" s="516">
        <f>'C7 NPD Optimal Risk Transfer'!V$42*'C7 NPD Optimal Risk Transfer'!$D75*'Calcs - Scen 3'!$D224</f>
        <v>487055.5555555555</v>
      </c>
      <c r="N225" s="516">
        <f>'C7 NPD Optimal Risk Transfer'!W$42*'C7 NPD Optimal Risk Transfer'!$D75*'Calcs - Scen 3'!$D224</f>
        <v>487055.5555555555</v>
      </c>
    </row>
    <row r="226" spans="1:14">
      <c r="A226" s="39"/>
      <c r="B226" s="7" t="s">
        <v>31</v>
      </c>
      <c r="C226" s="129">
        <f>NPV($C$7,F225:N225)+D225+E225</f>
        <v>1887153.5952851269</v>
      </c>
      <c r="D226" s="7"/>
      <c r="E226" s="8"/>
      <c r="F226" s="8"/>
      <c r="G226" s="8"/>
      <c r="H226" s="8"/>
      <c r="I226" s="8"/>
      <c r="J226" s="8"/>
      <c r="K226" s="8"/>
      <c r="L226" s="8"/>
      <c r="M226" s="8"/>
      <c r="N226" s="8"/>
    </row>
    <row r="227" spans="1:14">
      <c r="A227" s="39"/>
      <c r="B227" s="7" t="s">
        <v>4</v>
      </c>
      <c r="C227" s="130" t="str">
        <f>IF(SUM(D227:N227)&gt;1,"CHECK"," ")</f>
        <v xml:space="preserve"> </v>
      </c>
      <c r="D227" s="178">
        <v>0</v>
      </c>
      <c r="E227" s="15">
        <v>0.33</v>
      </c>
      <c r="F227" s="15">
        <v>0.67</v>
      </c>
      <c r="G227" s="15"/>
      <c r="H227" s="15"/>
      <c r="I227" s="15"/>
      <c r="J227" s="15"/>
      <c r="K227" s="15"/>
      <c r="L227" s="15"/>
      <c r="M227" s="15"/>
      <c r="N227" s="15"/>
    </row>
    <row r="228" spans="1:14" ht="15.75" thickBot="1">
      <c r="A228" s="39"/>
      <c r="B228" s="11"/>
      <c r="C228" s="539"/>
      <c r="D228" s="179">
        <f t="shared" ref="D228:N228" si="33">IF(D227&gt;0,(D227*$C226),0)</f>
        <v>0</v>
      </c>
      <c r="E228" s="20">
        <f t="shared" si="33"/>
        <v>622760.68644409196</v>
      </c>
      <c r="F228" s="20">
        <f t="shared" si="33"/>
        <v>1264392.9088410351</v>
      </c>
      <c r="G228" s="20">
        <f t="shared" si="33"/>
        <v>0</v>
      </c>
      <c r="H228" s="20">
        <f t="shared" si="33"/>
        <v>0</v>
      </c>
      <c r="I228" s="20">
        <f t="shared" si="33"/>
        <v>0</v>
      </c>
      <c r="J228" s="20">
        <f t="shared" si="33"/>
        <v>0</v>
      </c>
      <c r="K228" s="20">
        <f t="shared" si="33"/>
        <v>0</v>
      </c>
      <c r="L228" s="20">
        <f t="shared" si="33"/>
        <v>0</v>
      </c>
      <c r="M228" s="20">
        <f t="shared" si="33"/>
        <v>0</v>
      </c>
      <c r="N228" s="20">
        <f t="shared" si="33"/>
        <v>0</v>
      </c>
    </row>
    <row r="229" spans="1:14" ht="15.75" thickBot="1">
      <c r="A229" s="39"/>
      <c r="B229" s="7"/>
      <c r="C229" s="10"/>
      <c r="D229" s="221"/>
      <c r="E229" s="172"/>
      <c r="F229" s="172"/>
      <c r="G229" s="172"/>
      <c r="H229" s="172"/>
      <c r="I229" s="172"/>
      <c r="J229" s="172"/>
      <c r="K229" s="172"/>
      <c r="L229" s="172"/>
      <c r="M229" s="172"/>
      <c r="N229" s="172"/>
    </row>
    <row r="230" spans="1:14">
      <c r="A230" s="39"/>
      <c r="B230" s="4" t="s">
        <v>12</v>
      </c>
      <c r="C230" s="133" t="str">
        <f>Summary!B46</f>
        <v>C8</v>
      </c>
      <c r="D230" s="156" t="str">
        <f>Summary!C46</f>
        <v>NPD Programme - Reduced Cost of Capital</v>
      </c>
      <c r="E230" s="5"/>
      <c r="F230" s="5"/>
      <c r="G230" s="5"/>
      <c r="H230" s="5"/>
      <c r="I230" s="5"/>
      <c r="J230" s="5"/>
      <c r="K230" s="5"/>
      <c r="L230" s="5"/>
      <c r="M230" s="5"/>
      <c r="N230" s="5"/>
    </row>
    <row r="231" spans="1:14">
      <c r="A231" s="39"/>
      <c r="B231" s="7" t="s">
        <v>189</v>
      </c>
      <c r="C231" s="134" t="str">
        <f>'C8 Reduced Cost of Capital'!D47</f>
        <v>D - Moderate</v>
      </c>
      <c r="D231" s="176">
        <f>VLOOKUP(C231,'Confidence Factors'!$B$6:$D$9,3)-M3</f>
        <v>0.35000000000000003</v>
      </c>
      <c r="E231" s="8"/>
      <c r="F231" s="8"/>
      <c r="G231" s="8"/>
      <c r="H231" s="8"/>
      <c r="I231" s="8"/>
      <c r="J231" s="8"/>
      <c r="K231" s="8"/>
      <c r="L231" s="8"/>
      <c r="M231" s="8"/>
      <c r="N231" s="8"/>
    </row>
    <row r="232" spans="1:14">
      <c r="A232" s="39"/>
      <c r="B232" s="7" t="s">
        <v>30</v>
      </c>
      <c r="C232" s="128">
        <f>SUM(D232:N232)</f>
        <v>2301250.0000000005</v>
      </c>
      <c r="D232" s="177">
        <v>0</v>
      </c>
      <c r="E232" s="19">
        <f>(('C5 RHSC DCN Comp'!$D91)*0.25)*'C5 RHSC DCN Comp'!$D96*'Calcs - Scen 3'!$D231</f>
        <v>0</v>
      </c>
      <c r="F232" s="516">
        <f>'C6 NPD Saved Proc Time'!L$79*'C6 NPD Saved Proc Time'!$D89*'Calcs - Scen 3'!$D231</f>
        <v>0</v>
      </c>
      <c r="G232" s="516">
        <f>'C6 NPD Saved Proc Time'!M$79*'C6 NPD Saved Proc Time'!$D89*'Calcs - Scen 3'!$D231</f>
        <v>0</v>
      </c>
      <c r="H232" s="516">
        <f>'C6 NPD Saved Proc Time'!N$79*'C6 NPD Saved Proc Time'!$D89*'Calcs - Scen 3'!$D231</f>
        <v>0</v>
      </c>
      <c r="I232" s="516">
        <f>'C7 NPD Optimal Risk Transfer'!R$42*'C7 NPD Optimal Risk Transfer'!$D82*'Calcs - Scen 3'!$D231</f>
        <v>0</v>
      </c>
      <c r="J232" s="516">
        <f>'C7 NPD Optimal Risk Transfer'!S$42*'C7 NPD Optimal Risk Transfer'!$D82*'Calcs - Scen 3'!$D231</f>
        <v>0</v>
      </c>
      <c r="K232" s="516">
        <f>(('C8 Reduced Cost of Capital'!R74)*1000)*'C8 Reduced Cost of Capital'!D75*'Calcs - Scen 3'!D231</f>
        <v>280000</v>
      </c>
      <c r="L232" s="516">
        <f>(('C8 Reduced Cost of Capital'!$S74)*1000)*'C8 Reduced Cost of Capital'!$D75*'Calcs - Scen 3'!$D231</f>
        <v>673750.00000000012</v>
      </c>
      <c r="M232" s="516">
        <f>(('C8 Reduced Cost of Capital'!$S74)*1000)*'C8 Reduced Cost of Capital'!$D75*'Calcs - Scen 3'!$D231</f>
        <v>673750.00000000012</v>
      </c>
      <c r="N232" s="516">
        <f>(('C8 Reduced Cost of Capital'!$S74)*1000)*'C8 Reduced Cost of Capital'!$D75*'Calcs - Scen 3'!$D231</f>
        <v>673750.00000000012</v>
      </c>
    </row>
    <row r="233" spans="1:14">
      <c r="A233" s="39"/>
      <c r="B233" s="7" t="s">
        <v>31</v>
      </c>
      <c r="C233" s="129">
        <f>NPV($C$7,F232:N232)+D232+E232</f>
        <v>1763346.3686803456</v>
      </c>
      <c r="D233" s="7"/>
      <c r="E233" s="8"/>
      <c r="F233" s="8"/>
      <c r="G233" s="8"/>
      <c r="H233" s="8"/>
      <c r="I233" s="8"/>
      <c r="J233" s="8"/>
      <c r="K233" s="8"/>
      <c r="L233" s="8"/>
      <c r="M233" s="8"/>
      <c r="N233" s="8"/>
    </row>
    <row r="234" spans="1:14">
      <c r="A234" s="39"/>
      <c r="B234" s="7" t="s">
        <v>4</v>
      </c>
      <c r="C234" s="130" t="str">
        <f>IF(SUM(D234:N234)&gt;1,"CHECK"," ")</f>
        <v xml:space="preserve"> </v>
      </c>
      <c r="D234" s="178">
        <v>0</v>
      </c>
      <c r="E234" s="15">
        <v>0.2</v>
      </c>
      <c r="F234" s="15">
        <v>0.4</v>
      </c>
      <c r="G234" s="15">
        <v>0.4</v>
      </c>
      <c r="H234" s="15"/>
      <c r="I234" s="15"/>
      <c r="J234" s="15"/>
      <c r="K234" s="15"/>
      <c r="L234" s="15"/>
      <c r="M234" s="15"/>
      <c r="N234" s="15"/>
    </row>
    <row r="235" spans="1:14" ht="15.75" thickBot="1">
      <c r="A235" s="39"/>
      <c r="B235" s="11"/>
      <c r="C235" s="539"/>
      <c r="D235" s="179">
        <f t="shared" ref="D235:N235" si="34">IF(D234&gt;0,(D234*$C233),0)</f>
        <v>0</v>
      </c>
      <c r="E235" s="20">
        <f t="shared" si="34"/>
        <v>352669.27373606915</v>
      </c>
      <c r="F235" s="20">
        <f t="shared" si="34"/>
        <v>705338.54747213831</v>
      </c>
      <c r="G235" s="20">
        <f t="shared" si="34"/>
        <v>705338.54747213831</v>
      </c>
      <c r="H235" s="20">
        <f t="shared" si="34"/>
        <v>0</v>
      </c>
      <c r="I235" s="20">
        <f t="shared" si="34"/>
        <v>0</v>
      </c>
      <c r="J235" s="20">
        <f t="shared" si="34"/>
        <v>0</v>
      </c>
      <c r="K235" s="20">
        <f t="shared" si="34"/>
        <v>0</v>
      </c>
      <c r="L235" s="20">
        <f t="shared" si="34"/>
        <v>0</v>
      </c>
      <c r="M235" s="20">
        <f t="shared" si="34"/>
        <v>0</v>
      </c>
      <c r="N235" s="20">
        <f t="shared" si="34"/>
        <v>0</v>
      </c>
    </row>
    <row r="236" spans="1:14" ht="15.75" thickBot="1">
      <c r="A236" s="39"/>
      <c r="B236" s="7"/>
      <c r="C236" s="10"/>
      <c r="D236" s="221"/>
      <c r="E236" s="172"/>
      <c r="F236" s="172"/>
      <c r="G236" s="172"/>
      <c r="H236" s="172"/>
      <c r="I236" s="172"/>
      <c r="J236" s="172"/>
      <c r="K236" s="172"/>
      <c r="L236" s="172"/>
      <c r="M236" s="172"/>
      <c r="N236" s="172"/>
    </row>
    <row r="237" spans="1:14">
      <c r="A237" s="39"/>
      <c r="B237" s="4" t="s">
        <v>12</v>
      </c>
      <c r="C237" s="133" t="str">
        <f>Summary!B47</f>
        <v>C9</v>
      </c>
      <c r="D237" s="156" t="str">
        <f>Summary!C47</f>
        <v>hub - Return on Working capital investment</v>
      </c>
      <c r="E237" s="5"/>
      <c r="F237" s="5"/>
      <c r="G237" s="5"/>
      <c r="H237" s="5"/>
      <c r="I237" s="5"/>
      <c r="J237" s="5"/>
      <c r="K237" s="5"/>
      <c r="L237" s="5"/>
      <c r="M237" s="5"/>
      <c r="N237" s="5"/>
    </row>
    <row r="238" spans="1:14">
      <c r="A238" s="39"/>
      <c r="B238" s="7" t="s">
        <v>189</v>
      </c>
      <c r="C238" s="134" t="str">
        <f>'C9 hub Return on Workg Cap Inv'!D47</f>
        <v>B - Very Good</v>
      </c>
      <c r="D238" s="176">
        <f>VLOOKUP(C238,'Confidence Factors'!$B$6:$D$9,3)-M3</f>
        <v>0.7</v>
      </c>
      <c r="E238" s="8"/>
      <c r="F238" s="8"/>
      <c r="G238" s="8"/>
      <c r="H238" s="8"/>
      <c r="I238" s="8"/>
      <c r="J238" s="8"/>
      <c r="K238" s="8"/>
      <c r="L238" s="8"/>
      <c r="M238" s="8"/>
      <c r="N238" s="8"/>
    </row>
    <row r="239" spans="1:14">
      <c r="A239" s="39"/>
      <c r="B239" s="7" t="s">
        <v>30</v>
      </c>
      <c r="C239" s="128">
        <f>SUM(D239:N239)</f>
        <v>13299.999999999998</v>
      </c>
      <c r="D239" s="177">
        <v>0</v>
      </c>
      <c r="E239" s="19">
        <f>'C9 hub Return on Workg Cap Inv'!I$73*'C9 hub Return on Workg Cap Inv'!$D75*'Calcs - Scen 3'!$D238</f>
        <v>2216.6666666666665</v>
      </c>
      <c r="F239" s="19">
        <f>'C9 hub Return on Workg Cap Inv'!J$73*'C9 hub Return on Workg Cap Inv'!$D75*'Calcs - Scen 3'!$D238</f>
        <v>2216.6666666666665</v>
      </c>
      <c r="G239" s="19">
        <f>'C9 hub Return on Workg Cap Inv'!K$73*'C9 hub Return on Workg Cap Inv'!$D75*'Calcs - Scen 3'!$D238</f>
        <v>2216.6666666666665</v>
      </c>
      <c r="H239" s="19">
        <f>'C9 hub Return on Workg Cap Inv'!L$73*'C9 hub Return on Workg Cap Inv'!$D75*'Calcs - Scen 3'!$D238</f>
        <v>2216.6666666666665</v>
      </c>
      <c r="I239" s="19">
        <f>'C9 hub Return on Workg Cap Inv'!M$73*'C9 hub Return on Workg Cap Inv'!$D75*'Calcs - Scen 3'!$D238</f>
        <v>2216.6666666666665</v>
      </c>
      <c r="J239" s="19">
        <f>'C9 hub Return on Workg Cap Inv'!N$73*'C9 hub Return on Workg Cap Inv'!$D75*'Calcs - Scen 3'!$D238</f>
        <v>2216.6666666666665</v>
      </c>
      <c r="K239" s="19">
        <f>'C9 hub Return on Workg Cap Inv'!O$73*'C9 hub Return on Workg Cap Inv'!$D75*'Calcs - Scen 3'!$D238</f>
        <v>0</v>
      </c>
      <c r="L239" s="19">
        <f>'C9 hub Return on Workg Cap Inv'!P$73*'C9 hub Return on Workg Cap Inv'!$D75*'Calcs - Scen 3'!$D238</f>
        <v>0</v>
      </c>
      <c r="M239" s="19">
        <f>'C9 hub Return on Workg Cap Inv'!Q$73*'C9 hub Return on Workg Cap Inv'!$D75*'Calcs - Scen 3'!$D238</f>
        <v>0</v>
      </c>
      <c r="N239" s="19">
        <f>'C9 hub Return on Workg Cap Inv'!R$73*'C9 hub Return on Workg Cap Inv'!$D75*'Calcs - Scen 3'!$D238</f>
        <v>0</v>
      </c>
    </row>
    <row r="240" spans="1:14">
      <c r="A240" s="39"/>
      <c r="B240" s="7" t="s">
        <v>31</v>
      </c>
      <c r="C240" s="129">
        <f>NPV($C$7,F239:N239)+D239+E239</f>
        <v>12225.032765626825</v>
      </c>
      <c r="D240" s="7"/>
      <c r="E240" s="8"/>
      <c r="F240" s="8"/>
      <c r="G240" s="8"/>
      <c r="H240" s="8"/>
      <c r="I240" s="8"/>
      <c r="J240" s="8"/>
      <c r="K240" s="8"/>
      <c r="L240" s="8"/>
      <c r="M240" s="8"/>
      <c r="N240" s="8"/>
    </row>
    <row r="241" spans="1:14">
      <c r="A241" s="39"/>
      <c r="B241" s="7" t="s">
        <v>4</v>
      </c>
      <c r="C241" s="130" t="str">
        <f>IF(SUM(D241:N241)&gt;1,"CHECK"," ")</f>
        <v xml:space="preserve"> </v>
      </c>
      <c r="D241" s="178">
        <v>0.5</v>
      </c>
      <c r="E241" s="15">
        <v>0.5</v>
      </c>
      <c r="F241" s="15">
        <v>0</v>
      </c>
      <c r="G241" s="15">
        <v>0</v>
      </c>
      <c r="H241" s="15"/>
      <c r="I241" s="15"/>
      <c r="J241" s="15"/>
      <c r="K241" s="15"/>
      <c r="L241" s="15"/>
      <c r="M241" s="15"/>
      <c r="N241" s="15"/>
    </row>
    <row r="242" spans="1:14" ht="15.75" thickBot="1">
      <c r="A242" s="39"/>
      <c r="B242" s="11"/>
      <c r="C242" s="539"/>
      <c r="D242" s="179">
        <f t="shared" ref="D242:N242" si="35">IF(D241&gt;0,(D241*$C240),0)</f>
        <v>6112.5163828134127</v>
      </c>
      <c r="E242" s="20">
        <f t="shared" si="35"/>
        <v>6112.5163828134127</v>
      </c>
      <c r="F242" s="20">
        <f t="shared" si="35"/>
        <v>0</v>
      </c>
      <c r="G242" s="20">
        <f t="shared" si="35"/>
        <v>0</v>
      </c>
      <c r="H242" s="20">
        <f t="shared" si="35"/>
        <v>0</v>
      </c>
      <c r="I242" s="20">
        <f t="shared" si="35"/>
        <v>0</v>
      </c>
      <c r="J242" s="20">
        <f t="shared" si="35"/>
        <v>0</v>
      </c>
      <c r="K242" s="20">
        <f t="shared" si="35"/>
        <v>0</v>
      </c>
      <c r="L242" s="20">
        <f t="shared" si="35"/>
        <v>0</v>
      </c>
      <c r="M242" s="20">
        <f t="shared" si="35"/>
        <v>0</v>
      </c>
      <c r="N242" s="20">
        <f t="shared" si="35"/>
        <v>0</v>
      </c>
    </row>
    <row r="243" spans="1:14" ht="15.75" thickBot="1">
      <c r="A243" s="39"/>
      <c r="B243" s="7"/>
      <c r="C243" s="10"/>
      <c r="D243" s="221"/>
      <c r="E243" s="172"/>
      <c r="F243" s="172"/>
      <c r="G243" s="172"/>
      <c r="H243" s="172"/>
      <c r="I243" s="172"/>
      <c r="J243" s="172"/>
      <c r="K243" s="172"/>
      <c r="L243" s="172"/>
      <c r="M243" s="172"/>
      <c r="N243" s="172"/>
    </row>
    <row r="244" spans="1:14">
      <c r="A244" s="39"/>
      <c r="B244" s="4" t="s">
        <v>12</v>
      </c>
      <c r="C244" s="133" t="str">
        <f>Summary!B48</f>
        <v>D1</v>
      </c>
      <c r="D244" s="156" t="str">
        <f>Summary!C48</f>
        <v>Hub Programme - Reduced Procurement Time</v>
      </c>
      <c r="E244" s="5"/>
      <c r="F244" s="5"/>
      <c r="G244" s="5"/>
      <c r="H244" s="5"/>
      <c r="I244" s="5"/>
      <c r="J244" s="5"/>
      <c r="K244" s="5"/>
      <c r="L244" s="5"/>
      <c r="M244" s="5"/>
      <c r="N244" s="5"/>
    </row>
    <row r="245" spans="1:14">
      <c r="A245" s="39"/>
      <c r="B245" s="7" t="s">
        <v>189</v>
      </c>
      <c r="C245" s="134" t="str">
        <f>'D1 hub Reduced Proc Time'!D47</f>
        <v>B - Very Good</v>
      </c>
      <c r="D245" s="176">
        <f>VLOOKUP(C245,'Confidence Factors'!$B$6:$D$9,3)-M3</f>
        <v>0.7</v>
      </c>
      <c r="E245" s="8"/>
      <c r="F245" s="8"/>
      <c r="G245" s="8"/>
      <c r="H245" s="8"/>
      <c r="I245" s="8"/>
      <c r="J245" s="8"/>
      <c r="K245" s="8"/>
      <c r="L245" s="8"/>
      <c r="M245" s="8"/>
      <c r="N245" s="8"/>
    </row>
    <row r="246" spans="1:14">
      <c r="A246" s="39"/>
      <c r="B246" s="7" t="s">
        <v>30</v>
      </c>
      <c r="C246" s="128">
        <f>SUM(F246:N246)</f>
        <v>5190033.333333334</v>
      </c>
      <c r="D246" s="124">
        <f>'D1-D5 hub Benefit Summary'!E8*1000000*$D$245</f>
        <v>0</v>
      </c>
      <c r="E246" s="124">
        <f>'D1-D5 hub Benefit Summary'!F8*1000000*$D$245</f>
        <v>0</v>
      </c>
      <c r="F246" s="124">
        <f>'D1-D5 hub Benefit Summary'!G8*1000000*$D$245</f>
        <v>461999.99999999994</v>
      </c>
      <c r="G246" s="124">
        <f>'D1-D5 hub Benefit Summary'!H8*1000000*$D$245</f>
        <v>599899.99999999988</v>
      </c>
      <c r="H246" s="124">
        <f>'D1-D5 hub Benefit Summary'!I8*1000000*$D$245</f>
        <v>413495.83333333331</v>
      </c>
      <c r="I246" s="124">
        <f>'D1-D5 hub Benefit Summary'!J8*1000000*$D$245</f>
        <v>512720.83333333343</v>
      </c>
      <c r="J246" s="124">
        <f>'D1-D5 hub Benefit Summary'!K8*1000000*$D$245</f>
        <v>555275</v>
      </c>
      <c r="K246" s="124">
        <f>'D1-D5 hub Benefit Summary'!L8*1000000*$D$245</f>
        <v>597829.16666666674</v>
      </c>
      <c r="L246" s="124">
        <f>'D1-D5 hub Benefit Summary'!M8*1000000*$D$245</f>
        <v>640383.33333333337</v>
      </c>
      <c r="M246" s="124">
        <f>'D1-D5 hub Benefit Summary'!N8*1000000*$D$245</f>
        <v>682937.50000000012</v>
      </c>
      <c r="N246" s="124">
        <f>'D1-D5 hub Benefit Summary'!O8*1000000*$D$245</f>
        <v>725491.66666666663</v>
      </c>
    </row>
    <row r="247" spans="1:14">
      <c r="A247" s="39"/>
      <c r="B247" s="7" t="s">
        <v>31</v>
      </c>
      <c r="C247" s="129">
        <f>NPV($C$7,F246:N246)+D246+E246</f>
        <v>4334288.9260720694</v>
      </c>
      <c r="D247" s="7"/>
      <c r="E247" s="8"/>
      <c r="F247" s="8"/>
      <c r="G247" s="8"/>
      <c r="H247" s="8"/>
      <c r="I247" s="8"/>
      <c r="J247" s="8"/>
      <c r="K247" s="8"/>
      <c r="L247" s="8"/>
      <c r="M247" s="8"/>
      <c r="N247" s="8"/>
    </row>
    <row r="248" spans="1:14">
      <c r="A248" s="39"/>
      <c r="B248" s="7" t="s">
        <v>4</v>
      </c>
      <c r="C248" s="130" t="str">
        <f>IF(SUM(D248:N248)&gt;1,"CHECK"," ")</f>
        <v xml:space="preserve"> </v>
      </c>
      <c r="D248" s="178">
        <f>'D1-D5 hub Benefit Summary'!E22</f>
        <v>0.4</v>
      </c>
      <c r="E248" s="15">
        <f>'D1-D5 hub Benefit Summary'!F22</f>
        <v>0.3</v>
      </c>
      <c r="F248" s="15">
        <f>'D1-D5 hub Benefit Summary'!G22</f>
        <v>0.2</v>
      </c>
      <c r="G248" s="15">
        <f>'D1-D5 hub Benefit Summary'!H22</f>
        <v>0.1</v>
      </c>
      <c r="H248" s="15">
        <f>'D1-D5 hub Benefit Summary'!I22</f>
        <v>0</v>
      </c>
      <c r="I248" s="15"/>
      <c r="J248" s="15"/>
      <c r="K248" s="15"/>
      <c r="L248" s="15"/>
      <c r="M248" s="15"/>
      <c r="N248" s="15"/>
    </row>
    <row r="249" spans="1:14" ht="15.75" thickBot="1">
      <c r="A249" s="39"/>
      <c r="B249" s="11" t="s">
        <v>32</v>
      </c>
      <c r="C249" s="51"/>
      <c r="D249" s="179">
        <f t="shared" ref="D249:N249" si="36">IF(D248&gt;0,(D248*$C247),0)</f>
        <v>1733715.5704288278</v>
      </c>
      <c r="E249" s="20">
        <f t="shared" si="36"/>
        <v>1300286.6778216208</v>
      </c>
      <c r="F249" s="20">
        <f t="shared" si="36"/>
        <v>866857.78521441389</v>
      </c>
      <c r="G249" s="20">
        <f t="shared" si="36"/>
        <v>433428.89260720694</v>
      </c>
      <c r="H249" s="20">
        <f t="shared" si="36"/>
        <v>0</v>
      </c>
      <c r="I249" s="20">
        <f t="shared" si="36"/>
        <v>0</v>
      </c>
      <c r="J249" s="20">
        <f t="shared" si="36"/>
        <v>0</v>
      </c>
      <c r="K249" s="20">
        <f t="shared" si="36"/>
        <v>0</v>
      </c>
      <c r="L249" s="20">
        <f t="shared" si="36"/>
        <v>0</v>
      </c>
      <c r="M249" s="20">
        <f t="shared" si="36"/>
        <v>0</v>
      </c>
      <c r="N249" s="20">
        <f t="shared" si="36"/>
        <v>0</v>
      </c>
    </row>
    <row r="250" spans="1:14" ht="15.75" thickBot="1">
      <c r="A250" s="39"/>
      <c r="B250" s="7"/>
      <c r="C250" s="10"/>
      <c r="D250" s="221"/>
      <c r="E250" s="172"/>
      <c r="F250" s="172"/>
      <c r="G250" s="172"/>
      <c r="H250" s="172"/>
      <c r="I250" s="172"/>
      <c r="J250" s="172"/>
      <c r="K250" s="172"/>
      <c r="L250" s="172"/>
      <c r="M250" s="172"/>
      <c r="N250" s="172"/>
    </row>
    <row r="251" spans="1:14">
      <c r="A251" s="39"/>
      <c r="B251" s="4" t="s">
        <v>12</v>
      </c>
      <c r="C251" s="133" t="str">
        <f>Summary!B49</f>
        <v>D2</v>
      </c>
      <c r="D251" s="156" t="str">
        <f>Summary!C49</f>
        <v>Hub Programme - Capital Costs Continuous Improvement</v>
      </c>
      <c r="E251" s="5"/>
      <c r="F251" s="5"/>
      <c r="G251" s="5"/>
      <c r="H251" s="5"/>
      <c r="I251" s="5"/>
      <c r="J251" s="5"/>
      <c r="K251" s="5"/>
      <c r="L251" s="5"/>
      <c r="M251" s="5"/>
      <c r="N251" s="5"/>
    </row>
    <row r="252" spans="1:14">
      <c r="A252" s="39"/>
      <c r="B252" s="7" t="s">
        <v>189</v>
      </c>
      <c r="C252" s="134" t="str">
        <f>'D2 hub Cont Improvement'!D47</f>
        <v>C - Good</v>
      </c>
      <c r="D252" s="176">
        <f>VLOOKUP(C252,'Confidence Factors'!$B$6:$D$9,3)-M3</f>
        <v>0.55000000000000004</v>
      </c>
      <c r="E252" s="8"/>
      <c r="F252" s="8"/>
      <c r="G252" s="8"/>
      <c r="H252" s="8"/>
      <c r="I252" s="8"/>
      <c r="J252" s="8"/>
      <c r="K252" s="8"/>
      <c r="L252" s="8"/>
      <c r="M252" s="8"/>
      <c r="N252" s="8"/>
    </row>
    <row r="253" spans="1:14">
      <c r="A253" s="39"/>
      <c r="B253" s="7" t="s">
        <v>30</v>
      </c>
      <c r="C253" s="128">
        <f>SUM(D253:N253)</f>
        <v>5513705.3125000009</v>
      </c>
      <c r="D253" s="177">
        <f>'D1-D5 hub Benefit Summary'!E10*1000000*$D$252</f>
        <v>0</v>
      </c>
      <c r="E253" s="19">
        <f>'D1-D5 hub Benefit Summary'!F10*1000000*$D$252</f>
        <v>0</v>
      </c>
      <c r="F253" s="19">
        <f>'D1-D5 hub Benefit Summary'!G10*1000000*$D$252</f>
        <v>0</v>
      </c>
      <c r="G253" s="19">
        <f>'D1-D5 hub Benefit Summary'!H10*1000000*$D$252</f>
        <v>114125.00000000003</v>
      </c>
      <c r="H253" s="19">
        <f>'D1-D5 hub Benefit Summary'!I10*1000000*$D$252</f>
        <v>229625.00000000006</v>
      </c>
      <c r="I253" s="19">
        <f>'D1-D5 hub Benefit Summary'!J10*1000000*$D$252</f>
        <v>392260.00000000006</v>
      </c>
      <c r="J253" s="19">
        <f>'D1-D5 hub Benefit Summary'!K10*1000000*$D$252</f>
        <v>559958.4375</v>
      </c>
      <c r="K253" s="19">
        <f>'D1-D5 hub Benefit Summary'!L10*1000000*$D$252</f>
        <v>742702.81250000023</v>
      </c>
      <c r="L253" s="19">
        <f>'D1-D5 hub Benefit Summary'!M10*1000000*$D$252</f>
        <v>940493.12500000012</v>
      </c>
      <c r="M253" s="19">
        <f>'D1-D5 hub Benefit Summary'!N10*1000000*$D$252</f>
        <v>1153329.3750000005</v>
      </c>
      <c r="N253" s="19">
        <f>'D1-D5 hub Benefit Summary'!O10*1000000*$D$252</f>
        <v>1381211.5625</v>
      </c>
    </row>
    <row r="254" spans="1:14">
      <c r="A254" s="39"/>
      <c r="B254" s="7" t="s">
        <v>31</v>
      </c>
      <c r="C254" s="129">
        <f>NPV($C$7,F253:ANN253)+D253+E253</f>
        <v>4359645.0790209388</v>
      </c>
      <c r="D254" s="7"/>
      <c r="E254" s="8"/>
      <c r="F254" s="8"/>
      <c r="G254" s="8"/>
      <c r="H254" s="8"/>
      <c r="I254" s="8"/>
      <c r="J254" s="8"/>
      <c r="K254" s="8"/>
      <c r="L254" s="8"/>
      <c r="M254" s="8"/>
      <c r="N254" s="8"/>
    </row>
    <row r="255" spans="1:14">
      <c r="A255" s="39"/>
      <c r="B255" s="7" t="s">
        <v>4</v>
      </c>
      <c r="C255" s="130" t="str">
        <f>IF(SUM(D255:N255)&gt;1,"CHECK"," ")</f>
        <v xml:space="preserve"> </v>
      </c>
      <c r="D255" s="178">
        <f>'D1-D5 hub Benefit Summary'!E22</f>
        <v>0.4</v>
      </c>
      <c r="E255" s="15">
        <f>'D1-D5 hub Benefit Summary'!F22</f>
        <v>0.3</v>
      </c>
      <c r="F255" s="15">
        <f>'D1-D5 hub Benefit Summary'!G22</f>
        <v>0.2</v>
      </c>
      <c r="G255" s="15">
        <f>'D1-D5 hub Benefit Summary'!H22</f>
        <v>0.1</v>
      </c>
      <c r="H255" s="15">
        <f>'D1-D5 hub Benefit Summary'!I22</f>
        <v>0</v>
      </c>
      <c r="I255" s="15"/>
      <c r="J255" s="15"/>
      <c r="K255" s="15"/>
      <c r="L255" s="15"/>
      <c r="M255" s="15"/>
      <c r="N255" s="15"/>
    </row>
    <row r="256" spans="1:14" ht="15.75" thickBot="1">
      <c r="A256" s="39"/>
      <c r="B256" s="11" t="s">
        <v>32</v>
      </c>
      <c r="C256" s="51"/>
      <c r="D256" s="179">
        <f t="shared" ref="D256:N256" si="37">IF(D255&gt;0,(D255*$C254),0)</f>
        <v>1743858.0316083757</v>
      </c>
      <c r="E256" s="20">
        <f t="shared" si="37"/>
        <v>1307893.5237062816</v>
      </c>
      <c r="F256" s="20">
        <f t="shared" si="37"/>
        <v>871929.01580418786</v>
      </c>
      <c r="G256" s="20">
        <f t="shared" si="37"/>
        <v>435964.50790209393</v>
      </c>
      <c r="H256" s="20">
        <f t="shared" si="37"/>
        <v>0</v>
      </c>
      <c r="I256" s="20">
        <f t="shared" si="37"/>
        <v>0</v>
      </c>
      <c r="J256" s="20">
        <f t="shared" si="37"/>
        <v>0</v>
      </c>
      <c r="K256" s="20">
        <f t="shared" si="37"/>
        <v>0</v>
      </c>
      <c r="L256" s="20">
        <f t="shared" si="37"/>
        <v>0</v>
      </c>
      <c r="M256" s="20">
        <f t="shared" si="37"/>
        <v>0</v>
      </c>
      <c r="N256" s="20">
        <f t="shared" si="37"/>
        <v>0</v>
      </c>
    </row>
    <row r="257" spans="1:14" ht="15.75" thickBot="1">
      <c r="A257" s="39"/>
      <c r="B257" s="7"/>
      <c r="C257" s="10"/>
      <c r="D257" s="221"/>
      <c r="E257" s="172"/>
      <c r="F257" s="172"/>
      <c r="G257" s="172"/>
      <c r="H257" s="172"/>
      <c r="I257" s="172"/>
      <c r="J257" s="172"/>
      <c r="K257" s="172"/>
      <c r="L257" s="172"/>
      <c r="M257" s="172"/>
      <c r="N257" s="172"/>
    </row>
    <row r="258" spans="1:14">
      <c r="A258" s="39"/>
      <c r="B258" s="4" t="s">
        <v>12</v>
      </c>
      <c r="C258" s="133" t="str">
        <f>Summary!B50</f>
        <v>D3</v>
      </c>
      <c r="D258" s="156" t="str">
        <f>Summary!C50</f>
        <v>Hub Programme - Bid Costs Savings</v>
      </c>
      <c r="E258" s="5"/>
      <c r="F258" s="5"/>
      <c r="G258" s="5"/>
      <c r="H258" s="5"/>
      <c r="I258" s="5"/>
      <c r="J258" s="5"/>
      <c r="K258" s="5"/>
      <c r="L258" s="5"/>
      <c r="M258" s="5"/>
      <c r="N258" s="5"/>
    </row>
    <row r="259" spans="1:14">
      <c r="A259" s="39"/>
      <c r="B259" s="7" t="s">
        <v>189</v>
      </c>
      <c r="C259" s="134" t="str">
        <f>'D3 hub Savings in Bid Costs'!D47</f>
        <v>B - Very Good</v>
      </c>
      <c r="D259" s="176">
        <f>VLOOKUP(C259,'Confidence Factors'!$B$6:$D$9,3)-M3</f>
        <v>0.7</v>
      </c>
      <c r="E259" s="8"/>
      <c r="F259" s="8"/>
      <c r="G259" s="8"/>
      <c r="H259" s="8"/>
      <c r="I259" s="8"/>
      <c r="J259" s="8"/>
      <c r="K259" s="8"/>
      <c r="L259" s="8"/>
      <c r="M259" s="8"/>
      <c r="N259" s="8"/>
    </row>
    <row r="260" spans="1:14">
      <c r="A260" s="39"/>
      <c r="B260" s="7" t="s">
        <v>30</v>
      </c>
      <c r="C260" s="128">
        <f>SUM(D260:N260)</f>
        <v>2510156.25</v>
      </c>
      <c r="D260" s="230">
        <f>'D1-D5 hub Benefit Summary'!E12*1000000*$D$259</f>
        <v>0</v>
      </c>
      <c r="E260" s="19">
        <f>'D1-D5 hub Benefit Summary'!F12*1000000*$D$259</f>
        <v>0</v>
      </c>
      <c r="F260" s="19">
        <f>'D1-D5 hub Benefit Summary'!G12*1000000*$D$259</f>
        <v>0</v>
      </c>
      <c r="G260" s="19">
        <f>'D1-D5 hub Benefit Summary'!H12*1000000*$D$259</f>
        <v>0</v>
      </c>
      <c r="H260" s="19">
        <f>'D1-D5 hub Benefit Summary'!I12*1000000*$D$259</f>
        <v>98437.5</v>
      </c>
      <c r="I260" s="19">
        <f>'D1-D5 hub Benefit Summary'!J12*1000000*$D$259</f>
        <v>196875</v>
      </c>
      <c r="J260" s="19">
        <f>'D1-D5 hub Benefit Summary'!K12*1000000*$D$259</f>
        <v>278906.25</v>
      </c>
      <c r="K260" s="19">
        <f>'D1-D5 hub Benefit Summary'!L12*1000000*$D$259</f>
        <v>360937.5</v>
      </c>
      <c r="L260" s="19">
        <f>'D1-D5 hub Benefit Summary'!M12*1000000*$D$259</f>
        <v>442968.75</v>
      </c>
      <c r="M260" s="19">
        <f>'D1-D5 hub Benefit Summary'!N12*1000000*$D$259</f>
        <v>525000</v>
      </c>
      <c r="N260" s="19">
        <f>'D1-D5 hub Benefit Summary'!O12*1000000*$D$259</f>
        <v>607031.25</v>
      </c>
    </row>
    <row r="261" spans="1:14">
      <c r="A261" s="39"/>
      <c r="B261" s="7" t="s">
        <v>31</v>
      </c>
      <c r="C261" s="129">
        <f>NPV($C$7,F260:N260)+D260+E260</f>
        <v>1981062.7706322363</v>
      </c>
      <c r="D261" s="7"/>
      <c r="E261" s="8"/>
      <c r="F261" s="8"/>
      <c r="G261" s="8"/>
      <c r="H261" s="8"/>
      <c r="I261" s="8"/>
      <c r="J261" s="8"/>
      <c r="K261" s="8"/>
      <c r="L261" s="8"/>
      <c r="M261" s="8"/>
      <c r="N261" s="8"/>
    </row>
    <row r="262" spans="1:14">
      <c r="A262" s="39"/>
      <c r="B262" s="7" t="s">
        <v>4</v>
      </c>
      <c r="C262" s="130" t="str">
        <f>IF(SUM(D262:N262)&gt;1,"CHECK"," ")</f>
        <v xml:space="preserve"> </v>
      </c>
      <c r="D262" s="178">
        <f>'D1-D5 hub Benefit Summary'!E22</f>
        <v>0.4</v>
      </c>
      <c r="E262" s="15">
        <f>'D1-D5 hub Benefit Summary'!F22</f>
        <v>0.3</v>
      </c>
      <c r="F262" s="15">
        <f>'D1-D5 hub Benefit Summary'!G22</f>
        <v>0.2</v>
      </c>
      <c r="G262" s="15">
        <f>'D1-D5 hub Benefit Summary'!H22</f>
        <v>0.1</v>
      </c>
      <c r="H262" s="15">
        <f>'D1-D5 hub Benefit Summary'!I22</f>
        <v>0</v>
      </c>
      <c r="I262" s="15"/>
      <c r="J262" s="15"/>
      <c r="K262" s="15"/>
      <c r="L262" s="15"/>
      <c r="M262" s="15"/>
      <c r="N262" s="15"/>
    </row>
    <row r="263" spans="1:14" ht="15.75" thickBot="1">
      <c r="A263" s="39"/>
      <c r="B263" s="11" t="s">
        <v>32</v>
      </c>
      <c r="C263" s="51"/>
      <c r="D263" s="179">
        <f t="shared" ref="D263:N263" si="38">IF(D262&gt;0,(D262*$C261),0)</f>
        <v>792425.1082528946</v>
      </c>
      <c r="E263" s="20">
        <f t="shared" si="38"/>
        <v>594318.83118967083</v>
      </c>
      <c r="F263" s="20">
        <f t="shared" si="38"/>
        <v>396212.5541264473</v>
      </c>
      <c r="G263" s="20">
        <f t="shared" si="38"/>
        <v>198106.27706322365</v>
      </c>
      <c r="H263" s="20">
        <f t="shared" si="38"/>
        <v>0</v>
      </c>
      <c r="I263" s="20">
        <f t="shared" si="38"/>
        <v>0</v>
      </c>
      <c r="J263" s="20">
        <f t="shared" si="38"/>
        <v>0</v>
      </c>
      <c r="K263" s="20">
        <f t="shared" si="38"/>
        <v>0</v>
      </c>
      <c r="L263" s="20">
        <f t="shared" si="38"/>
        <v>0</v>
      </c>
      <c r="M263" s="20">
        <f t="shared" si="38"/>
        <v>0</v>
      </c>
      <c r="N263" s="20">
        <f t="shared" si="38"/>
        <v>0</v>
      </c>
    </row>
    <row r="264" spans="1:14" ht="15.75" thickBot="1">
      <c r="A264" s="39"/>
      <c r="B264" s="7"/>
      <c r="C264" s="10"/>
      <c r="D264" s="221"/>
      <c r="E264" s="172"/>
      <c r="F264" s="172"/>
      <c r="G264" s="172"/>
      <c r="H264" s="172"/>
      <c r="I264" s="172"/>
      <c r="J264" s="172"/>
      <c r="K264" s="172"/>
      <c r="L264" s="172"/>
      <c r="M264" s="172"/>
      <c r="N264" s="172"/>
    </row>
    <row r="265" spans="1:14">
      <c r="A265" s="39"/>
      <c r="B265" s="4" t="s">
        <v>12</v>
      </c>
      <c r="C265" s="133" t="str">
        <f>Summary!B51</f>
        <v>D4</v>
      </c>
      <c r="D265" s="156" t="str">
        <f>Summary!C51</f>
        <v>Hub Programme - Public Sector Investment Returns</v>
      </c>
      <c r="E265" s="24"/>
      <c r="F265" s="24"/>
      <c r="G265" s="24"/>
      <c r="H265" s="24"/>
      <c r="I265" s="24"/>
      <c r="J265" s="24"/>
      <c r="K265" s="24"/>
      <c r="L265" s="24"/>
      <c r="M265" s="5"/>
      <c r="N265" s="5"/>
    </row>
    <row r="266" spans="1:14">
      <c r="A266" s="39"/>
      <c r="B266" s="7" t="s">
        <v>189</v>
      </c>
      <c r="C266" s="134" t="str">
        <f>'D4 hub Public Sector Inv Return'!D47</f>
        <v>C - Good</v>
      </c>
      <c r="D266" s="176">
        <f>VLOOKUP(C266,'Confidence Factors'!$B$6:$D$9,3)-M3</f>
        <v>0.55000000000000004</v>
      </c>
      <c r="E266" s="96"/>
      <c r="F266" s="96"/>
      <c r="G266" s="96"/>
      <c r="H266" s="96"/>
      <c r="I266" s="96"/>
      <c r="J266" s="96"/>
      <c r="K266" s="96"/>
      <c r="L266" s="96"/>
      <c r="M266" s="8"/>
      <c r="N266" s="8"/>
    </row>
    <row r="267" spans="1:14">
      <c r="A267" s="39"/>
      <c r="B267" s="7" t="s">
        <v>30</v>
      </c>
      <c r="C267" s="128">
        <f>SUM(D267:N267)</f>
        <v>1160990.4350000001</v>
      </c>
      <c r="D267" s="230">
        <f>'D1-D5 hub Benefit Summary'!E14*1000000*$D$266</f>
        <v>0</v>
      </c>
      <c r="E267" s="19">
        <f>'D1-D5 hub Benefit Summary'!F14*1000000*$D$266</f>
        <v>0</v>
      </c>
      <c r="F267" s="19">
        <f>'D1-D5 hub Benefit Summary'!G14*1000000*$D$266</f>
        <v>0</v>
      </c>
      <c r="G267" s="19">
        <f>'D1-D5 hub Benefit Summary'!H14*1000000*$D$266</f>
        <v>0</v>
      </c>
      <c r="H267" s="19">
        <f>'D1-D5 hub Benefit Summary'!I14*1000000*$D$266</f>
        <v>35913.35</v>
      </c>
      <c r="I267" s="19">
        <f>'D1-D5 hub Benefit Summary'!J14*1000000*$D$266</f>
        <v>109073.36</v>
      </c>
      <c r="J267" s="19">
        <f>'D1-D5 hub Benefit Summary'!K14*1000000*$D$266</f>
        <v>140449.155</v>
      </c>
      <c r="K267" s="19">
        <f>'D1-D5 hub Benefit Summary'!L14*1000000*$D$266</f>
        <v>171824.95</v>
      </c>
      <c r="L267" s="19">
        <f>'D1-D5 hub Benefit Summary'!M14*1000000*$D$266</f>
        <v>203200.74500000002</v>
      </c>
      <c r="M267" s="19">
        <f>'D1-D5 hub Benefit Summary'!N14*1000000*$D$266</f>
        <v>234576.54</v>
      </c>
      <c r="N267" s="19">
        <f>'D1-D5 hub Benefit Summary'!O14*1000000*$D$266</f>
        <v>265952.33500000002</v>
      </c>
    </row>
    <row r="268" spans="1:14">
      <c r="A268" s="39"/>
      <c r="B268" s="7" t="s">
        <v>31</v>
      </c>
      <c r="C268" s="129">
        <f>NPV($C$7,F267:N267)+D267+E267</f>
        <v>918468.59262376162</v>
      </c>
      <c r="D268" s="7"/>
      <c r="E268" s="8"/>
      <c r="F268" s="8"/>
      <c r="G268" s="8"/>
      <c r="H268" s="8"/>
      <c r="I268" s="8"/>
      <c r="J268" s="8"/>
      <c r="K268" s="8"/>
      <c r="L268" s="8"/>
      <c r="M268" s="8"/>
      <c r="N268" s="8"/>
    </row>
    <row r="269" spans="1:14">
      <c r="A269" s="39"/>
      <c r="B269" s="7" t="s">
        <v>4</v>
      </c>
      <c r="C269" s="130" t="str">
        <f>IF(SUM(D269:N269)&gt;1,"CHECK"," ")</f>
        <v xml:space="preserve"> </v>
      </c>
      <c r="D269" s="178">
        <f>'D1-D5 hub Benefit Summary'!E22</f>
        <v>0.4</v>
      </c>
      <c r="E269" s="15">
        <f>'D1-D5 hub Benefit Summary'!F22</f>
        <v>0.3</v>
      </c>
      <c r="F269" s="15">
        <f>'D1-D5 hub Benefit Summary'!G22</f>
        <v>0.2</v>
      </c>
      <c r="G269" s="15">
        <f>'D1-D5 hub Benefit Summary'!H22</f>
        <v>0.1</v>
      </c>
      <c r="H269" s="15">
        <f>'D1-D5 hub Benefit Summary'!I22</f>
        <v>0</v>
      </c>
      <c r="I269" s="15"/>
      <c r="J269" s="15"/>
      <c r="K269" s="15"/>
      <c r="L269" s="15"/>
      <c r="M269" s="15"/>
      <c r="N269" s="15"/>
    </row>
    <row r="270" spans="1:14" ht="15.75" thickBot="1">
      <c r="A270" s="39"/>
      <c r="B270" s="11" t="s">
        <v>32</v>
      </c>
      <c r="C270" s="51"/>
      <c r="D270" s="179">
        <f t="shared" ref="D270:N270" si="39">IF(D269&gt;0,(D269*$C268),0)</f>
        <v>367387.43704950466</v>
      </c>
      <c r="E270" s="20">
        <f t="shared" si="39"/>
        <v>275540.57778712845</v>
      </c>
      <c r="F270" s="20">
        <f t="shared" si="39"/>
        <v>183693.71852475233</v>
      </c>
      <c r="G270" s="20">
        <f t="shared" si="39"/>
        <v>91846.859262376165</v>
      </c>
      <c r="H270" s="20">
        <f t="shared" si="39"/>
        <v>0</v>
      </c>
      <c r="I270" s="20">
        <f t="shared" si="39"/>
        <v>0</v>
      </c>
      <c r="J270" s="20">
        <f t="shared" si="39"/>
        <v>0</v>
      </c>
      <c r="K270" s="20">
        <f t="shared" si="39"/>
        <v>0</v>
      </c>
      <c r="L270" s="20">
        <f t="shared" si="39"/>
        <v>0</v>
      </c>
      <c r="M270" s="20">
        <f t="shared" si="39"/>
        <v>0</v>
      </c>
      <c r="N270" s="20">
        <f t="shared" si="39"/>
        <v>0</v>
      </c>
    </row>
    <row r="271" spans="1:14" ht="15.75" thickBot="1">
      <c r="A271" s="39"/>
      <c r="B271" s="7"/>
      <c r="C271" s="10"/>
      <c r="D271" s="221"/>
      <c r="E271" s="172"/>
      <c r="F271" s="172"/>
      <c r="G271" s="172"/>
      <c r="H271" s="172"/>
      <c r="I271" s="172"/>
      <c r="J271" s="172"/>
      <c r="K271" s="172"/>
      <c r="L271" s="172"/>
      <c r="M271" s="172"/>
      <c r="N271" s="172"/>
    </row>
    <row r="272" spans="1:14">
      <c r="A272" s="39"/>
      <c r="B272" s="4" t="s">
        <v>12</v>
      </c>
      <c r="C272" s="133" t="str">
        <f>Summary!B52</f>
        <v>D5</v>
      </c>
      <c r="D272" s="156" t="str">
        <f>Summary!C52</f>
        <v>Hub Programme - Reduced Rates of Return</v>
      </c>
      <c r="E272" s="5"/>
      <c r="F272" s="5"/>
      <c r="G272" s="5"/>
      <c r="H272" s="5"/>
      <c r="I272" s="5"/>
      <c r="J272" s="5"/>
      <c r="K272" s="5"/>
      <c r="L272" s="5"/>
      <c r="M272" s="5"/>
      <c r="N272" s="5"/>
    </row>
    <row r="273" spans="1:14">
      <c r="A273" s="39"/>
      <c r="B273" s="7" t="s">
        <v>189</v>
      </c>
      <c r="C273" s="134" t="str">
        <f>'D5 hub Reduced IRR'!D47</f>
        <v>B - Very Good</v>
      </c>
      <c r="D273" s="176">
        <f>VLOOKUP(C273,'Confidence Factors'!$B$6:$D$9,3)-M3</f>
        <v>0.7</v>
      </c>
      <c r="E273" s="8"/>
      <c r="F273" s="8"/>
      <c r="G273" s="8"/>
      <c r="H273" s="8"/>
      <c r="I273" s="8"/>
      <c r="J273" s="8"/>
      <c r="K273" s="8"/>
      <c r="L273" s="8"/>
      <c r="M273" s="8"/>
      <c r="N273" s="8"/>
    </row>
    <row r="274" spans="1:14">
      <c r="A274" s="39"/>
      <c r="B274" s="7" t="s">
        <v>30</v>
      </c>
      <c r="C274" s="128">
        <f>SUM(D274:N274)</f>
        <v>2834317.5</v>
      </c>
      <c r="D274" s="230">
        <f>'D1-D5 hub Benefit Summary'!E16*1000000*$D$273</f>
        <v>0</v>
      </c>
      <c r="E274" s="19">
        <f>'D1-D5 hub Benefit Summary'!F16*1000000*$D$273</f>
        <v>0</v>
      </c>
      <c r="F274" s="19">
        <f>'D1-D5 hub Benefit Summary'!G16*1000000*$D$273</f>
        <v>0</v>
      </c>
      <c r="G274" s="19">
        <f>'D1-D5 hub Benefit Summary'!H16*1000000*$D$273</f>
        <v>0</v>
      </c>
      <c r="H274" s="19">
        <f>'D1-D5 hub Benefit Summary'!I16*1000000*$D$273</f>
        <v>87675</v>
      </c>
      <c r="I274" s="19">
        <f>'D1-D5 hub Benefit Summary'!J16*1000000*$D$273</f>
        <v>266280</v>
      </c>
      <c r="J274" s="19">
        <f>'D1-D5 hub Benefit Summary'!K16*1000000*$D$273</f>
        <v>342877.5</v>
      </c>
      <c r="K274" s="19">
        <f>'D1-D5 hub Benefit Summary'!L16*1000000*$D$273</f>
        <v>419475.00000000006</v>
      </c>
      <c r="L274" s="19">
        <f>'D1-D5 hub Benefit Summary'!M16*1000000*$D$273</f>
        <v>496072.49999999994</v>
      </c>
      <c r="M274" s="19">
        <f>'D1-D5 hub Benefit Summary'!N16*1000000*$D$273</f>
        <v>572670</v>
      </c>
      <c r="N274" s="19">
        <f>'D1-D5 hub Benefit Summary'!O16*1000000*$D$273</f>
        <v>649267.5</v>
      </c>
    </row>
    <row r="275" spans="1:14">
      <c r="A275" s="39"/>
      <c r="B275" s="7" t="s">
        <v>31</v>
      </c>
      <c r="C275" s="129">
        <f>NPV($C$7,F274:N274)+D274+E274</f>
        <v>2242250.6911298521</v>
      </c>
      <c r="D275" s="7"/>
      <c r="E275" s="8"/>
      <c r="F275" s="8"/>
      <c r="G275" s="8"/>
      <c r="H275" s="8"/>
      <c r="I275" s="8"/>
      <c r="J275" s="8"/>
      <c r="K275" s="8"/>
      <c r="L275" s="8"/>
      <c r="M275" s="8"/>
      <c r="N275" s="8"/>
    </row>
    <row r="276" spans="1:14">
      <c r="A276" s="39"/>
      <c r="B276" s="7" t="s">
        <v>4</v>
      </c>
      <c r="C276" s="130" t="str">
        <f>IF(SUM(D276:N276)&gt;1,"CHECK"," ")</f>
        <v xml:space="preserve"> </v>
      </c>
      <c r="D276" s="178">
        <v>0.4</v>
      </c>
      <c r="E276" s="15">
        <v>0.3</v>
      </c>
      <c r="F276" s="15">
        <v>0.2</v>
      </c>
      <c r="G276" s="15">
        <v>0.1</v>
      </c>
      <c r="H276" s="15"/>
      <c r="I276" s="15"/>
      <c r="J276" s="15"/>
      <c r="K276" s="15"/>
      <c r="L276" s="15"/>
      <c r="M276" s="15"/>
      <c r="N276" s="15"/>
    </row>
    <row r="277" spans="1:14" ht="15.75" thickBot="1">
      <c r="A277" s="39"/>
      <c r="B277" s="11" t="s">
        <v>32</v>
      </c>
      <c r="C277" s="51"/>
      <c r="D277" s="179">
        <f t="shared" ref="D277:N277" si="40">IF(D276&gt;0,(D276*$C275),0)</f>
        <v>896900.27645194088</v>
      </c>
      <c r="E277" s="20">
        <f t="shared" si="40"/>
        <v>672675.2073389556</v>
      </c>
      <c r="F277" s="20">
        <f t="shared" si="40"/>
        <v>448450.13822597044</v>
      </c>
      <c r="G277" s="20">
        <f t="shared" si="40"/>
        <v>224225.06911298522</v>
      </c>
      <c r="H277" s="20">
        <f t="shared" si="40"/>
        <v>0</v>
      </c>
      <c r="I277" s="20">
        <f t="shared" si="40"/>
        <v>0</v>
      </c>
      <c r="J277" s="20">
        <f t="shared" si="40"/>
        <v>0</v>
      </c>
      <c r="K277" s="20">
        <f t="shared" si="40"/>
        <v>0</v>
      </c>
      <c r="L277" s="20">
        <f t="shared" si="40"/>
        <v>0</v>
      </c>
      <c r="M277" s="20">
        <f t="shared" si="40"/>
        <v>0</v>
      </c>
      <c r="N277" s="20">
        <f t="shared" si="40"/>
        <v>0</v>
      </c>
    </row>
    <row r="278" spans="1:14" ht="15.75" thickBot="1">
      <c r="A278" s="39"/>
      <c r="B278" s="7"/>
      <c r="C278" s="10"/>
      <c r="D278" s="221"/>
      <c r="E278" s="172"/>
      <c r="F278" s="172"/>
      <c r="G278" s="172"/>
      <c r="H278" s="172"/>
      <c r="I278" s="172"/>
      <c r="J278" s="172"/>
      <c r="K278" s="172"/>
      <c r="L278" s="172"/>
      <c r="M278" s="172"/>
      <c r="N278" s="172"/>
    </row>
    <row r="279" spans="1:14">
      <c r="A279" s="39"/>
      <c r="B279" s="4" t="s">
        <v>12</v>
      </c>
      <c r="C279" s="133" t="str">
        <f>Summary!B53</f>
        <v>D6</v>
      </c>
      <c r="D279" s="156" t="str">
        <f>Summary!C53</f>
        <v xml:space="preserve">Hub Programme - Dialogue Stage Public Sector Savings </v>
      </c>
      <c r="E279" s="5"/>
      <c r="F279" s="5"/>
      <c r="G279" s="5"/>
      <c r="H279" s="5"/>
      <c r="I279" s="5"/>
      <c r="J279" s="5"/>
      <c r="K279" s="5"/>
      <c r="L279" s="5"/>
      <c r="M279" s="5"/>
      <c r="N279" s="5"/>
    </row>
    <row r="280" spans="1:14">
      <c r="A280" s="39"/>
      <c r="B280" s="7" t="s">
        <v>189</v>
      </c>
      <c r="C280" s="134" t="str">
        <f>'D6 hub dialogue savings'!D47</f>
        <v>A - High</v>
      </c>
      <c r="D280" s="176">
        <f>VLOOKUP(C280,'Confidence Factors'!$B$6:$D$9,3)-M3</f>
        <v>0.8</v>
      </c>
      <c r="E280" s="8"/>
      <c r="F280" s="8"/>
      <c r="G280" s="8"/>
      <c r="H280" s="8"/>
      <c r="I280" s="8"/>
      <c r="J280" s="8"/>
      <c r="K280" s="8"/>
      <c r="L280" s="8"/>
      <c r="M280" s="8"/>
      <c r="N280" s="8"/>
    </row>
    <row r="281" spans="1:14">
      <c r="A281" s="39"/>
      <c r="B281" s="7" t="s">
        <v>30</v>
      </c>
      <c r="C281" s="128">
        <f>SUM(D281:N281)</f>
        <v>680000</v>
      </c>
      <c r="D281" s="177">
        <v>0</v>
      </c>
      <c r="E281" s="19">
        <f>(('D6 hub dialogue savings'!$D70)/6)*'D6 hub dialogue savings'!$D75*'Calcs - Scen 3'!$D280</f>
        <v>113333.33333333333</v>
      </c>
      <c r="F281" s="19">
        <f>(('D6 hub dialogue savings'!$D70)/6)*'D6 hub dialogue savings'!$D75*'Calcs - Scen 3'!$D280</f>
        <v>113333.33333333333</v>
      </c>
      <c r="G281" s="19">
        <f>(('D6 hub dialogue savings'!$D70)/6)*'D6 hub dialogue savings'!$D75*'Calcs - Scen 3'!$D280</f>
        <v>113333.33333333333</v>
      </c>
      <c r="H281" s="19">
        <f>(('D6 hub dialogue savings'!$D70)/6)*'D6 hub dialogue savings'!$D75*'Calcs - Scen 3'!$D280</f>
        <v>113333.33333333333</v>
      </c>
      <c r="I281" s="19">
        <f>(('D6 hub dialogue savings'!$D70)/6)*'D6 hub dialogue savings'!$D75*'Calcs - Scen 3'!$D280</f>
        <v>113333.33333333333</v>
      </c>
      <c r="J281" s="19">
        <f>(('D6 hub dialogue savings'!$D70)/6)*'D6 hub dialogue savings'!$D75*'Calcs - Scen 3'!$D280</f>
        <v>113333.33333333333</v>
      </c>
      <c r="K281" s="19"/>
      <c r="L281" s="19"/>
      <c r="M281" s="19"/>
      <c r="N281" s="19"/>
    </row>
    <row r="282" spans="1:14">
      <c r="A282" s="39"/>
      <c r="B282" s="7" t="s">
        <v>31</v>
      </c>
      <c r="C282" s="129">
        <f>NPV($C$7,F281:N281)+D281+E281</f>
        <v>625039.26922001818</v>
      </c>
      <c r="D282" s="7"/>
      <c r="E282" s="8"/>
      <c r="F282" s="8"/>
      <c r="G282" s="8"/>
      <c r="H282" s="8"/>
      <c r="I282" s="8"/>
      <c r="J282" s="8"/>
      <c r="K282" s="8"/>
      <c r="L282" s="8"/>
      <c r="M282" s="8"/>
      <c r="N282" s="8"/>
    </row>
    <row r="283" spans="1:14">
      <c r="A283" s="39"/>
      <c r="B283" s="7" t="s">
        <v>4</v>
      </c>
      <c r="C283" s="130" t="str">
        <f>IF(SUM(D283:N283)&gt;1,"CHECK"," ")</f>
        <v xml:space="preserve"> </v>
      </c>
      <c r="D283" s="178">
        <v>0.59</v>
      </c>
      <c r="E283" s="15">
        <v>0.41</v>
      </c>
      <c r="F283" s="15"/>
      <c r="G283" s="15"/>
      <c r="H283" s="15"/>
      <c r="I283" s="15"/>
      <c r="J283" s="15"/>
      <c r="K283" s="15"/>
      <c r="L283" s="15"/>
      <c r="M283" s="15"/>
      <c r="N283" s="15"/>
    </row>
    <row r="284" spans="1:14" ht="15.75" thickBot="1">
      <c r="A284" s="39"/>
      <c r="B284" s="11" t="s">
        <v>32</v>
      </c>
      <c r="C284" s="51"/>
      <c r="D284" s="179">
        <f t="shared" ref="D284:N284" si="41">IF(D283&gt;0,(D283*$C282),0)</f>
        <v>368773.16883981071</v>
      </c>
      <c r="E284" s="20">
        <f t="shared" si="41"/>
        <v>256266.10038020744</v>
      </c>
      <c r="F284" s="20">
        <f t="shared" si="41"/>
        <v>0</v>
      </c>
      <c r="G284" s="20">
        <f t="shared" si="41"/>
        <v>0</v>
      </c>
      <c r="H284" s="20">
        <f t="shared" si="41"/>
        <v>0</v>
      </c>
      <c r="I284" s="20">
        <f t="shared" si="41"/>
        <v>0</v>
      </c>
      <c r="J284" s="20">
        <f t="shared" si="41"/>
        <v>0</v>
      </c>
      <c r="K284" s="20">
        <f t="shared" si="41"/>
        <v>0</v>
      </c>
      <c r="L284" s="20">
        <f t="shared" si="41"/>
        <v>0</v>
      </c>
      <c r="M284" s="20">
        <f t="shared" si="41"/>
        <v>0</v>
      </c>
      <c r="N284" s="20">
        <f t="shared" si="41"/>
        <v>0</v>
      </c>
    </row>
    <row r="285" spans="1:14" ht="15.75" thickBot="1">
      <c r="A285" s="39"/>
      <c r="B285" s="7"/>
      <c r="C285" s="10"/>
      <c r="D285" s="221"/>
      <c r="E285" s="172"/>
      <c r="F285" s="172"/>
      <c r="G285" s="172"/>
      <c r="H285" s="172"/>
      <c r="I285" s="172"/>
      <c r="J285" s="172"/>
      <c r="K285" s="172"/>
      <c r="L285" s="172"/>
      <c r="M285" s="172"/>
      <c r="N285" s="172"/>
    </row>
    <row r="286" spans="1:14">
      <c r="A286" s="39"/>
      <c r="B286" s="4" t="s">
        <v>12</v>
      </c>
      <c r="C286" s="133" t="str">
        <f>Summary!B54</f>
        <v>D7</v>
      </c>
      <c r="D286" s="156" t="str">
        <f>Summary!C54</f>
        <v>Schools Programme - Pilot Project Savings</v>
      </c>
      <c r="E286" s="5"/>
      <c r="F286" s="5"/>
      <c r="G286" s="5"/>
      <c r="H286" s="5"/>
      <c r="I286" s="5"/>
      <c r="J286" s="5"/>
      <c r="K286" s="5"/>
      <c r="L286" s="5"/>
      <c r="M286" s="5"/>
      <c r="N286" s="5"/>
    </row>
    <row r="287" spans="1:14">
      <c r="A287" s="39"/>
      <c r="B287" s="7" t="s">
        <v>189</v>
      </c>
      <c r="C287" s="134" t="str">
        <f>'D7 Schools Pilot Project'!D47</f>
        <v>B - Very Good</v>
      </c>
      <c r="D287" s="176">
        <f>VLOOKUP(C287,'Confidence Factors'!$B$6:$D$9,3)-M3</f>
        <v>0.7</v>
      </c>
      <c r="E287" s="8"/>
      <c r="F287" s="8"/>
      <c r="G287" s="8"/>
      <c r="H287" s="8"/>
      <c r="I287" s="8"/>
      <c r="J287" s="8"/>
      <c r="K287" s="8"/>
      <c r="L287" s="8"/>
      <c r="M287" s="8"/>
      <c r="N287" s="8"/>
    </row>
    <row r="288" spans="1:14">
      <c r="A288" s="39"/>
      <c r="B288" s="7" t="s">
        <v>30</v>
      </c>
      <c r="C288" s="128">
        <f>SUM(D288:N288)</f>
        <v>1225000</v>
      </c>
      <c r="D288" s="177">
        <v>0</v>
      </c>
      <c r="E288" s="124">
        <f>(('D7 Schools Pilot Project'!$D70)/4)*'D7 Schools Pilot Project'!$D75*'Calcs - Scen 3'!$D287</f>
        <v>306250</v>
      </c>
      <c r="F288" s="124">
        <f>(('D7 Schools Pilot Project'!$D70)/4)*'D7 Schools Pilot Project'!$D75*'Calcs - Scen 3'!$D287</f>
        <v>306250</v>
      </c>
      <c r="G288" s="124">
        <f>(('D7 Schools Pilot Project'!$D70)/4)*'D7 Schools Pilot Project'!$D75*'Calcs - Scen 3'!$D287</f>
        <v>306250</v>
      </c>
      <c r="H288" s="124">
        <f>(('D7 Schools Pilot Project'!$D70)/4)*'D7 Schools Pilot Project'!$D75*'Calcs - Scen 3'!$D287</f>
        <v>306250</v>
      </c>
      <c r="I288" s="19"/>
      <c r="J288" s="19"/>
      <c r="K288" s="19"/>
      <c r="L288" s="19"/>
      <c r="M288" s="19"/>
      <c r="N288" s="19"/>
    </row>
    <row r="289" spans="1:14">
      <c r="A289" s="39"/>
      <c r="B289" s="7" t="s">
        <v>31</v>
      </c>
      <c r="C289" s="129">
        <f>NPV($C$7,F288:N288)+D288+E288</f>
        <v>1164251.3254048061</v>
      </c>
      <c r="D289" s="7"/>
      <c r="E289" s="8"/>
      <c r="F289" s="8"/>
      <c r="G289" s="8"/>
      <c r="H289" s="8"/>
      <c r="I289" s="8"/>
      <c r="J289" s="8"/>
      <c r="K289" s="8"/>
      <c r="L289" s="8"/>
      <c r="M289" s="8"/>
      <c r="N289" s="8"/>
    </row>
    <row r="290" spans="1:14">
      <c r="A290" s="39"/>
      <c r="B290" s="7" t="s">
        <v>4</v>
      </c>
      <c r="C290" s="130" t="str">
        <f>IF(SUM(D290:N290)&gt;1,"CHECK"," ")</f>
        <v xml:space="preserve"> </v>
      </c>
      <c r="D290" s="178">
        <v>0.5</v>
      </c>
      <c r="E290" s="15">
        <v>0.5</v>
      </c>
      <c r="F290" s="15"/>
      <c r="G290" s="15"/>
      <c r="H290" s="15"/>
      <c r="I290" s="15"/>
      <c r="J290" s="15"/>
      <c r="K290" s="15"/>
      <c r="L290" s="15"/>
      <c r="M290" s="15"/>
      <c r="N290" s="15"/>
    </row>
    <row r="291" spans="1:14" ht="15.75" thickBot="1">
      <c r="A291" s="39"/>
      <c r="B291" s="11" t="s">
        <v>32</v>
      </c>
      <c r="C291" s="51"/>
      <c r="D291" s="179">
        <f t="shared" ref="D291:N291" si="42">IF(D290&gt;0,(D290*$C289),0)</f>
        <v>582125.66270240303</v>
      </c>
      <c r="E291" s="20">
        <f t="shared" si="42"/>
        <v>582125.66270240303</v>
      </c>
      <c r="F291" s="20">
        <f t="shared" si="42"/>
        <v>0</v>
      </c>
      <c r="G291" s="20">
        <f t="shared" si="42"/>
        <v>0</v>
      </c>
      <c r="H291" s="20">
        <f t="shared" si="42"/>
        <v>0</v>
      </c>
      <c r="I291" s="20">
        <f t="shared" si="42"/>
        <v>0</v>
      </c>
      <c r="J291" s="20">
        <f t="shared" si="42"/>
        <v>0</v>
      </c>
      <c r="K291" s="20">
        <f t="shared" si="42"/>
        <v>0</v>
      </c>
      <c r="L291" s="20">
        <f t="shared" si="42"/>
        <v>0</v>
      </c>
      <c r="M291" s="20">
        <f t="shared" si="42"/>
        <v>0</v>
      </c>
      <c r="N291" s="20">
        <f t="shared" si="42"/>
        <v>0</v>
      </c>
    </row>
    <row r="292" spans="1:14" ht="15.75" thickBot="1">
      <c r="A292" s="39"/>
      <c r="B292" s="7"/>
      <c r="C292" s="10"/>
      <c r="D292" s="221"/>
      <c r="E292" s="172"/>
      <c r="F292" s="172"/>
      <c r="G292" s="172"/>
      <c r="H292" s="172"/>
      <c r="I292" s="172"/>
      <c r="J292" s="172"/>
      <c r="K292" s="172"/>
      <c r="L292" s="172"/>
      <c r="M292" s="172"/>
      <c r="N292" s="172"/>
    </row>
    <row r="293" spans="1:14">
      <c r="A293" s="39"/>
      <c r="B293" s="4" t="s">
        <v>12</v>
      </c>
      <c r="C293" s="133" t="str">
        <f>Summary!B55</f>
        <v>D8</v>
      </c>
      <c r="D293" s="156" t="str">
        <f>Summary!C55</f>
        <v>Schools Programme - Needs Identification</v>
      </c>
      <c r="E293" s="5"/>
      <c r="F293" s="5"/>
      <c r="G293" s="5"/>
      <c r="H293" s="5"/>
      <c r="I293" s="5"/>
      <c r="J293" s="5"/>
      <c r="K293" s="5"/>
      <c r="L293" s="5"/>
      <c r="M293" s="5"/>
      <c r="N293" s="5"/>
    </row>
    <row r="294" spans="1:14">
      <c r="A294" s="39"/>
      <c r="B294" s="7" t="s">
        <v>189</v>
      </c>
      <c r="C294" s="134" t="str">
        <f>'D8 Schools Needs Ident'!D47</f>
        <v>C - Good</v>
      </c>
      <c r="D294" s="176">
        <f>VLOOKUP(C294,'Confidence Factors'!$B$6:$D$9,3)-M3</f>
        <v>0.55000000000000004</v>
      </c>
      <c r="E294" s="8"/>
      <c r="F294" s="8"/>
      <c r="G294" s="8"/>
      <c r="H294" s="8"/>
      <c r="I294" s="8"/>
      <c r="J294" s="8"/>
      <c r="K294" s="8"/>
      <c r="L294" s="8"/>
      <c r="M294" s="8"/>
      <c r="N294" s="8"/>
    </row>
    <row r="295" spans="1:14">
      <c r="A295" s="39"/>
      <c r="B295" s="7" t="s">
        <v>30</v>
      </c>
      <c r="C295" s="128">
        <f>SUM(D295:N295)</f>
        <v>60802391.925000019</v>
      </c>
      <c r="D295" s="177">
        <v>0</v>
      </c>
      <c r="E295" s="19">
        <f>'D8 cont - Needs ID'!C60*'Calcs - Scen 3'!$D$294</f>
        <v>760029.89906250034</v>
      </c>
      <c r="F295" s="19">
        <f>'D8 cont - Needs ID'!D60*'Calcs - Scen 3'!$D$294</f>
        <v>3420134.5457812515</v>
      </c>
      <c r="G295" s="19">
        <f>'D8 cont - Needs ID'!E60*'Calcs - Scen 3'!$D$294</f>
        <v>5700224.242968752</v>
      </c>
      <c r="H295" s="19">
        <f>'D8 cont - Needs ID'!F60*'Calcs - Scen 3'!$D$294</f>
        <v>7600298.9906250024</v>
      </c>
      <c r="I295" s="19">
        <f>'D8 cont - Needs ID'!G60*'Calcs - Scen 3'!$D$294</f>
        <v>9500373.7382812537</v>
      </c>
      <c r="J295" s="19">
        <f>'D8 cont - Needs ID'!H60*'Calcs - Scen 3'!$D$294</f>
        <v>11780463.435468756</v>
      </c>
      <c r="K295" s="19">
        <f>'D8 cont - Needs ID'!I60*'Calcs - Scen 3'!$D$294</f>
        <v>14440568.082187505</v>
      </c>
      <c r="L295" s="19">
        <f>'D8 cont - Needs ID'!J60*'Calcs - Scen 3'!$D$294</f>
        <v>7600298.9906250024</v>
      </c>
      <c r="M295" s="19"/>
      <c r="N295" s="19"/>
    </row>
    <row r="296" spans="1:14">
      <c r="A296" s="39"/>
      <c r="B296" s="7" t="s">
        <v>31</v>
      </c>
      <c r="C296" s="129">
        <f>NPV($C$7,F295:N295)+D295+E295</f>
        <v>52159800.986297555</v>
      </c>
      <c r="D296" s="7"/>
      <c r="E296" s="8"/>
      <c r="F296" s="8"/>
      <c r="G296" s="8"/>
      <c r="H296" s="8"/>
      <c r="I296" s="8"/>
      <c r="J296" s="8"/>
      <c r="K296" s="8"/>
      <c r="L296" s="8"/>
      <c r="M296" s="8"/>
      <c r="N296" s="8"/>
    </row>
    <row r="297" spans="1:14">
      <c r="A297" s="39"/>
      <c r="B297" s="7" t="s">
        <v>4</v>
      </c>
      <c r="C297" s="130" t="str">
        <f>IF(SUM(D297:N297)&gt;1,"CHECK"," ")</f>
        <v xml:space="preserve"> </v>
      </c>
      <c r="D297" s="178">
        <v>1</v>
      </c>
      <c r="E297" s="15"/>
      <c r="F297" s="15"/>
      <c r="G297" s="15"/>
      <c r="H297" s="15"/>
      <c r="I297" s="15"/>
      <c r="J297" s="15"/>
      <c r="K297" s="15"/>
      <c r="L297" s="15"/>
      <c r="M297" s="15"/>
      <c r="N297" s="15"/>
    </row>
    <row r="298" spans="1:14" ht="15.75" thickBot="1">
      <c r="A298" s="39"/>
      <c r="B298" s="11" t="s">
        <v>32</v>
      </c>
      <c r="C298" s="51"/>
      <c r="D298" s="179">
        <f t="shared" ref="D298:N298" si="43">IF(D297&gt;0,(D297*$C296),0)</f>
        <v>52159800.986297555</v>
      </c>
      <c r="E298" s="20">
        <f t="shared" si="43"/>
        <v>0</v>
      </c>
      <c r="F298" s="20">
        <f t="shared" si="43"/>
        <v>0</v>
      </c>
      <c r="G298" s="20">
        <f t="shared" si="43"/>
        <v>0</v>
      </c>
      <c r="H298" s="20">
        <f t="shared" si="43"/>
        <v>0</v>
      </c>
      <c r="I298" s="20">
        <f t="shared" si="43"/>
        <v>0</v>
      </c>
      <c r="J298" s="20">
        <f t="shared" si="43"/>
        <v>0</v>
      </c>
      <c r="K298" s="20">
        <f t="shared" si="43"/>
        <v>0</v>
      </c>
      <c r="L298" s="20">
        <f t="shared" si="43"/>
        <v>0</v>
      </c>
      <c r="M298" s="20">
        <f t="shared" si="43"/>
        <v>0</v>
      </c>
      <c r="N298" s="20">
        <f t="shared" si="43"/>
        <v>0</v>
      </c>
    </row>
    <row r="299" spans="1:14" ht="15.75" thickBot="1">
      <c r="A299" s="39"/>
      <c r="B299" s="7"/>
      <c r="C299" s="10"/>
      <c r="D299" s="221"/>
      <c r="E299" s="172"/>
      <c r="F299" s="172"/>
      <c r="G299" s="172"/>
      <c r="H299" s="172"/>
      <c r="I299" s="172"/>
      <c r="J299" s="172"/>
      <c r="K299" s="172"/>
      <c r="L299" s="172"/>
      <c r="M299" s="172"/>
      <c r="N299" s="172"/>
    </row>
    <row r="300" spans="1:14">
      <c r="A300" s="39"/>
      <c r="B300" s="4" t="s">
        <v>12</v>
      </c>
      <c r="C300" s="133" t="str">
        <f>Summary!B56</f>
        <v>D9</v>
      </c>
      <c r="D300" s="156" t="str">
        <f>Summary!C56</f>
        <v>Schools Programme - Continuous Improvement Savings</v>
      </c>
      <c r="E300" s="5"/>
      <c r="F300" s="5"/>
      <c r="G300" s="5"/>
      <c r="H300" s="5"/>
      <c r="I300" s="5"/>
      <c r="J300" s="5"/>
      <c r="K300" s="5"/>
      <c r="L300" s="5"/>
      <c r="M300" s="5"/>
      <c r="N300" s="5"/>
    </row>
    <row r="301" spans="1:14">
      <c r="A301" s="39"/>
      <c r="B301" s="7" t="s">
        <v>189</v>
      </c>
      <c r="C301" s="134" t="str">
        <f>'D9 Schools Cont Improv'!D47</f>
        <v>C - Good</v>
      </c>
      <c r="D301" s="176">
        <f>VLOOKUP(C301,'Confidence Factors'!$B$6:$D$9,3)-M3</f>
        <v>0.55000000000000004</v>
      </c>
      <c r="E301" s="8"/>
      <c r="F301" s="8"/>
      <c r="G301" s="8"/>
      <c r="H301" s="8"/>
      <c r="I301" s="8"/>
      <c r="J301" s="8"/>
      <c r="K301" s="8"/>
      <c r="L301" s="8"/>
      <c r="M301" s="8"/>
      <c r="N301" s="8"/>
    </row>
    <row r="302" spans="1:14">
      <c r="A302" s="39"/>
      <c r="B302" s="7" t="s">
        <v>30</v>
      </c>
      <c r="C302" s="128">
        <f>SUM(D302:N302)</f>
        <v>10168167.625</v>
      </c>
      <c r="D302" s="177">
        <v>0</v>
      </c>
      <c r="E302" s="19">
        <f>'D9 Schools Cont Improv'!J$76*'D9 Schools Cont Improv'!$D75*'Calcs - Scen 3'!$D301</f>
        <v>1143217.3107142858</v>
      </c>
      <c r="F302" s="19">
        <f>'D9 Schools Cont Improv'!K$76*'D9 Schools Cont Improv'!$D75*'Calcs - Scen 3'!$D301</f>
        <v>1143217.5857142857</v>
      </c>
      <c r="G302" s="19">
        <f>'D9 Schools Cont Improv'!L$76*'D9 Schools Cont Improv'!$D75*'Calcs - Scen 3'!$D301</f>
        <v>1143217.8607142859</v>
      </c>
      <c r="H302" s="19">
        <f>'D9 Schools Cont Improv'!M$76*'D9 Schools Cont Improv'!$D75*'Calcs - Scen 3'!$D301</f>
        <v>1452593.1357142858</v>
      </c>
      <c r="I302" s="19">
        <f>'D9 Schools Cont Improv'!N$76*'D9 Schools Cont Improv'!$D75*'Calcs - Scen 3'!$D301</f>
        <v>1452593.4107142859</v>
      </c>
      <c r="J302" s="19">
        <f>'D9 Schools Cont Improv'!O$76*'D9 Schools Cont Improv'!$D75*'Calcs - Scen 3'!$D301</f>
        <v>1452593.6857142858</v>
      </c>
      <c r="K302" s="19">
        <f>'D9 Schools Cont Improv'!P$76*'D9 Schools Cont Improv'!$D75*'Calcs - Scen 3'!$D301</f>
        <v>1452593.960714286</v>
      </c>
      <c r="L302" s="19">
        <f>'D9 Schools Cont Improv'!Q$76*'D9 Schools Cont Improv'!$D75*'Calcs - Scen 3'!$D301</f>
        <v>309379.95</v>
      </c>
      <c r="M302" s="19">
        <f>'D9 Schools Cont Improv'!R$76*'D9 Schools Cont Improv'!$D75*'Calcs - Scen 3'!$D301</f>
        <v>309380.22500000003</v>
      </c>
      <c r="N302" s="19">
        <f>'D9 Schools Cont Improv'!S$76*'D9 Schools Cont Improv'!$D75*'Calcs - Scen 3'!$D301</f>
        <v>309380.5</v>
      </c>
    </row>
    <row r="303" spans="1:14">
      <c r="A303" s="39"/>
      <c r="B303" s="7" t="s">
        <v>31</v>
      </c>
      <c r="C303" s="129">
        <f>NPV($C$7,F302:N302)+D302+E302</f>
        <v>9000838.3371716328</v>
      </c>
      <c r="D303" s="7"/>
      <c r="E303" s="8"/>
      <c r="F303" s="8"/>
      <c r="G303" s="8"/>
      <c r="H303" s="8"/>
      <c r="I303" s="8"/>
      <c r="J303" s="8"/>
      <c r="K303" s="8"/>
      <c r="L303" s="8"/>
      <c r="M303" s="8"/>
      <c r="N303" s="8"/>
    </row>
    <row r="304" spans="1:14">
      <c r="A304" s="39"/>
      <c r="B304" s="7" t="s">
        <v>4</v>
      </c>
      <c r="C304" s="130" t="str">
        <f>IF(SUM(D304:N304)&gt;1,"CHECK"," ")</f>
        <v xml:space="preserve"> </v>
      </c>
      <c r="D304" s="178">
        <v>0.2</v>
      </c>
      <c r="E304" s="15">
        <v>0.2</v>
      </c>
      <c r="F304" s="15">
        <v>0.2</v>
      </c>
      <c r="G304" s="15">
        <v>0.2</v>
      </c>
      <c r="H304" s="15">
        <v>0.2</v>
      </c>
      <c r="I304" s="15"/>
      <c r="J304" s="15"/>
      <c r="K304" s="15"/>
      <c r="L304" s="15"/>
      <c r="M304" s="15"/>
      <c r="N304" s="15"/>
    </row>
    <row r="305" spans="1:14" ht="15.75" thickBot="1">
      <c r="A305" s="39"/>
      <c r="B305" s="11" t="s">
        <v>32</v>
      </c>
      <c r="C305" s="51"/>
      <c r="D305" s="179">
        <f t="shared" ref="D305:N305" si="44">IF(D304&gt;0,(D304*$C303),0)</f>
        <v>1800167.6674343266</v>
      </c>
      <c r="E305" s="20">
        <f t="shared" si="44"/>
        <v>1800167.6674343266</v>
      </c>
      <c r="F305" s="20">
        <f t="shared" si="44"/>
        <v>1800167.6674343266</v>
      </c>
      <c r="G305" s="20">
        <f t="shared" si="44"/>
        <v>1800167.6674343266</v>
      </c>
      <c r="H305" s="20">
        <f t="shared" si="44"/>
        <v>1800167.6674343266</v>
      </c>
      <c r="I305" s="20">
        <f t="shared" si="44"/>
        <v>0</v>
      </c>
      <c r="J305" s="20">
        <f t="shared" si="44"/>
        <v>0</v>
      </c>
      <c r="K305" s="20">
        <f t="shared" si="44"/>
        <v>0</v>
      </c>
      <c r="L305" s="20">
        <f t="shared" si="44"/>
        <v>0</v>
      </c>
      <c r="M305" s="20">
        <f t="shared" si="44"/>
        <v>0</v>
      </c>
      <c r="N305" s="20">
        <f t="shared" si="44"/>
        <v>0</v>
      </c>
    </row>
    <row r="306" spans="1:14" ht="15.75" thickBot="1">
      <c r="A306" s="39"/>
      <c r="B306" s="7"/>
      <c r="C306" s="10"/>
      <c r="D306" s="221"/>
      <c r="E306" s="172"/>
      <c r="F306" s="172"/>
      <c r="G306" s="172"/>
      <c r="H306" s="172"/>
      <c r="I306" s="172"/>
      <c r="J306" s="172"/>
      <c r="K306" s="172"/>
      <c r="L306" s="172"/>
      <c r="M306" s="172"/>
      <c r="N306" s="172"/>
    </row>
    <row r="307" spans="1:14">
      <c r="A307" s="39"/>
      <c r="B307" s="4" t="s">
        <v>12</v>
      </c>
      <c r="C307" s="133" t="str">
        <f>Summary!B57</f>
        <v>D10</v>
      </c>
      <c r="D307" s="156" t="str">
        <f>Summary!C57</f>
        <v>Blank - Nil Benefit</v>
      </c>
      <c r="E307" s="5"/>
      <c r="F307" s="5"/>
      <c r="G307" s="5"/>
      <c r="H307" s="5"/>
      <c r="I307" s="5"/>
      <c r="J307" s="5"/>
      <c r="K307" s="5"/>
      <c r="L307" s="5"/>
      <c r="M307" s="5"/>
      <c r="N307" s="5"/>
    </row>
    <row r="308" spans="1:14">
      <c r="A308" s="39"/>
      <c r="B308" s="7" t="s">
        <v>189</v>
      </c>
      <c r="C308" s="134">
        <f>'D10 Blank - Nil Benefit'!D47</f>
        <v>0</v>
      </c>
      <c r="D308" s="176" t="e">
        <f>VLOOKUP(C308,'Confidence Factors'!$B$6:$D$9,3)-M3</f>
        <v>#N/A</v>
      </c>
      <c r="E308" s="8"/>
      <c r="F308" s="8"/>
      <c r="G308" s="8"/>
      <c r="H308" s="8"/>
      <c r="I308" s="8"/>
      <c r="J308" s="8"/>
      <c r="K308" s="8"/>
      <c r="L308" s="8"/>
      <c r="M308" s="8"/>
      <c r="N308" s="8"/>
    </row>
    <row r="309" spans="1:14">
      <c r="A309" s="39"/>
      <c r="B309" s="7" t="s">
        <v>30</v>
      </c>
      <c r="C309" s="128">
        <f>SUM(D309:N309)</f>
        <v>0</v>
      </c>
      <c r="D309" s="177">
        <v>0</v>
      </c>
      <c r="E309" s="19">
        <v>0</v>
      </c>
      <c r="F309" s="19">
        <v>0</v>
      </c>
      <c r="G309" s="19">
        <v>0</v>
      </c>
      <c r="H309" s="19"/>
      <c r="I309" s="19"/>
      <c r="J309" s="19"/>
      <c r="K309" s="19"/>
      <c r="L309" s="19"/>
      <c r="M309" s="19"/>
      <c r="N309" s="19"/>
    </row>
    <row r="310" spans="1:14">
      <c r="A310" s="39"/>
      <c r="B310" s="7" t="s">
        <v>31</v>
      </c>
      <c r="C310" s="129">
        <f>NPV($C$7,F309:N309)+D309+E309</f>
        <v>0</v>
      </c>
      <c r="D310" s="7"/>
      <c r="E310" s="8"/>
      <c r="F310" s="8"/>
      <c r="G310" s="8"/>
      <c r="H310" s="8"/>
      <c r="I310" s="8"/>
      <c r="J310" s="8"/>
      <c r="K310" s="8"/>
      <c r="L310" s="8"/>
      <c r="M310" s="8"/>
      <c r="N310" s="8"/>
    </row>
    <row r="311" spans="1:14">
      <c r="A311" s="39"/>
      <c r="B311" s="7" t="s">
        <v>4</v>
      </c>
      <c r="C311" s="130" t="str">
        <f>IF(SUM(D311:N311)&gt;1,"CHECK"," ")</f>
        <v xml:space="preserve"> </v>
      </c>
      <c r="D311" s="178">
        <v>0</v>
      </c>
      <c r="E311" s="15">
        <v>1</v>
      </c>
      <c r="F311" s="15">
        <v>0</v>
      </c>
      <c r="G311" s="15">
        <v>0</v>
      </c>
      <c r="H311" s="15">
        <v>0</v>
      </c>
      <c r="I311" s="15"/>
      <c r="J311" s="15"/>
      <c r="K311" s="15"/>
      <c r="L311" s="15"/>
      <c r="M311" s="15"/>
      <c r="N311" s="15"/>
    </row>
    <row r="312" spans="1:14" ht="15.75" thickBot="1">
      <c r="A312" s="39"/>
      <c r="B312" s="11" t="s">
        <v>32</v>
      </c>
      <c r="C312" s="51"/>
      <c r="D312" s="179">
        <f t="shared" ref="D312:N312" si="45">IF(D311&gt;0,(D311*$C310),0)</f>
        <v>0</v>
      </c>
      <c r="E312" s="20">
        <f t="shared" si="45"/>
        <v>0</v>
      </c>
      <c r="F312" s="20">
        <f t="shared" si="45"/>
        <v>0</v>
      </c>
      <c r="G312" s="20">
        <f t="shared" si="45"/>
        <v>0</v>
      </c>
      <c r="H312" s="20">
        <f t="shared" si="45"/>
        <v>0</v>
      </c>
      <c r="I312" s="20">
        <f t="shared" si="45"/>
        <v>0</v>
      </c>
      <c r="J312" s="20">
        <f t="shared" si="45"/>
        <v>0</v>
      </c>
      <c r="K312" s="20">
        <f t="shared" si="45"/>
        <v>0</v>
      </c>
      <c r="L312" s="20">
        <f t="shared" si="45"/>
        <v>0</v>
      </c>
      <c r="M312" s="20">
        <f t="shared" si="45"/>
        <v>0</v>
      </c>
      <c r="N312" s="20">
        <f t="shared" si="45"/>
        <v>0</v>
      </c>
    </row>
    <row r="313" spans="1:14" ht="15.75" thickBot="1">
      <c r="A313" s="39"/>
      <c r="B313" s="7"/>
      <c r="C313" s="10"/>
      <c r="D313" s="221"/>
      <c r="E313" s="172"/>
      <c r="F313" s="172"/>
      <c r="G313" s="172"/>
      <c r="H313" s="172"/>
      <c r="I313" s="172"/>
      <c r="J313" s="172"/>
      <c r="K313" s="172"/>
      <c r="L313" s="172"/>
      <c r="M313" s="172"/>
      <c r="N313" s="172"/>
    </row>
    <row r="314" spans="1:14">
      <c r="A314" s="39"/>
      <c r="B314" s="4" t="s">
        <v>12</v>
      </c>
      <c r="C314" s="133" t="str">
        <f>Summary!B58</f>
        <v>E1</v>
      </c>
      <c r="D314" s="156" t="str">
        <f>Summary!C58</f>
        <v>Validation - Non-Standard Civils Projects (FRC)</v>
      </c>
      <c r="E314" s="5"/>
      <c r="F314" s="5"/>
      <c r="G314" s="5"/>
      <c r="H314" s="5"/>
      <c r="I314" s="5"/>
      <c r="J314" s="5"/>
      <c r="K314" s="5"/>
      <c r="L314" s="5"/>
      <c r="M314" s="5"/>
      <c r="N314" s="5"/>
    </row>
    <row r="315" spans="1:14">
      <c r="A315" s="39"/>
      <c r="B315" s="7" t="s">
        <v>189</v>
      </c>
      <c r="C315" s="134" t="str">
        <f>'E1 Valdn Non-Std Civils FRC'!D47</f>
        <v>B - Very Good</v>
      </c>
      <c r="D315" s="176">
        <f>VLOOKUP(C315,'Confidence Factors'!$B$6:$D$9,3)-M3</f>
        <v>0.7</v>
      </c>
      <c r="E315" s="8"/>
      <c r="F315" s="8"/>
      <c r="G315" s="8"/>
      <c r="H315" s="8"/>
      <c r="I315" s="8"/>
      <c r="J315" s="8"/>
      <c r="K315" s="8"/>
      <c r="L315" s="8"/>
      <c r="M315" s="8"/>
      <c r="N315" s="8"/>
    </row>
    <row r="316" spans="1:14">
      <c r="A316" s="39"/>
      <c r="B316" s="7" t="s">
        <v>30</v>
      </c>
      <c r="C316" s="128">
        <f>SUM(D316:N316)</f>
        <v>10500000</v>
      </c>
      <c r="D316" s="177">
        <v>0</v>
      </c>
      <c r="E316" s="19">
        <v>0</v>
      </c>
      <c r="F316" s="19">
        <v>0</v>
      </c>
      <c r="G316" s="19">
        <f>'E1 Valdn Non-Std Civils FRC'!L75*'E1 Valdn Non-Std Civils FRC'!D75*'Calcs - Scen 3'!D315</f>
        <v>2100000</v>
      </c>
      <c r="H316" s="19">
        <f>'E1 Valdn Non-Std Civils FRC'!M75*'E1 Valdn Non-Std Civils FRC'!D75*'Calcs - Scen 3'!D315</f>
        <v>2100000</v>
      </c>
      <c r="I316" s="19">
        <f>'E1 Valdn Non-Std Civils FRC'!N75*'E1 Valdn Non-Std Civils FRC'!D75*'Calcs - Scen 3'!D315</f>
        <v>2100000</v>
      </c>
      <c r="J316" s="19">
        <f>'E1 Valdn Non-Std Civils FRC'!O75*'E1 Valdn Non-Std Civils FRC'!D75*'Calcs - Scen 3'!D315</f>
        <v>2100000</v>
      </c>
      <c r="K316" s="19">
        <f>'E1 Valdn Non-Std Civils FRC'!P75*'E1 Valdn Non-Std Civils FRC'!D75*'Calcs - Scen 3'!D315</f>
        <v>2100000</v>
      </c>
      <c r="L316" s="19">
        <v>0</v>
      </c>
      <c r="M316" s="19">
        <v>0</v>
      </c>
      <c r="N316" s="19">
        <v>0</v>
      </c>
    </row>
    <row r="317" spans="1:14">
      <c r="A317" s="39"/>
      <c r="B317" s="7" t="s">
        <v>31</v>
      </c>
      <c r="C317" s="129">
        <f>NPV($C$7,F316:N316)+D316+E316</f>
        <v>9160975.8342884779</v>
      </c>
      <c r="D317" s="7"/>
      <c r="E317" s="8"/>
      <c r="F317" s="8"/>
      <c r="G317" s="8"/>
      <c r="H317" s="8"/>
      <c r="I317" s="8"/>
      <c r="J317" s="8"/>
      <c r="K317" s="8"/>
      <c r="L317" s="8"/>
      <c r="M317" s="8"/>
      <c r="N317" s="8"/>
    </row>
    <row r="318" spans="1:14">
      <c r="A318" s="39"/>
      <c r="B318" s="7" t="s">
        <v>4</v>
      </c>
      <c r="C318" s="130" t="str">
        <f>IF(SUM(D318:N318)&gt;1,"CHECK"," ")</f>
        <v xml:space="preserve"> </v>
      </c>
      <c r="D318" s="178">
        <v>0.5</v>
      </c>
      <c r="E318" s="15">
        <v>0.5</v>
      </c>
      <c r="F318" s="15"/>
      <c r="G318" s="15"/>
      <c r="H318" s="15"/>
      <c r="I318" s="15"/>
      <c r="J318" s="15"/>
      <c r="K318" s="15"/>
      <c r="L318" s="15"/>
      <c r="M318" s="15"/>
      <c r="N318" s="15"/>
    </row>
    <row r="319" spans="1:14" ht="15.75" thickBot="1">
      <c r="A319" s="39"/>
      <c r="B319" s="11" t="s">
        <v>32</v>
      </c>
      <c r="C319" s="51"/>
      <c r="D319" s="179">
        <f t="shared" ref="D319:N319" si="46">IF(D318&gt;0,(D318*$C317),0)</f>
        <v>4580487.9171442389</v>
      </c>
      <c r="E319" s="20">
        <f t="shared" si="46"/>
        <v>4580487.9171442389</v>
      </c>
      <c r="F319" s="20">
        <f t="shared" si="46"/>
        <v>0</v>
      </c>
      <c r="G319" s="20">
        <f t="shared" si="46"/>
        <v>0</v>
      </c>
      <c r="H319" s="20">
        <f t="shared" si="46"/>
        <v>0</v>
      </c>
      <c r="I319" s="20">
        <f t="shared" si="46"/>
        <v>0</v>
      </c>
      <c r="J319" s="20">
        <f t="shared" si="46"/>
        <v>0</v>
      </c>
      <c r="K319" s="20">
        <f t="shared" si="46"/>
        <v>0</v>
      </c>
      <c r="L319" s="20">
        <f t="shared" si="46"/>
        <v>0</v>
      </c>
      <c r="M319" s="20">
        <f t="shared" si="46"/>
        <v>0</v>
      </c>
      <c r="N319" s="20">
        <f t="shared" si="46"/>
        <v>0</v>
      </c>
    </row>
    <row r="320" spans="1:14" ht="15.75" thickBot="1">
      <c r="A320" s="39"/>
      <c r="B320" s="7"/>
      <c r="C320" s="10"/>
      <c r="D320" s="221"/>
      <c r="E320" s="172"/>
      <c r="F320" s="172"/>
      <c r="G320" s="172"/>
      <c r="H320" s="172"/>
      <c r="I320" s="172"/>
      <c r="J320" s="172"/>
      <c r="K320" s="172"/>
      <c r="L320" s="172"/>
      <c r="M320" s="172"/>
      <c r="N320" s="172"/>
    </row>
    <row r="321" spans="1:14">
      <c r="A321" s="39"/>
      <c r="B321" s="4" t="s">
        <v>12</v>
      </c>
      <c r="C321" s="473" t="str">
        <f>Summary!B59</f>
        <v>E2</v>
      </c>
      <c r="D321" s="156" t="str">
        <f>Summary!C59</f>
        <v>Validation - Standard Accommodation Projects</v>
      </c>
      <c r="E321" s="5"/>
      <c r="F321" s="5"/>
      <c r="G321" s="5"/>
      <c r="H321" s="5"/>
      <c r="I321" s="5"/>
      <c r="J321" s="5"/>
      <c r="K321" s="5"/>
      <c r="L321" s="5"/>
      <c r="M321" s="5"/>
      <c r="N321" s="5"/>
    </row>
    <row r="322" spans="1:14">
      <c r="A322" s="39"/>
      <c r="B322" s="7" t="s">
        <v>189</v>
      </c>
      <c r="C322" s="134" t="str">
        <f>'E2 Validation Std Accom'!D45</f>
        <v>C - Good</v>
      </c>
      <c r="D322" s="176">
        <f>VLOOKUP(C322,'Confidence Factors'!$B$6:$D$9,3)-M3</f>
        <v>0.55000000000000004</v>
      </c>
      <c r="E322" s="8"/>
      <c r="F322" s="8"/>
      <c r="G322" s="8"/>
      <c r="H322" s="8"/>
      <c r="I322" s="8"/>
      <c r="J322" s="8"/>
      <c r="K322" s="8"/>
      <c r="L322" s="8"/>
      <c r="M322" s="8"/>
      <c r="N322" s="8"/>
    </row>
    <row r="323" spans="1:14">
      <c r="A323" s="39"/>
      <c r="B323" s="7" t="s">
        <v>30</v>
      </c>
      <c r="C323" s="128">
        <f>SUM(D323:N323)</f>
        <v>1485550</v>
      </c>
      <c r="D323" s="177">
        <f>'E2 Validation Std Accom'!I$74*'E2 Validation Std Accom'!$D73*'Calcs - Scen 3'!$D322</f>
        <v>58850.000000000007</v>
      </c>
      <c r="E323" s="19">
        <f>'E2 Validation Std Accom'!J74*'E2 Validation Std Accom'!D73*'Calcs - Scen 3'!D322</f>
        <v>289850</v>
      </c>
      <c r="F323" s="19">
        <f>'E2 Validation Std Accom'!K74*'E2 Validation Std Accom'!D73*'Calcs - Scen 3'!D322</f>
        <v>289850</v>
      </c>
      <c r="G323" s="19">
        <f>'E2 Validation Std Accom'!L74*'E2 Validation Std Accom'!D73*'Calcs - Scen 3'!D322</f>
        <v>250250.00000000003</v>
      </c>
      <c r="H323" s="19">
        <f>'E2 Validation Std Accom'!M74*'E2 Validation Std Accom'!D73*'Calcs - Scen 3'!D322</f>
        <v>250250.00000000003</v>
      </c>
      <c r="I323" s="19">
        <f>'E2 Validation Std Accom'!N74*'E2 Validation Std Accom'!D73*'Calcs - Scen 3'!D322</f>
        <v>250250.00000000003</v>
      </c>
      <c r="J323" s="19">
        <f>'E2 Validation Std Accom'!O74*'E2 Validation Std Accom'!D73*'Calcs - Scen 3'!D322</f>
        <v>19250</v>
      </c>
      <c r="K323" s="19">
        <f>'E2 Validation Std Accom'!P74*'E2 Validation Std Accom'!$D73*'Calcs - Scen 3'!$D322</f>
        <v>19250</v>
      </c>
      <c r="L323" s="19">
        <f>'E2 Validation Std Accom'!Q74*'E2 Validation Std Accom'!$D73*'Calcs - Scen 3'!$D322</f>
        <v>19250</v>
      </c>
      <c r="M323" s="19">
        <f>'E2 Validation Std Accom'!R74*'E2 Validation Std Accom'!$D73*'Calcs - Scen 3'!$D322</f>
        <v>19250</v>
      </c>
      <c r="N323" s="19">
        <f>'E2 Validation Std Accom'!S74*'E2 Validation Std Accom'!$D73*'Calcs - Scen 3'!$D322</f>
        <v>19250</v>
      </c>
    </row>
    <row r="324" spans="1:14">
      <c r="B324" s="7" t="s">
        <v>31</v>
      </c>
      <c r="C324" s="129">
        <f>NPV($C$7,F323:N323)+D323+E323</f>
        <v>1381890.132050354</v>
      </c>
      <c r="D324" s="7"/>
      <c r="E324" s="8"/>
      <c r="F324" s="8"/>
      <c r="G324" s="8"/>
      <c r="H324" s="8"/>
      <c r="I324" s="8"/>
      <c r="J324" s="8"/>
      <c r="K324" s="8"/>
      <c r="L324" s="8"/>
      <c r="M324" s="8"/>
      <c r="N324" s="8"/>
    </row>
    <row r="325" spans="1:14">
      <c r="B325" s="7" t="s">
        <v>4</v>
      </c>
      <c r="C325" s="130" t="str">
        <f>IF(SUM(D325:N325)&gt;1,"CHECK"," ")</f>
        <v xml:space="preserve"> </v>
      </c>
      <c r="D325" s="178">
        <f>1/3</f>
        <v>0.33333333333333331</v>
      </c>
      <c r="E325" s="178">
        <f t="shared" ref="E325:F325" si="47">1/3</f>
        <v>0.33333333333333331</v>
      </c>
      <c r="F325" s="178">
        <f t="shared" si="47"/>
        <v>0.33333333333333331</v>
      </c>
      <c r="G325" s="15"/>
      <c r="H325" s="15"/>
      <c r="I325" s="15"/>
      <c r="J325" s="15"/>
      <c r="K325" s="15"/>
      <c r="L325" s="15"/>
      <c r="M325" s="15"/>
      <c r="N325" s="15"/>
    </row>
    <row r="326" spans="1:14" ht="15.75" thickBot="1">
      <c r="B326" s="11" t="s">
        <v>32</v>
      </c>
      <c r="C326" s="51"/>
      <c r="D326" s="220">
        <f t="shared" ref="D326:N326" si="48">IF(D325&gt;0,(D325*$C324),0)</f>
        <v>460630.04401678464</v>
      </c>
      <c r="E326" s="218">
        <f t="shared" si="48"/>
        <v>460630.04401678464</v>
      </c>
      <c r="F326" s="218">
        <f t="shared" si="48"/>
        <v>460630.04401678464</v>
      </c>
      <c r="G326" s="218">
        <f t="shared" si="48"/>
        <v>0</v>
      </c>
      <c r="H326" s="218">
        <f t="shared" si="48"/>
        <v>0</v>
      </c>
      <c r="I326" s="218">
        <f t="shared" si="48"/>
        <v>0</v>
      </c>
      <c r="J326" s="218">
        <f t="shared" si="48"/>
        <v>0</v>
      </c>
      <c r="K326" s="218">
        <f t="shared" si="48"/>
        <v>0</v>
      </c>
      <c r="L326" s="218">
        <f t="shared" si="48"/>
        <v>0</v>
      </c>
      <c r="M326" s="218">
        <f t="shared" si="48"/>
        <v>0</v>
      </c>
      <c r="N326" s="218">
        <f t="shared" si="48"/>
        <v>0</v>
      </c>
    </row>
    <row r="327" spans="1:14" ht="15.75" thickBot="1">
      <c r="B327" s="7"/>
      <c r="C327" s="10"/>
      <c r="D327" s="221"/>
      <c r="E327" s="172"/>
      <c r="F327" s="172"/>
      <c r="G327" s="172"/>
      <c r="H327" s="172"/>
      <c r="I327" s="172"/>
      <c r="J327" s="172"/>
      <c r="K327" s="172"/>
      <c r="L327" s="172"/>
      <c r="M327" s="172"/>
      <c r="N327" s="172"/>
    </row>
    <row r="328" spans="1:14">
      <c r="B328" s="4" t="s">
        <v>12</v>
      </c>
      <c r="C328" s="473" t="str">
        <f>Summary!B60</f>
        <v>E3</v>
      </c>
      <c r="D328" s="474" t="str">
        <f>Summary!C60</f>
        <v>Validation - CMAL</v>
      </c>
      <c r="E328" s="5"/>
      <c r="F328" s="5"/>
      <c r="G328" s="5"/>
      <c r="H328" s="5"/>
      <c r="I328" s="5"/>
      <c r="J328" s="5"/>
      <c r="K328" s="5"/>
      <c r="L328" s="5"/>
      <c r="M328" s="5"/>
      <c r="N328" s="5"/>
    </row>
    <row r="329" spans="1:14">
      <c r="B329" s="7" t="s">
        <v>189</v>
      </c>
      <c r="C329" s="134" t="str">
        <f>'E3 Validation CMAL'!D45</f>
        <v>D - Moderate</v>
      </c>
      <c r="D329" s="176">
        <f>VLOOKUP(C329,'Confidence Factors'!$B$6:$D$9,3)-M3</f>
        <v>0.35000000000000003</v>
      </c>
      <c r="E329" s="8"/>
      <c r="F329" s="8"/>
      <c r="G329" s="8"/>
      <c r="H329" s="8"/>
      <c r="I329" s="8"/>
      <c r="J329" s="8"/>
      <c r="K329" s="8"/>
      <c r="L329" s="8"/>
      <c r="M329" s="8"/>
      <c r="N329" s="8"/>
    </row>
    <row r="330" spans="1:14">
      <c r="B330" s="7" t="s">
        <v>30</v>
      </c>
      <c r="C330" s="128">
        <f>SUM(D330:N330)</f>
        <v>8440740.0000000019</v>
      </c>
      <c r="D330" s="177">
        <v>0</v>
      </c>
      <c r="E330" s="19">
        <v>0</v>
      </c>
      <c r="F330" s="19">
        <f>(('E3 Validation CMAL'!$D68)/25)*'E3 Validation CMAL'!$D73*'Calcs - Scen 3'!$D329</f>
        <v>937860.00000000012</v>
      </c>
      <c r="G330" s="19">
        <f>(('E3 Validation CMAL'!$D68)/25)*'E3 Validation CMAL'!$D73*'Calcs - Scen 3'!$D329</f>
        <v>937860.00000000012</v>
      </c>
      <c r="H330" s="19">
        <f>(('E3 Validation CMAL'!$D68)/25)*'E3 Validation CMAL'!$D73*'Calcs - Scen 3'!$D329</f>
        <v>937860.00000000012</v>
      </c>
      <c r="I330" s="19">
        <f>(('E3 Validation CMAL'!$D68)/25)*'E3 Validation CMAL'!$D73*'Calcs - Scen 3'!$D329</f>
        <v>937860.00000000012</v>
      </c>
      <c r="J330" s="19">
        <f>(('E3 Validation CMAL'!$D68)/25)*'E3 Validation CMAL'!$D73*'Calcs - Scen 3'!$D329</f>
        <v>937860.00000000012</v>
      </c>
      <c r="K330" s="19">
        <f>(('E3 Validation CMAL'!$D68)/25)*'E3 Validation CMAL'!$D73*'Calcs - Scen 3'!$D329</f>
        <v>937860.00000000012</v>
      </c>
      <c r="L330" s="19">
        <f>(('E3 Validation CMAL'!$D68)/25)*'E3 Validation CMAL'!$D73*'Calcs - Scen 3'!$D329</f>
        <v>937860.00000000012</v>
      </c>
      <c r="M330" s="19">
        <f>(('E3 Validation CMAL'!$D68)/25)*'E3 Validation CMAL'!$D73*'Calcs - Scen 3'!$D329</f>
        <v>937860.00000000012</v>
      </c>
      <c r="N330" s="19">
        <f>(('E3 Validation CMAL'!$D68)/25)*'E3 Validation CMAL'!$D73*'Calcs - Scen 3'!$D329</f>
        <v>937860.00000000012</v>
      </c>
    </row>
    <row r="331" spans="1:14">
      <c r="B331" s="7" t="s">
        <v>31</v>
      </c>
      <c r="C331" s="129">
        <f>NPV($C$7,F330:N330)+D330+E330</f>
        <v>7134944.8692071177</v>
      </c>
      <c r="D331" s="7"/>
      <c r="E331" s="8"/>
      <c r="F331" s="8"/>
      <c r="G331" s="8"/>
      <c r="H331" s="8"/>
      <c r="I331" s="8"/>
      <c r="J331" s="8"/>
      <c r="K331" s="8"/>
      <c r="L331" s="8"/>
      <c r="M331" s="8"/>
      <c r="N331" s="8"/>
    </row>
    <row r="332" spans="1:14">
      <c r="B332" s="7" t="s">
        <v>4</v>
      </c>
      <c r="C332" s="130" t="str">
        <f>IF(SUM(D332:N332)&gt;1,"CHECK"," ")</f>
        <v xml:space="preserve"> </v>
      </c>
      <c r="D332" s="178">
        <v>0.5</v>
      </c>
      <c r="E332" s="15">
        <v>0.5</v>
      </c>
      <c r="F332" s="15"/>
      <c r="G332" s="15"/>
      <c r="H332" s="15"/>
      <c r="I332" s="15"/>
      <c r="J332" s="15"/>
      <c r="K332" s="15"/>
      <c r="L332" s="15"/>
      <c r="M332" s="15"/>
      <c r="N332" s="15"/>
    </row>
    <row r="333" spans="1:14" ht="15.75" thickBot="1">
      <c r="B333" s="11" t="s">
        <v>32</v>
      </c>
      <c r="C333" s="51"/>
      <c r="D333" s="220">
        <f t="shared" ref="D333:N333" si="49">IF(D332&gt;0,(D332*$C331),0)</f>
        <v>3567472.4346035589</v>
      </c>
      <c r="E333" s="218">
        <f t="shared" si="49"/>
        <v>3567472.4346035589</v>
      </c>
      <c r="F333" s="218">
        <f t="shared" si="49"/>
        <v>0</v>
      </c>
      <c r="G333" s="218">
        <f t="shared" si="49"/>
        <v>0</v>
      </c>
      <c r="H333" s="218">
        <f t="shared" si="49"/>
        <v>0</v>
      </c>
      <c r="I333" s="218">
        <f t="shared" si="49"/>
        <v>0</v>
      </c>
      <c r="J333" s="218">
        <f t="shared" si="49"/>
        <v>0</v>
      </c>
      <c r="K333" s="218">
        <f t="shared" si="49"/>
        <v>0</v>
      </c>
      <c r="L333" s="218">
        <f t="shared" si="49"/>
        <v>0</v>
      </c>
      <c r="M333" s="218">
        <f t="shared" si="49"/>
        <v>0</v>
      </c>
      <c r="N333" s="218">
        <f t="shared" si="49"/>
        <v>0</v>
      </c>
    </row>
    <row r="334" spans="1:14" ht="15.75" thickBot="1">
      <c r="B334" s="7"/>
      <c r="C334" s="10"/>
      <c r="D334" s="221"/>
      <c r="E334" s="172"/>
      <c r="F334" s="172"/>
      <c r="G334" s="172"/>
      <c r="H334" s="172"/>
      <c r="I334" s="172"/>
      <c r="J334" s="172"/>
      <c r="K334" s="172"/>
      <c r="L334" s="172"/>
      <c r="M334" s="172"/>
      <c r="N334" s="172"/>
    </row>
    <row r="335" spans="1:14">
      <c r="B335" s="4" t="s">
        <v>12</v>
      </c>
      <c r="C335" s="473" t="str">
        <f>Summary!B61</f>
        <v>E4</v>
      </c>
      <c r="D335" s="474" t="str">
        <f>Summary!C61</f>
        <v>Validation - Non-Standard Civils Projects (Borders Railway)</v>
      </c>
      <c r="E335" s="5"/>
      <c r="F335" s="5"/>
      <c r="G335" s="5"/>
      <c r="H335" s="5"/>
      <c r="I335" s="5"/>
      <c r="J335" s="5"/>
      <c r="K335" s="5"/>
      <c r="L335" s="5"/>
      <c r="M335" s="5"/>
      <c r="N335" s="5"/>
    </row>
    <row r="336" spans="1:14">
      <c r="B336" s="7" t="s">
        <v>189</v>
      </c>
      <c r="C336" s="553" t="str">
        <f>'E4 Valdn Non-Std Civils (BOR)'!D47</f>
        <v>C - Good</v>
      </c>
      <c r="D336" s="176">
        <f>VLOOKUP(C336,'Confidence Factors'!$B$6:$D$9,3)-M3</f>
        <v>0.55000000000000004</v>
      </c>
      <c r="E336" s="8"/>
      <c r="F336" s="8"/>
      <c r="G336" s="8"/>
      <c r="H336" s="8"/>
      <c r="I336" s="8"/>
      <c r="J336" s="8"/>
      <c r="K336" s="8"/>
      <c r="L336" s="8"/>
      <c r="M336" s="8"/>
      <c r="N336" s="8"/>
    </row>
    <row r="337" spans="1:14">
      <c r="B337" s="7" t="s">
        <v>30</v>
      </c>
      <c r="C337" s="128">
        <f>SUM(D337:N337)</f>
        <v>444010.875</v>
      </c>
      <c r="D337" s="177">
        <v>0</v>
      </c>
      <c r="E337" s="19">
        <f>(('E3 Validation CMAL'!$D75)/25)*'E3 Validation CMAL'!$D80*'Calcs - Scen 3'!$D336</f>
        <v>0</v>
      </c>
      <c r="F337" s="19">
        <f>(('E3 Validation CMAL'!$D75)/25)*'E3 Validation CMAL'!$D80*'Calcs - Scen 3'!$D336</f>
        <v>0</v>
      </c>
      <c r="G337" s="19">
        <f>(('E3 Validation CMAL'!$D75)/25)*'E3 Validation CMAL'!$D80*'Calcs - Scen 3'!$D336</f>
        <v>0</v>
      </c>
      <c r="H337" s="19">
        <f>(('E3 Validation CMAL'!$D75)/25)*'E3 Validation CMAL'!$D80*'Calcs - Scen 3'!$D336</f>
        <v>0</v>
      </c>
      <c r="I337" s="19">
        <f>(('E3 Validation CMAL'!$D75)/25)*'E3 Validation CMAL'!$D80*'Calcs - Scen 3'!$D336</f>
        <v>0</v>
      </c>
      <c r="J337" s="19">
        <f>'E4 Valdn Non-Std Civils (BOR)'!O$76*'E4 Valdn Non-Std Civils (BOR)'!$D75*'Calcs - Scen 3'!$D336</f>
        <v>88802.175000000003</v>
      </c>
      <c r="K337" s="19">
        <f>'E4 Valdn Non-Std Civils (BOR)'!P$76*'E4 Valdn Non-Std Civils (BOR)'!$D75*'Calcs - Scen 3'!$D336</f>
        <v>88802.175000000003</v>
      </c>
      <c r="L337" s="19">
        <f>'E4 Valdn Non-Std Civils (BOR)'!Q$76*'E4 Valdn Non-Std Civils (BOR)'!$D75*'Calcs - Scen 3'!$D336</f>
        <v>88802.175000000003</v>
      </c>
      <c r="M337" s="19">
        <f>'E4 Valdn Non-Std Civils (BOR)'!R$76*'E4 Valdn Non-Std Civils (BOR)'!$D75*'Calcs - Scen 3'!$D336</f>
        <v>88802.175000000003</v>
      </c>
      <c r="N337" s="19">
        <f>'E4 Valdn Non-Std Civils (BOR)'!S$76*'E4 Valdn Non-Std Civils (BOR)'!$D75*'Calcs - Scen 3'!$D336</f>
        <v>88802.175000000003</v>
      </c>
    </row>
    <row r="338" spans="1:14">
      <c r="B338" s="7" t="s">
        <v>31</v>
      </c>
      <c r="C338" s="129">
        <f>NPV($C$7,F337:N337)+D337+E337</f>
        <v>349401.68603360734</v>
      </c>
      <c r="D338" s="7"/>
      <c r="E338" s="8"/>
      <c r="F338" s="8"/>
      <c r="G338" s="8"/>
      <c r="H338" s="8"/>
      <c r="I338" s="8"/>
      <c r="J338" s="8"/>
      <c r="K338" s="8"/>
      <c r="L338" s="8"/>
      <c r="M338" s="8"/>
      <c r="N338" s="8"/>
    </row>
    <row r="339" spans="1:14">
      <c r="B339" s="7" t="s">
        <v>4</v>
      </c>
      <c r="C339" s="130" t="str">
        <f>IF(SUM(D339:N339)&gt;1,"CHECK"," ")</f>
        <v xml:space="preserve"> </v>
      </c>
      <c r="D339" s="178">
        <f>1/3</f>
        <v>0.33333333333333331</v>
      </c>
      <c r="E339" s="178">
        <f t="shared" ref="E339:F339" si="50">1/3</f>
        <v>0.33333333333333331</v>
      </c>
      <c r="F339" s="178">
        <f t="shared" si="50"/>
        <v>0.33333333333333331</v>
      </c>
      <c r="G339" s="15"/>
      <c r="H339" s="15"/>
      <c r="I339" s="15"/>
      <c r="J339" s="15"/>
      <c r="K339" s="15"/>
      <c r="L339" s="15"/>
      <c r="M339" s="15"/>
      <c r="N339" s="15"/>
    </row>
    <row r="340" spans="1:14" ht="15.75" thickBot="1">
      <c r="B340" s="11" t="s">
        <v>32</v>
      </c>
      <c r="C340" s="51"/>
      <c r="D340" s="220">
        <f t="shared" ref="D340:N340" si="51">IF(D339&gt;0,(D339*$C338),0)</f>
        <v>116467.22867786911</v>
      </c>
      <c r="E340" s="220">
        <f t="shared" si="51"/>
        <v>116467.22867786911</v>
      </c>
      <c r="F340" s="220">
        <f t="shared" si="51"/>
        <v>116467.22867786911</v>
      </c>
      <c r="G340" s="218">
        <f t="shared" si="51"/>
        <v>0</v>
      </c>
      <c r="H340" s="218">
        <f t="shared" si="51"/>
        <v>0</v>
      </c>
      <c r="I340" s="218">
        <f t="shared" si="51"/>
        <v>0</v>
      </c>
      <c r="J340" s="218">
        <f t="shared" si="51"/>
        <v>0</v>
      </c>
      <c r="K340" s="218">
        <f t="shared" si="51"/>
        <v>0</v>
      </c>
      <c r="L340" s="218">
        <f t="shared" si="51"/>
        <v>0</v>
      </c>
      <c r="M340" s="218">
        <f t="shared" si="51"/>
        <v>0</v>
      </c>
      <c r="N340" s="218">
        <f t="shared" si="51"/>
        <v>0</v>
      </c>
    </row>
    <row r="341" spans="1:14" ht="15.75" thickBot="1">
      <c r="B341" s="7"/>
      <c r="C341" s="10"/>
      <c r="D341" s="221"/>
      <c r="E341" s="172"/>
      <c r="F341" s="172"/>
      <c r="G341" s="172"/>
      <c r="H341" s="172"/>
      <c r="I341" s="172"/>
      <c r="J341" s="172"/>
      <c r="K341" s="172"/>
      <c r="L341" s="172"/>
      <c r="M341" s="172"/>
      <c r="N341" s="172"/>
    </row>
    <row r="342" spans="1:14">
      <c r="A342" s="39"/>
      <c r="B342" s="4" t="s">
        <v>12</v>
      </c>
      <c r="C342" s="133" t="str">
        <f>Summary!B62</f>
        <v>F1</v>
      </c>
      <c r="D342" s="175" t="str">
        <f>Summary!C62</f>
        <v xml:space="preserve">Operational Projects Support </v>
      </c>
      <c r="E342" s="8"/>
      <c r="F342" s="8"/>
      <c r="G342" s="8"/>
      <c r="H342" s="8"/>
      <c r="I342" s="8"/>
      <c r="J342" s="8"/>
      <c r="K342" s="8"/>
      <c r="L342" s="8"/>
      <c r="M342" s="8"/>
      <c r="N342" s="8"/>
    </row>
    <row r="343" spans="1:14">
      <c r="A343" s="39"/>
      <c r="B343" s="7" t="s">
        <v>189</v>
      </c>
      <c r="C343" s="134" t="str">
        <f>'F1 Ops project support'!D47</f>
        <v>D - Moderate</v>
      </c>
      <c r="D343" s="176">
        <f>VLOOKUP(C343,'Confidence Factors'!$B$6:$D$9,3)-M3</f>
        <v>0.35000000000000003</v>
      </c>
      <c r="E343" s="8"/>
      <c r="F343" s="8"/>
      <c r="G343" s="8"/>
      <c r="H343" s="8"/>
      <c r="I343" s="8"/>
      <c r="J343" s="8"/>
      <c r="K343" s="8"/>
      <c r="L343" s="8"/>
      <c r="M343" s="8"/>
      <c r="N343" s="8"/>
    </row>
    <row r="344" spans="1:14">
      <c r="A344" s="39"/>
      <c r="B344" s="7" t="s">
        <v>30</v>
      </c>
      <c r="C344" s="128">
        <f>SUM(D344:N344)</f>
        <v>7700000.0000000009</v>
      </c>
      <c r="D344" s="177">
        <v>0</v>
      </c>
      <c r="E344" s="124">
        <v>0</v>
      </c>
      <c r="F344" s="124">
        <f>'F1 Ops project support'!N$59*'F1 Ops project support'!$D75*'Calcs - Scen 3'!$D343</f>
        <v>192500.00000000003</v>
      </c>
      <c r="G344" s="124">
        <f>'F1 Ops project support'!O$59*'F1 Ops project support'!$D75*'Calcs - Scen 3'!$D343</f>
        <v>770000.00000000012</v>
      </c>
      <c r="H344" s="124">
        <f>'F1 Ops project support'!P$59*'F1 Ops project support'!$D75*'Calcs - Scen 3'!$D343</f>
        <v>962500.00000000012</v>
      </c>
      <c r="I344" s="124">
        <f>'F1 Ops project support'!Q$59*'F1 Ops project support'!$D75*'Calcs - Scen 3'!$D343</f>
        <v>962500.00000000012</v>
      </c>
      <c r="J344" s="124">
        <f>'F1 Ops project support'!R$59*'F1 Ops project support'!$D75*'Calcs - Scen 3'!$D343</f>
        <v>962500.00000000012</v>
      </c>
      <c r="K344" s="124">
        <f>'F1 Ops project support'!S$59*'F1 Ops project support'!$D75*'Calcs - Scen 3'!$D343</f>
        <v>962500.00000000012</v>
      </c>
      <c r="L344" s="124">
        <f>'F1 Ops project support'!T$59*'F1 Ops project support'!$D75*'Calcs - Scen 3'!$D343</f>
        <v>962500.00000000012</v>
      </c>
      <c r="M344" s="124">
        <f>'F1 Ops project support'!U$59*'F1 Ops project support'!$D75*'Calcs - Scen 3'!$D343</f>
        <v>962500.00000000012</v>
      </c>
      <c r="N344" s="124">
        <f>'F1 Ops project support'!V$59*'F1 Ops project support'!$D75*'Calcs - Scen 3'!$D343</f>
        <v>962500.00000000012</v>
      </c>
    </row>
    <row r="345" spans="1:14">
      <c r="A345" s="39"/>
      <c r="B345" s="7" t="s">
        <v>31</v>
      </c>
      <c r="C345" s="129">
        <f>NPV($C$7,F344:N344)+D344+E344</f>
        <v>6398736.1023080926</v>
      </c>
      <c r="D345" s="7"/>
      <c r="E345" s="8"/>
      <c r="F345" s="8"/>
      <c r="G345" s="8"/>
      <c r="H345" s="8"/>
      <c r="I345" s="8"/>
      <c r="J345" s="8"/>
      <c r="K345" s="8"/>
      <c r="L345" s="8"/>
      <c r="M345" s="8"/>
      <c r="N345" s="8"/>
    </row>
    <row r="346" spans="1:14">
      <c r="A346" s="39"/>
      <c r="B346" s="7" t="s">
        <v>4</v>
      </c>
      <c r="C346" s="130" t="str">
        <f>IF(SUM(D346:N346)&gt;1,"CHECK"," ")</f>
        <v xml:space="preserve"> </v>
      </c>
      <c r="D346" s="178">
        <v>0.1</v>
      </c>
      <c r="E346" s="15">
        <v>0.15</v>
      </c>
      <c r="F346" s="15">
        <v>0.6</v>
      </c>
      <c r="G346" s="15">
        <v>0.15</v>
      </c>
      <c r="H346" s="15"/>
      <c r="I346" s="15"/>
      <c r="J346" s="15"/>
      <c r="K346" s="15"/>
      <c r="L346" s="15"/>
      <c r="M346" s="15"/>
      <c r="N346" s="15"/>
    </row>
    <row r="347" spans="1:14" ht="15.75" thickBot="1">
      <c r="A347" s="39"/>
      <c r="B347" s="11" t="s">
        <v>32</v>
      </c>
      <c r="C347" s="51"/>
      <c r="D347" s="179">
        <f>IF(D346&gt;0,(D346*$C345),0)</f>
        <v>639873.61023080931</v>
      </c>
      <c r="E347" s="20">
        <f t="shared" ref="E347:N347" si="52">IF(E346&gt;0,(E346*$C345),0)</f>
        <v>959810.41534621385</v>
      </c>
      <c r="F347" s="20">
        <f t="shared" si="52"/>
        <v>3839241.6613848554</v>
      </c>
      <c r="G347" s="20">
        <f t="shared" si="52"/>
        <v>959810.41534621385</v>
      </c>
      <c r="H347" s="20">
        <f t="shared" si="52"/>
        <v>0</v>
      </c>
      <c r="I347" s="20">
        <f t="shared" si="52"/>
        <v>0</v>
      </c>
      <c r="J347" s="20">
        <f t="shared" si="52"/>
        <v>0</v>
      </c>
      <c r="K347" s="20">
        <f t="shared" si="52"/>
        <v>0</v>
      </c>
      <c r="L347" s="20">
        <f t="shared" si="52"/>
        <v>0</v>
      </c>
      <c r="M347" s="20">
        <f t="shared" si="52"/>
        <v>0</v>
      </c>
      <c r="N347" s="20">
        <f t="shared" si="52"/>
        <v>0</v>
      </c>
    </row>
    <row r="348" spans="1:14" ht="15.75" thickBot="1">
      <c r="A348" s="39"/>
      <c r="B348" s="7"/>
      <c r="C348" s="10"/>
      <c r="D348" s="7"/>
      <c r="E348" s="8"/>
      <c r="F348" s="8"/>
      <c r="G348" s="8"/>
      <c r="H348" s="8"/>
      <c r="I348" s="8"/>
      <c r="J348" s="8"/>
      <c r="K348" s="8"/>
      <c r="L348" s="8"/>
      <c r="M348" s="8"/>
      <c r="N348" s="8"/>
    </row>
    <row r="349" spans="1:14">
      <c r="A349" s="39"/>
      <c r="B349" s="4" t="s">
        <v>12</v>
      </c>
      <c r="C349" s="133" t="str">
        <f>Summary!B63</f>
        <v>G1</v>
      </c>
      <c r="D349" s="156" t="str">
        <f>Summary!C63</f>
        <v>Waste - Procurement Timetable Benefits - Avoided Disposal Costs - Projects other than Clyde Valley</v>
      </c>
      <c r="E349" s="5"/>
      <c r="F349" s="5"/>
      <c r="G349" s="5"/>
      <c r="H349" s="5"/>
      <c r="I349" s="5"/>
      <c r="J349" s="5"/>
      <c r="K349" s="5"/>
      <c r="L349" s="5"/>
      <c r="M349" s="5"/>
      <c r="N349" s="5"/>
    </row>
    <row r="350" spans="1:14">
      <c r="A350" s="39"/>
      <c r="B350" s="7" t="s">
        <v>189</v>
      </c>
      <c r="C350" s="134" t="str">
        <f>'G1 Wst Proc Time Benefits'!D47</f>
        <v>C - Good</v>
      </c>
      <c r="D350" s="176">
        <f>VLOOKUP(C350,'Confidence Factors'!$B$6:$D$9,3)-M3</f>
        <v>0.55000000000000004</v>
      </c>
      <c r="E350" s="8"/>
      <c r="F350" s="8"/>
      <c r="G350" s="8"/>
      <c r="H350" s="8"/>
      <c r="I350" s="8"/>
      <c r="J350" s="8"/>
      <c r="K350" s="8"/>
      <c r="L350" s="8"/>
      <c r="M350" s="8"/>
      <c r="N350" s="8"/>
    </row>
    <row r="351" spans="1:14">
      <c r="A351" s="39"/>
      <c r="B351" s="7" t="s">
        <v>30</v>
      </c>
      <c r="C351" s="128">
        <f>SUM(D351:N351)</f>
        <v>322437.50000000006</v>
      </c>
      <c r="D351" s="177">
        <v>0</v>
      </c>
      <c r="E351" s="19">
        <v>0</v>
      </c>
      <c r="F351" s="19">
        <v>0</v>
      </c>
      <c r="G351" s="19">
        <v>0</v>
      </c>
      <c r="H351" s="19">
        <v>0</v>
      </c>
      <c r="I351" s="19">
        <f>752500*'G1 Wst Proc Time Benefits'!D75*'Calcs - Scen 3'!D350</f>
        <v>206937.50000000003</v>
      </c>
      <c r="J351" s="19">
        <v>0</v>
      </c>
      <c r="K351" s="19"/>
      <c r="L351" s="19">
        <f>420000*'G1 Wst Proc Time Benefits'!D75*'Calcs - Scen 3'!D350</f>
        <v>115500.00000000001</v>
      </c>
      <c r="M351" s="19"/>
      <c r="N351" s="19"/>
    </row>
    <row r="352" spans="1:14">
      <c r="A352" s="39"/>
      <c r="B352" s="7" t="s">
        <v>31</v>
      </c>
      <c r="C352" s="129">
        <f>NPV($C$7,F351:N351)+D351+E351</f>
        <v>274293.40041191882</v>
      </c>
      <c r="D352" s="7"/>
      <c r="E352" s="8"/>
      <c r="F352" s="8"/>
      <c r="G352" s="8"/>
      <c r="H352" s="8"/>
      <c r="I352" s="8"/>
      <c r="J352" s="8"/>
      <c r="K352" s="8"/>
      <c r="L352" s="8"/>
      <c r="M352" s="8"/>
      <c r="N352" s="8"/>
    </row>
    <row r="353" spans="1:14">
      <c r="A353" s="39"/>
      <c r="B353" s="7" t="s">
        <v>4</v>
      </c>
      <c r="C353" s="130" t="str">
        <f>IF(SUM(D353:N353)&gt;1,"CHECK"," ")</f>
        <v xml:space="preserve"> </v>
      </c>
      <c r="D353" s="178">
        <v>0.2</v>
      </c>
      <c r="E353" s="15">
        <v>0.3</v>
      </c>
      <c r="F353" s="15">
        <v>0.3</v>
      </c>
      <c r="G353" s="15">
        <v>0.2</v>
      </c>
      <c r="H353" s="15"/>
      <c r="I353" s="15"/>
      <c r="J353" s="15"/>
      <c r="K353" s="15"/>
      <c r="L353" s="15"/>
      <c r="M353" s="15"/>
      <c r="N353" s="15"/>
    </row>
    <row r="354" spans="1:14" ht="15.75" thickBot="1">
      <c r="A354" s="39"/>
      <c r="B354" s="11" t="s">
        <v>32</v>
      </c>
      <c r="C354" s="51"/>
      <c r="D354" s="179">
        <f>IF(D353&gt;0,(D353*$C352),0)</f>
        <v>54858.680082383769</v>
      </c>
      <c r="E354" s="20">
        <f t="shared" ref="E354:N354" si="53">IF(E353&gt;0,(E353*$C352),0)</f>
        <v>82288.020123575639</v>
      </c>
      <c r="F354" s="20">
        <f t="shared" si="53"/>
        <v>82288.020123575639</v>
      </c>
      <c r="G354" s="20">
        <f t="shared" si="53"/>
        <v>54858.680082383769</v>
      </c>
      <c r="H354" s="20">
        <f t="shared" si="53"/>
        <v>0</v>
      </c>
      <c r="I354" s="20">
        <f t="shared" si="53"/>
        <v>0</v>
      </c>
      <c r="J354" s="20">
        <f t="shared" si="53"/>
        <v>0</v>
      </c>
      <c r="K354" s="20">
        <f t="shared" si="53"/>
        <v>0</v>
      </c>
      <c r="L354" s="20">
        <f t="shared" si="53"/>
        <v>0</v>
      </c>
      <c r="M354" s="20">
        <f t="shared" si="53"/>
        <v>0</v>
      </c>
      <c r="N354" s="20">
        <f t="shared" si="53"/>
        <v>0</v>
      </c>
    </row>
    <row r="355" spans="1:14" ht="15.75" thickBot="1">
      <c r="B355" s="7"/>
      <c r="C355" s="10"/>
      <c r="D355" s="7"/>
      <c r="E355" s="8"/>
      <c r="F355" s="8"/>
      <c r="G355" s="8"/>
      <c r="H355" s="8"/>
      <c r="I355" s="8"/>
      <c r="J355" s="8"/>
      <c r="K355" s="8"/>
      <c r="L355" s="8"/>
      <c r="M355" s="8"/>
      <c r="N355" s="8"/>
    </row>
    <row r="356" spans="1:14">
      <c r="B356" s="4" t="s">
        <v>12</v>
      </c>
      <c r="C356" s="133" t="str">
        <f>Summary!B64</f>
        <v>G2</v>
      </c>
      <c r="D356" s="156" t="str">
        <f>Summary!C64</f>
        <v>Waste - Service Cost Benefits (Reduced Gate Fees) - Projects other than Clyde Valley</v>
      </c>
      <c r="E356" s="5"/>
      <c r="F356" s="5"/>
      <c r="G356" s="5"/>
      <c r="H356" s="5"/>
      <c r="I356" s="5"/>
      <c r="J356" s="5"/>
      <c r="K356" s="5"/>
      <c r="L356" s="5"/>
      <c r="M356" s="5"/>
      <c r="N356" s="5"/>
    </row>
    <row r="357" spans="1:14">
      <c r="B357" s="7" t="s">
        <v>189</v>
      </c>
      <c r="C357" s="134" t="str">
        <f>'G2 Wst Serv Cost Benefits'!D47</f>
        <v>C - Good</v>
      </c>
      <c r="D357" s="176">
        <f>VLOOKUP(C357,'Confidence Factors'!$B$6:$D$9,3)-M3</f>
        <v>0.55000000000000004</v>
      </c>
      <c r="E357" s="8"/>
      <c r="F357" s="8"/>
      <c r="G357" s="8"/>
      <c r="H357" s="8"/>
      <c r="I357" s="8"/>
      <c r="J357" s="8"/>
      <c r="K357" s="8"/>
      <c r="L357" s="8"/>
      <c r="M357" s="8"/>
      <c r="N357" s="8"/>
    </row>
    <row r="358" spans="1:14">
      <c r="B358" s="7" t="s">
        <v>30</v>
      </c>
      <c r="C358" s="128">
        <f>SUM(D358:N358)</f>
        <v>1901790.0000000002</v>
      </c>
      <c r="D358" s="177">
        <v>0</v>
      </c>
      <c r="E358" s="19">
        <v>0</v>
      </c>
      <c r="F358" s="19">
        <v>0</v>
      </c>
      <c r="G358" s="19">
        <v>0</v>
      </c>
      <c r="H358" s="19">
        <v>0</v>
      </c>
      <c r="I358" s="19">
        <f>'G2 Wst Serv Cost Benefits'!I$84*'G2 Wst Serv Cost Benefits'!$D75*'Calcs - Scen 3'!$D357</f>
        <v>181665.00000000003</v>
      </c>
      <c r="J358" s="19">
        <f>'G2 Wst Serv Cost Benefits'!J$84*'G2 Wst Serv Cost Benefits'!$D75*'Calcs - Scen 3'!$D357</f>
        <v>181665.00000000003</v>
      </c>
      <c r="K358" s="19">
        <f>'G2 Wst Serv Cost Benefits'!K$84*'G2 Wst Serv Cost Benefits'!$D75*'Calcs - Scen 3'!$D357</f>
        <v>181665.00000000003</v>
      </c>
      <c r="L358" s="19">
        <f>'G2 Wst Serv Cost Benefits'!L$84*'G2 Wst Serv Cost Benefits'!$D75*'Calcs - Scen 3'!$D357</f>
        <v>452265.00000000006</v>
      </c>
      <c r="M358" s="19">
        <f>'G2 Wst Serv Cost Benefits'!M$84*'G2 Wst Serv Cost Benefits'!$D75*'Calcs - Scen 3'!$D357</f>
        <v>452265.00000000006</v>
      </c>
      <c r="N358" s="19">
        <f>'G2 Wst Serv Cost Benefits'!N$84*'G2 Wst Serv Cost Benefits'!$D75*'Calcs - Scen 3'!$D357</f>
        <v>452265.00000000006</v>
      </c>
    </row>
    <row r="359" spans="1:14">
      <c r="B359" s="7" t="s">
        <v>31</v>
      </c>
      <c r="C359" s="129">
        <f>NPV($C$7,F358:N358)+D358+E358</f>
        <v>1489824.5096435291</v>
      </c>
      <c r="D359" s="7"/>
      <c r="E359" s="8"/>
      <c r="F359" s="8"/>
      <c r="G359" s="8"/>
      <c r="H359" s="8"/>
      <c r="I359" s="8"/>
      <c r="J359" s="8"/>
      <c r="K359" s="8"/>
      <c r="L359" s="8"/>
      <c r="M359" s="8"/>
      <c r="N359" s="8"/>
    </row>
    <row r="360" spans="1:14">
      <c r="B360" s="7" t="s">
        <v>4</v>
      </c>
      <c r="C360" s="130" t="str">
        <f>IF(SUM(D360:N360)&gt;1,"CHECK"," ")</f>
        <v xml:space="preserve"> </v>
      </c>
      <c r="D360" s="178">
        <v>0.2</v>
      </c>
      <c r="E360" s="15">
        <v>0.3</v>
      </c>
      <c r="F360" s="15">
        <v>0.3</v>
      </c>
      <c r="G360" s="15">
        <v>0.2</v>
      </c>
      <c r="H360" s="15"/>
      <c r="I360" s="15"/>
      <c r="J360" s="15"/>
      <c r="K360" s="15"/>
      <c r="L360" s="15"/>
      <c r="M360" s="15"/>
      <c r="N360" s="15"/>
    </row>
    <row r="361" spans="1:14" ht="15.75" thickBot="1">
      <c r="B361" s="11" t="s">
        <v>32</v>
      </c>
      <c r="C361" s="51"/>
      <c r="D361" s="179">
        <f>IF(D360&gt;0,(D360*$C359),0)</f>
        <v>297964.9019287058</v>
      </c>
      <c r="E361" s="20">
        <f t="shared" ref="E361:N361" si="54">IF(E360&gt;0,(E360*$C359),0)</f>
        <v>446947.35289305873</v>
      </c>
      <c r="F361" s="20">
        <f t="shared" si="54"/>
        <v>446947.35289305873</v>
      </c>
      <c r="G361" s="20">
        <f t="shared" si="54"/>
        <v>297964.9019287058</v>
      </c>
      <c r="H361" s="20">
        <f t="shared" si="54"/>
        <v>0</v>
      </c>
      <c r="I361" s="20">
        <f t="shared" si="54"/>
        <v>0</v>
      </c>
      <c r="J361" s="20">
        <f t="shared" si="54"/>
        <v>0</v>
      </c>
      <c r="K361" s="20">
        <f t="shared" si="54"/>
        <v>0</v>
      </c>
      <c r="L361" s="20">
        <f t="shared" si="54"/>
        <v>0</v>
      </c>
      <c r="M361" s="20">
        <f t="shared" si="54"/>
        <v>0</v>
      </c>
      <c r="N361" s="20">
        <f t="shared" si="54"/>
        <v>0</v>
      </c>
    </row>
    <row r="362" spans="1:14" ht="15.75" thickBot="1">
      <c r="B362" s="7"/>
      <c r="C362" s="10"/>
      <c r="D362" s="7"/>
      <c r="E362" s="8"/>
      <c r="F362" s="8"/>
      <c r="G362" s="8"/>
      <c r="H362" s="8"/>
      <c r="I362" s="8"/>
      <c r="J362" s="8"/>
      <c r="K362" s="8"/>
      <c r="L362" s="8"/>
      <c r="M362" s="8"/>
      <c r="N362" s="8"/>
    </row>
    <row r="363" spans="1:14">
      <c r="B363" s="4" t="s">
        <v>12</v>
      </c>
      <c r="C363" s="133" t="str">
        <f>Summary!B65</f>
        <v>G3</v>
      </c>
      <c r="D363" s="156" t="str">
        <f>Summary!C65</f>
        <v>Waste - Reduced Gate Fees - Clyde Valley</v>
      </c>
      <c r="E363" s="5"/>
      <c r="F363" s="5"/>
      <c r="G363" s="5"/>
      <c r="H363" s="5"/>
      <c r="I363" s="5"/>
      <c r="J363" s="5"/>
      <c r="K363" s="5"/>
      <c r="L363" s="5"/>
      <c r="M363" s="5"/>
      <c r="N363" s="5"/>
    </row>
    <row r="364" spans="1:14">
      <c r="B364" s="7" t="s">
        <v>189</v>
      </c>
      <c r="C364" s="134" t="str">
        <f>'G3 Waste Reduced Gate Fees CV'!D47</f>
        <v>D - Moderate</v>
      </c>
      <c r="D364" s="176">
        <f>VLOOKUP(C364,'Confidence Factors'!$B$6:$D$9,3)-M3</f>
        <v>0.35000000000000003</v>
      </c>
      <c r="E364" s="8"/>
      <c r="F364" s="8"/>
      <c r="G364" s="8"/>
      <c r="H364" s="8"/>
      <c r="I364" s="8"/>
      <c r="J364" s="8"/>
      <c r="K364" s="8"/>
      <c r="L364" s="8"/>
      <c r="M364" s="8"/>
      <c r="N364" s="8"/>
    </row>
    <row r="365" spans="1:14">
      <c r="B365" s="7" t="s">
        <v>30</v>
      </c>
      <c r="C365" s="128">
        <f>SUM(D365:N365)</f>
        <v>6235425</v>
      </c>
      <c r="D365" s="177">
        <v>0</v>
      </c>
      <c r="E365" s="19">
        <v>0</v>
      </c>
      <c r="F365" s="19">
        <v>0</v>
      </c>
      <c r="G365" s="19">
        <v>0</v>
      </c>
      <c r="H365" s="19">
        <v>0</v>
      </c>
      <c r="I365" s="19">
        <f>'G3 Waste Reduced Gate Fees CV'!H$75*'G3 Waste Reduced Gate Fees CV'!$D75*'Calcs - Scen 3'!$D364</f>
        <v>524475</v>
      </c>
      <c r="J365" s="19">
        <f>'G3 Waste Reduced Gate Fees CV'!I$75*'G3 Waste Reduced Gate Fees CV'!$D75*'Calcs - Scen 3'!$D364</f>
        <v>699300.00000000012</v>
      </c>
      <c r="K365" s="19">
        <f>'G3 Waste Reduced Gate Fees CV'!J$75*'G3 Waste Reduced Gate Fees CV'!$D75*'Calcs - Scen 3'!$D364</f>
        <v>1305360.0000000002</v>
      </c>
      <c r="L365" s="19">
        <f>'G3 Waste Reduced Gate Fees CV'!K$75*'G3 Waste Reduced Gate Fees CV'!$D75*'Calcs - Scen 3'!$D364</f>
        <v>1270395.0000000002</v>
      </c>
      <c r="M365" s="19">
        <f>'G3 Waste Reduced Gate Fees CV'!L$75*'G3 Waste Reduced Gate Fees CV'!$D75*'Calcs - Scen 3'!$D364</f>
        <v>1235430.0000000002</v>
      </c>
      <c r="N365" s="19">
        <f>'G3 Waste Reduced Gate Fees CV'!M$75*'G3 Waste Reduced Gate Fees CV'!$D75*'Calcs - Scen 3'!$D364</f>
        <v>1200465</v>
      </c>
    </row>
    <row r="366" spans="1:14">
      <c r="B366" s="7" t="s">
        <v>31</v>
      </c>
      <c r="C366" s="129">
        <f>NPV($C$7,F365:N365)+D365+E365</f>
        <v>4925289.8559337119</v>
      </c>
      <c r="D366" s="7"/>
      <c r="E366" s="8"/>
      <c r="F366" s="8"/>
      <c r="G366" s="8"/>
      <c r="H366" s="8"/>
      <c r="I366" s="8"/>
      <c r="J366" s="8"/>
      <c r="K366" s="8"/>
      <c r="L366" s="8"/>
      <c r="M366" s="8"/>
      <c r="N366" s="8"/>
    </row>
    <row r="367" spans="1:14">
      <c r="B367" s="7" t="s">
        <v>4</v>
      </c>
      <c r="C367" s="130" t="str">
        <f>IF(SUM(D367:N367)&gt;1,"CHECK"," ")</f>
        <v xml:space="preserve"> </v>
      </c>
      <c r="D367" s="178">
        <v>0</v>
      </c>
      <c r="E367" s="15">
        <f>1/3</f>
        <v>0.33333333333333331</v>
      </c>
      <c r="F367" s="15">
        <f t="shared" ref="F367:G367" si="55">1/3</f>
        <v>0.33333333333333331</v>
      </c>
      <c r="G367" s="15">
        <f t="shared" si="55"/>
        <v>0.33333333333333331</v>
      </c>
      <c r="H367" s="15"/>
      <c r="I367" s="15"/>
      <c r="J367" s="15"/>
      <c r="K367" s="15"/>
      <c r="L367" s="15"/>
      <c r="M367" s="15"/>
      <c r="N367" s="15"/>
    </row>
    <row r="368" spans="1:14" ht="15.75" thickBot="1">
      <c r="B368" s="11" t="s">
        <v>32</v>
      </c>
      <c r="C368" s="51"/>
      <c r="D368" s="179">
        <f>IF(D367&gt;0,(D367*$C366),0)</f>
        <v>0</v>
      </c>
      <c r="E368" s="20">
        <f t="shared" ref="E368:N368" si="56">IF(E367&gt;0,(E367*$C366),0)</f>
        <v>1641763.2853112372</v>
      </c>
      <c r="F368" s="20">
        <f t="shared" si="56"/>
        <v>1641763.2853112372</v>
      </c>
      <c r="G368" s="20">
        <f t="shared" si="56"/>
        <v>1641763.2853112372</v>
      </c>
      <c r="H368" s="20">
        <f t="shared" si="56"/>
        <v>0</v>
      </c>
      <c r="I368" s="20">
        <f t="shared" si="56"/>
        <v>0</v>
      </c>
      <c r="J368" s="20">
        <f t="shared" si="56"/>
        <v>0</v>
      </c>
      <c r="K368" s="20">
        <f t="shared" si="56"/>
        <v>0</v>
      </c>
      <c r="L368" s="20">
        <f t="shared" si="56"/>
        <v>0</v>
      </c>
      <c r="M368" s="20">
        <f t="shared" si="56"/>
        <v>0</v>
      </c>
      <c r="N368" s="20">
        <f t="shared" si="56"/>
        <v>0</v>
      </c>
    </row>
    <row r="369" spans="2:14" ht="15.75" thickBot="1">
      <c r="B369" s="7"/>
      <c r="C369" s="10"/>
      <c r="D369" s="7"/>
      <c r="E369" s="8"/>
      <c r="F369" s="8"/>
      <c r="G369" s="8"/>
      <c r="H369" s="8"/>
      <c r="I369" s="8"/>
      <c r="J369" s="8"/>
      <c r="K369" s="8"/>
      <c r="L369" s="8"/>
      <c r="M369" s="8"/>
      <c r="N369" s="8"/>
    </row>
    <row r="370" spans="2:14">
      <c r="B370" s="4" t="s">
        <v>12</v>
      </c>
      <c r="C370" s="133" t="str">
        <f>Summary!B66</f>
        <v>G4</v>
      </c>
      <c r="D370" s="156" t="str">
        <f>Summary!C66</f>
        <v>Budget Recast - Initial Benefit Identification</v>
      </c>
      <c r="E370" s="5"/>
      <c r="F370" s="5"/>
      <c r="G370" s="5"/>
      <c r="H370" s="5"/>
      <c r="I370" s="5"/>
      <c r="J370" s="5"/>
      <c r="K370" s="5"/>
      <c r="L370" s="5"/>
      <c r="M370" s="5"/>
      <c r="N370" s="5"/>
    </row>
    <row r="371" spans="2:14">
      <c r="B371" s="7" t="s">
        <v>189</v>
      </c>
      <c r="C371" s="134" t="str">
        <f>'G4 Budget Recast Immediate Save'!D47</f>
        <v>C - Good</v>
      </c>
      <c r="D371" s="176">
        <f>VLOOKUP(C371,'Confidence Factors'!$B$6:$D$9,3)-M3</f>
        <v>0.55000000000000004</v>
      </c>
      <c r="E371" s="8"/>
      <c r="F371" s="8"/>
      <c r="G371" s="8"/>
      <c r="H371" s="8"/>
      <c r="I371" s="8"/>
      <c r="J371" s="8"/>
      <c r="K371" s="8"/>
      <c r="L371" s="8"/>
      <c r="M371" s="8"/>
      <c r="N371" s="8"/>
    </row>
    <row r="372" spans="2:14">
      <c r="B372" s="7" t="s">
        <v>30</v>
      </c>
      <c r="C372" s="128">
        <f>SUM(D372:N372)</f>
        <v>27659775</v>
      </c>
      <c r="D372" s="177">
        <v>0</v>
      </c>
      <c r="E372" s="19">
        <v>0</v>
      </c>
      <c r="F372" s="19">
        <f>'G4 Budget Recast Immediate Save'!I$73*'G4 Budget Recast Immediate Save'!$D75*'Calcs - Scen 3'!$D371</f>
        <v>5431250</v>
      </c>
      <c r="G372" s="19">
        <f>'G4 Budget Recast Immediate Save'!J$73*'G4 Budget Recast Immediate Save'!$D75*'Calcs - Scen 3'!$D371</f>
        <v>5431250</v>
      </c>
      <c r="H372" s="19">
        <f>'G4 Budget Recast Immediate Save'!K$73*'G4 Budget Recast Immediate Save'!$D75*'Calcs - Scen 3'!$D371</f>
        <v>6279075.0000000009</v>
      </c>
      <c r="I372" s="19">
        <f>'G4 Budget Recast Immediate Save'!L$73*'G4 Budget Recast Immediate Save'!$D75*'Calcs - Scen 3'!$D371</f>
        <v>6279075.0000000009</v>
      </c>
      <c r="J372" s="19">
        <f>'G4 Budget Recast Immediate Save'!M$73*'G4 Budget Recast Immediate Save'!$D75*'Calcs - Scen 3'!$D371</f>
        <v>847825.00000000012</v>
      </c>
      <c r="K372" s="19">
        <f>'G4 Budget Recast Immediate Save'!N$73*'G4 Budget Recast Immediate Save'!$D75*'Calcs - Scen 3'!$D371</f>
        <v>847825.00000000012</v>
      </c>
      <c r="L372" s="19">
        <f>'G4 Budget Recast Immediate Save'!O$73*'G4 Budget Recast Immediate Save'!$D75*'Calcs - Scen 3'!$D371</f>
        <v>847825.00000000012</v>
      </c>
      <c r="M372" s="19">
        <f>'G4 Budget Recast Immediate Save'!P$73*'G4 Budget Recast Immediate Save'!$D75*'Calcs - Scen 3'!$D371</f>
        <v>847825.00000000012</v>
      </c>
      <c r="N372" s="19">
        <f>'G4 Budget Recast Immediate Save'!Q$73*'G4 Budget Recast Immediate Save'!$D75*'Calcs - Scen 3'!$D371</f>
        <v>847825.00000000012</v>
      </c>
    </row>
    <row r="373" spans="2:14">
      <c r="B373" s="7" t="s">
        <v>31</v>
      </c>
      <c r="C373" s="129">
        <f>NPV($C$7,F372:N372)+D372+E372</f>
        <v>24788789.967246193</v>
      </c>
      <c r="D373" s="7"/>
      <c r="E373" s="8"/>
      <c r="F373" s="8"/>
      <c r="G373" s="8"/>
      <c r="H373" s="8"/>
      <c r="I373" s="8"/>
      <c r="J373" s="8"/>
      <c r="K373" s="8"/>
      <c r="L373" s="8"/>
      <c r="M373" s="8"/>
      <c r="N373" s="8"/>
    </row>
    <row r="374" spans="2:14">
      <c r="B374" s="7" t="s">
        <v>4</v>
      </c>
      <c r="C374" s="130" t="str">
        <f>IF(SUM(D374:N374)&gt;1,"CHECK"," ")</f>
        <v xml:space="preserve"> </v>
      </c>
      <c r="D374" s="178">
        <v>0</v>
      </c>
      <c r="E374" s="15">
        <v>0.9</v>
      </c>
      <c r="F374" s="15">
        <v>0.1</v>
      </c>
      <c r="G374" s="15"/>
      <c r="H374" s="15"/>
      <c r="I374" s="15"/>
      <c r="J374" s="15"/>
      <c r="K374" s="15"/>
      <c r="L374" s="15"/>
      <c r="M374" s="15"/>
      <c r="N374" s="15"/>
    </row>
    <row r="375" spans="2:14" ht="15.75" thickBot="1">
      <c r="B375" s="11" t="s">
        <v>32</v>
      </c>
      <c r="C375" s="51"/>
      <c r="D375" s="179">
        <f>IF(D374&gt;0,(D374*$C373),0)</f>
        <v>0</v>
      </c>
      <c r="E375" s="20">
        <f t="shared" ref="E375:N375" si="57">IF(E374&gt;0,(E374*$C373),0)</f>
        <v>22309910.970521573</v>
      </c>
      <c r="F375" s="20">
        <f t="shared" si="57"/>
        <v>2478878.9967246195</v>
      </c>
      <c r="G375" s="20">
        <f t="shared" si="57"/>
        <v>0</v>
      </c>
      <c r="H375" s="20">
        <f t="shared" si="57"/>
        <v>0</v>
      </c>
      <c r="I375" s="20">
        <f t="shared" si="57"/>
        <v>0</v>
      </c>
      <c r="J375" s="20">
        <f t="shared" si="57"/>
        <v>0</v>
      </c>
      <c r="K375" s="20">
        <f t="shared" si="57"/>
        <v>0</v>
      </c>
      <c r="L375" s="20">
        <f t="shared" si="57"/>
        <v>0</v>
      </c>
      <c r="M375" s="20">
        <f t="shared" si="57"/>
        <v>0</v>
      </c>
      <c r="N375" s="20">
        <f t="shared" si="57"/>
        <v>0</v>
      </c>
    </row>
    <row r="376" spans="2:14" ht="15.75" thickBot="1">
      <c r="B376" s="221"/>
      <c r="C376" s="222"/>
      <c r="D376" s="221"/>
      <c r="E376" s="172"/>
      <c r="F376" s="172"/>
      <c r="G376" s="172"/>
      <c r="H376" s="172"/>
      <c r="I376" s="172"/>
      <c r="J376" s="172"/>
      <c r="K376" s="172"/>
      <c r="L376" s="172"/>
      <c r="M376" s="172"/>
      <c r="N376" s="172"/>
    </row>
    <row r="377" spans="2:14">
      <c r="B377" s="4" t="s">
        <v>12</v>
      </c>
      <c r="C377" s="133" t="str">
        <f>Summary!B67</f>
        <v>G5</v>
      </c>
      <c r="D377" s="156" t="str">
        <f>Summary!C67</f>
        <v xml:space="preserve">Asset Management </v>
      </c>
      <c r="E377" s="5"/>
      <c r="F377" s="5"/>
      <c r="G377" s="5"/>
      <c r="H377" s="5"/>
      <c r="I377" s="5"/>
      <c r="J377" s="5"/>
      <c r="K377" s="5"/>
      <c r="L377" s="5"/>
      <c r="M377" s="5"/>
      <c r="N377" s="5"/>
    </row>
    <row r="378" spans="2:14">
      <c r="B378" s="7" t="s">
        <v>189</v>
      </c>
      <c r="C378" s="134" t="str">
        <f>'G5 Asset Mgt'!D47</f>
        <v>D - Moderate</v>
      </c>
      <c r="D378" s="176">
        <f>VLOOKUP(C378,'Confidence Factors'!$B$6:$D$9,3)-M3</f>
        <v>0.35000000000000003</v>
      </c>
      <c r="E378" s="8"/>
      <c r="F378" s="8"/>
      <c r="G378" s="8"/>
      <c r="H378" s="8"/>
      <c r="I378" s="8"/>
      <c r="J378" s="8"/>
      <c r="K378" s="8"/>
      <c r="L378" s="8"/>
      <c r="M378" s="8"/>
      <c r="N378" s="8"/>
    </row>
    <row r="379" spans="2:14">
      <c r="B379" s="7" t="s">
        <v>30</v>
      </c>
      <c r="C379" s="128">
        <f>SUM(D379:N379)</f>
        <v>110425000.00000001</v>
      </c>
      <c r="D379" s="177">
        <v>0</v>
      </c>
      <c r="E379" s="19">
        <v>0</v>
      </c>
      <c r="F379" s="19">
        <f>'G5 Asset Mgt'!J$103*'G5 Asset Mgt'!$D75*D378</f>
        <v>1312500.0000000002</v>
      </c>
      <c r="G379" s="19">
        <f>'G5 Asset Mgt'!K$103*'G5 Asset Mgt'!$D75*D378</f>
        <v>3062500.0000000005</v>
      </c>
      <c r="H379" s="19">
        <f>'G5 Asset Mgt'!L$103*'G5 Asset Mgt'!$D75*D378</f>
        <v>6562500.0000000009</v>
      </c>
      <c r="I379" s="19">
        <f>'G5 Asset Mgt'!M$103*'G5 Asset Mgt'!$D75*D378</f>
        <v>12512500.000000002</v>
      </c>
      <c r="J379" s="19">
        <f>'G5 Asset Mgt'!N$103*'G5 Asset Mgt'!$D75*D378</f>
        <v>19775000.000000004</v>
      </c>
      <c r="K379" s="19">
        <f>'G5 Asset Mgt'!O$103*'G5 Asset Mgt'!$D75*D378</f>
        <v>19687500.000000004</v>
      </c>
      <c r="L379" s="19">
        <f>'G5 Asset Mgt'!P$103*'G5 Asset Mgt'!$D75*D378</f>
        <v>19337500</v>
      </c>
      <c r="M379" s="19">
        <f>'G5 Asset Mgt'!Q$103*'G5 Asset Mgt'!$D75*D378</f>
        <v>16712500.000000002</v>
      </c>
      <c r="N379" s="19">
        <f>'G5 Asset Mgt'!R$103*'G5 Asset Mgt'!$D75*D378</f>
        <v>11462500.000000002</v>
      </c>
    </row>
    <row r="380" spans="2:14">
      <c r="B380" s="7" t="s">
        <v>31</v>
      </c>
      <c r="C380" s="129">
        <f>NPV($C$7,F379:N379)+D379+E379</f>
        <v>89916882.755572975</v>
      </c>
      <c r="D380" s="7"/>
      <c r="E380" s="8"/>
      <c r="F380" s="8"/>
      <c r="G380" s="8"/>
      <c r="H380" s="8"/>
      <c r="I380" s="8"/>
      <c r="J380" s="8"/>
      <c r="K380" s="8"/>
      <c r="L380" s="8"/>
      <c r="M380" s="8"/>
      <c r="N380" s="8"/>
    </row>
    <row r="381" spans="2:14">
      <c r="B381" s="7" t="s">
        <v>4</v>
      </c>
      <c r="C381" s="130" t="str">
        <f>IF(SUM(D381:N381)&gt;1,"CHECK"," ")</f>
        <v xml:space="preserve"> </v>
      </c>
      <c r="D381" s="178">
        <v>0</v>
      </c>
      <c r="E381" s="15">
        <v>0.05</v>
      </c>
      <c r="F381" s="15">
        <v>0.35</v>
      </c>
      <c r="G381" s="15">
        <v>0.3</v>
      </c>
      <c r="H381" s="15">
        <v>0.1</v>
      </c>
      <c r="I381" s="15">
        <v>0.1</v>
      </c>
      <c r="J381" s="15">
        <v>0.1</v>
      </c>
      <c r="K381" s="15"/>
      <c r="L381" s="15"/>
      <c r="M381" s="15"/>
      <c r="N381" s="15"/>
    </row>
    <row r="382" spans="2:14" ht="15.75" thickBot="1">
      <c r="B382" s="11" t="s">
        <v>32</v>
      </c>
      <c r="C382" s="51"/>
      <c r="D382" s="179">
        <f>IF(D381&gt;0,(D381*$C380),0)</f>
        <v>0</v>
      </c>
      <c r="E382" s="20">
        <f t="shared" ref="E382:N382" si="58">IF(E381&gt;0,(E381*$C380),0)</f>
        <v>4495844.1377786491</v>
      </c>
      <c r="F382" s="20">
        <f t="shared" si="58"/>
        <v>31470908.964450538</v>
      </c>
      <c r="G382" s="20">
        <f t="shared" si="58"/>
        <v>26975064.826671891</v>
      </c>
      <c r="H382" s="20">
        <f t="shared" si="58"/>
        <v>8991688.2755572982</v>
      </c>
      <c r="I382" s="20">
        <f t="shared" si="58"/>
        <v>8991688.2755572982</v>
      </c>
      <c r="J382" s="20">
        <f t="shared" si="58"/>
        <v>8991688.2755572982</v>
      </c>
      <c r="K382" s="20">
        <f t="shared" si="58"/>
        <v>0</v>
      </c>
      <c r="L382" s="20">
        <f t="shared" si="58"/>
        <v>0</v>
      </c>
      <c r="M382" s="20">
        <f t="shared" si="58"/>
        <v>0</v>
      </c>
      <c r="N382" s="20">
        <f t="shared" si="58"/>
        <v>0</v>
      </c>
    </row>
    <row r="383" spans="2:14" ht="15.75" thickBot="1">
      <c r="B383" s="221"/>
      <c r="C383" s="222"/>
      <c r="D383" s="221"/>
      <c r="E383" s="172"/>
      <c r="F383" s="172"/>
      <c r="G383" s="172"/>
      <c r="H383" s="172"/>
      <c r="I383" s="172"/>
      <c r="J383" s="172"/>
      <c r="K383" s="172"/>
      <c r="L383" s="172"/>
      <c r="M383" s="172"/>
      <c r="N383" s="172"/>
    </row>
    <row r="384" spans="2:14">
      <c r="B384" s="4" t="s">
        <v>12</v>
      </c>
      <c r="C384" s="133" t="str">
        <f>Summary!B68</f>
        <v>G6</v>
      </c>
      <c r="D384" s="156" t="str">
        <f>Summary!C68</f>
        <v xml:space="preserve">NPD Programme - Needs not Wants - Scrutiny &amp; Challenge </v>
      </c>
      <c r="E384" s="5"/>
      <c r="F384" s="5"/>
      <c r="G384" s="5"/>
      <c r="H384" s="5"/>
      <c r="I384" s="5"/>
      <c r="J384" s="5"/>
      <c r="K384" s="5"/>
      <c r="L384" s="5"/>
      <c r="M384" s="5"/>
      <c r="N384" s="5"/>
    </row>
    <row r="385" spans="2:43">
      <c r="B385" s="7" t="s">
        <v>189</v>
      </c>
      <c r="C385" s="134" t="str">
        <f>'G6 NPD Prog Scrutiny &amp;Challenge'!D47</f>
        <v>D - Moderate</v>
      </c>
      <c r="D385" s="176">
        <f>VLOOKUP(C385,'Confidence Factors'!$B$6:$D$9,3)-M3</f>
        <v>0.35000000000000003</v>
      </c>
      <c r="E385" s="8"/>
      <c r="F385" s="8"/>
      <c r="G385" s="8"/>
      <c r="H385" s="8"/>
      <c r="I385" s="8"/>
      <c r="J385" s="8"/>
      <c r="K385" s="8"/>
      <c r="L385" s="8"/>
      <c r="M385" s="8"/>
      <c r="N385" s="8"/>
    </row>
    <row r="386" spans="2:43">
      <c r="B386" s="7" t="s">
        <v>30</v>
      </c>
      <c r="C386" s="128">
        <f>SUM(D386:N386)</f>
        <v>3640000</v>
      </c>
      <c r="D386" s="177">
        <v>0</v>
      </c>
      <c r="E386" s="19">
        <v>0</v>
      </c>
      <c r="F386" s="19">
        <f>'G4 Budget Recast Immediate Save'!I$73*'G4 Budget Recast Immediate Save'!$D89*'Calcs - Scen 1'!$D385</f>
        <v>0</v>
      </c>
      <c r="G386" s="19">
        <f>'G4 Budget Recast Immediate Save'!J$73*'G4 Budget Recast Immediate Save'!$D89*'Calcs - Scen 1'!$D385</f>
        <v>0</v>
      </c>
      <c r="H386" s="19">
        <v>0</v>
      </c>
      <c r="I386" s="19">
        <f>'G6 NPD Prog Scrutiny &amp;Challenge'!P$87*'G6 NPD Prog Scrutiny &amp;Challenge'!$D75*D385</f>
        <v>70000</v>
      </c>
      <c r="J386" s="19">
        <f>'G6 NPD Prog Scrutiny &amp;Challenge'!Q$87*'G6 NPD Prog Scrutiny &amp;Challenge'!$D75*D385</f>
        <v>490000.00000000006</v>
      </c>
      <c r="K386" s="19">
        <f>'G6 NPD Prog Scrutiny &amp;Challenge'!R$87*'G6 NPD Prog Scrutiny &amp;Challenge'!$D75*D385</f>
        <v>770000.00000000012</v>
      </c>
      <c r="L386" s="19">
        <f>'G6 NPD Prog Scrutiny &amp;Challenge'!S$87*'G6 NPD Prog Scrutiny &amp;Challenge'!$D75*D385</f>
        <v>770000.00000000012</v>
      </c>
      <c r="M386" s="19">
        <f>'G6 NPD Prog Scrutiny &amp;Challenge'!T$87*'G6 NPD Prog Scrutiny &amp;Challenge'!$D75*D385</f>
        <v>770000.00000000012</v>
      </c>
      <c r="N386" s="216">
        <f>'G6 NPD Prog Scrutiny &amp;Challenge'!U$87*'G6 NPD Prog Scrutiny &amp;Challenge'!$D75*D385</f>
        <v>770000.00000000012</v>
      </c>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c r="AO386" s="114"/>
      <c r="AP386" s="114"/>
      <c r="AQ386" s="65"/>
    </row>
    <row r="387" spans="2:43">
      <c r="B387" s="7" t="s">
        <v>31</v>
      </c>
      <c r="C387" s="129">
        <f>NPV($C$7,F386:N386)+D386+E386</f>
        <v>2854896.0904156035</v>
      </c>
      <c r="D387" s="7"/>
      <c r="E387" s="8"/>
      <c r="F387" s="8"/>
      <c r="G387" s="8"/>
      <c r="H387" s="8"/>
      <c r="I387" s="8"/>
      <c r="J387" s="8"/>
      <c r="K387" s="8"/>
      <c r="L387" s="8"/>
      <c r="M387" s="8"/>
      <c r="N387" s="8"/>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row>
    <row r="388" spans="2:43">
      <c r="B388" s="7" t="s">
        <v>4</v>
      </c>
      <c r="C388" s="130" t="str">
        <f>IF(SUM(D388:N388)&gt;1,"CHECK"," ")</f>
        <v xml:space="preserve"> </v>
      </c>
      <c r="D388" s="178">
        <v>0</v>
      </c>
      <c r="E388" s="15">
        <v>0.1</v>
      </c>
      <c r="F388" s="15">
        <v>0.6</v>
      </c>
      <c r="G388" s="15">
        <v>0.3</v>
      </c>
      <c r="H388" s="15">
        <v>0</v>
      </c>
      <c r="I388" s="15">
        <v>0</v>
      </c>
      <c r="J388" s="15">
        <v>0</v>
      </c>
      <c r="K388" s="15"/>
      <c r="L388" s="15"/>
      <c r="M388" s="15"/>
      <c r="N388" s="146"/>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65"/>
    </row>
    <row r="389" spans="2:43" ht="15.75" thickBot="1">
      <c r="B389" s="11" t="s">
        <v>32</v>
      </c>
      <c r="C389" s="51"/>
      <c r="D389" s="179">
        <f>IF(D388&gt;0,(D388*$C387),0)</f>
        <v>0</v>
      </c>
      <c r="E389" s="20">
        <f t="shared" ref="E389:N389" si="59">IF(E388&gt;0,(E388*$C387),0)</f>
        <v>285489.60904156038</v>
      </c>
      <c r="F389" s="20">
        <f t="shared" si="59"/>
        <v>1712937.6542493619</v>
      </c>
      <c r="G389" s="20">
        <f t="shared" si="59"/>
        <v>856468.82712468097</v>
      </c>
      <c r="H389" s="20">
        <f t="shared" si="59"/>
        <v>0</v>
      </c>
      <c r="I389" s="20">
        <f t="shared" si="59"/>
        <v>0</v>
      </c>
      <c r="J389" s="20">
        <f t="shared" si="59"/>
        <v>0</v>
      </c>
      <c r="K389" s="20">
        <f t="shared" si="59"/>
        <v>0</v>
      </c>
      <c r="L389" s="20">
        <f t="shared" si="59"/>
        <v>0</v>
      </c>
      <c r="M389" s="20">
        <f t="shared" si="59"/>
        <v>0</v>
      </c>
      <c r="N389" s="20">
        <f t="shared" si="59"/>
        <v>0</v>
      </c>
    </row>
    <row r="390" spans="2:43" ht="15.75" thickBot="1">
      <c r="B390" s="221"/>
      <c r="C390" s="222"/>
      <c r="D390" s="221"/>
      <c r="E390" s="172"/>
      <c r="F390" s="172"/>
      <c r="G390" s="172"/>
      <c r="H390" s="172"/>
      <c r="I390" s="172"/>
      <c r="J390" s="172"/>
      <c r="K390" s="172"/>
      <c r="L390" s="172"/>
      <c r="M390" s="172"/>
      <c r="N390" s="172"/>
    </row>
  </sheetData>
  <pageMargins left="0.7" right="0.7" top="0.75" bottom="0.75" header="0.3" footer="0.3"/>
  <pageSetup paperSize="9" scale="25"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P390"/>
  <sheetViews>
    <sheetView zoomScale="75" zoomScaleNormal="75" workbookViewId="0">
      <pane xSplit="3" ySplit="11" topLeftCell="D366" activePane="bottomRight" state="frozen"/>
      <selection activeCell="L52" sqref="L52"/>
      <selection pane="topRight" activeCell="L52" sqref="L52"/>
      <selection pane="bottomLeft" activeCell="L52" sqref="L52"/>
      <selection pane="bottomRight" activeCell="M4" sqref="M4"/>
    </sheetView>
  </sheetViews>
  <sheetFormatPr defaultRowHeight="15"/>
  <cols>
    <col min="1" max="1" width="2.85546875" customWidth="1"/>
    <col min="2" max="2" width="25.5703125" customWidth="1"/>
    <col min="3" max="3" width="15.28515625" bestFit="1" customWidth="1"/>
    <col min="4" max="4" width="15.28515625" customWidth="1"/>
    <col min="5" max="5" width="15.42578125" customWidth="1"/>
    <col min="6" max="6" width="14.42578125" customWidth="1"/>
    <col min="7" max="7" width="14.140625" customWidth="1"/>
    <col min="8" max="10" width="12.7109375" bestFit="1" customWidth="1"/>
    <col min="11" max="13" width="14.42578125" bestFit="1" customWidth="1"/>
    <col min="14" max="14" width="12.7109375" bestFit="1" customWidth="1"/>
    <col min="15" max="15" width="13.28515625" customWidth="1"/>
    <col min="16" max="16" width="15.42578125" customWidth="1"/>
    <col min="17" max="17" width="13.28515625" customWidth="1"/>
    <col min="18" max="18" width="12.5703125" customWidth="1"/>
    <col min="19" max="19" width="13.42578125" customWidth="1"/>
    <col min="20" max="20" width="15.140625" customWidth="1"/>
    <col min="21" max="21" width="14.5703125" customWidth="1"/>
    <col min="22" max="22" width="14.28515625" customWidth="1"/>
    <col min="23" max="23" width="15.42578125" customWidth="1"/>
    <col min="24" max="24" width="13.85546875" customWidth="1"/>
    <col min="25" max="25" width="14.42578125" customWidth="1"/>
    <col min="26" max="27" width="13.85546875" customWidth="1"/>
    <col min="28" max="28" width="13.7109375" customWidth="1"/>
    <col min="29" max="29" width="12.28515625" customWidth="1"/>
    <col min="30" max="30" width="13.140625" customWidth="1"/>
    <col min="31" max="31" width="15" customWidth="1"/>
    <col min="32" max="32" width="13.28515625" customWidth="1"/>
    <col min="33" max="33" width="12.5703125" customWidth="1"/>
    <col min="34" max="34" width="15.140625" customWidth="1"/>
    <col min="35" max="40" width="11.5703125" bestFit="1" customWidth="1"/>
    <col min="41" max="41" width="11.42578125" customWidth="1"/>
    <col min="42" max="42" width="9.85546875" bestFit="1" customWidth="1"/>
  </cols>
  <sheetData>
    <row r="1" spans="1:42" ht="19.5" thickBot="1">
      <c r="B1" s="25" t="s">
        <v>60</v>
      </c>
      <c r="I1" s="726" t="s">
        <v>3</v>
      </c>
      <c r="K1" s="726" t="s">
        <v>5</v>
      </c>
      <c r="M1" s="726" t="s">
        <v>5</v>
      </c>
      <c r="O1" s="726" t="s">
        <v>5</v>
      </c>
    </row>
    <row r="2" spans="1:42" ht="19.5" thickBot="1">
      <c r="B2" s="25" t="s">
        <v>347</v>
      </c>
      <c r="D2" s="262"/>
      <c r="E2" s="198" t="s">
        <v>3</v>
      </c>
      <c r="F2" s="1" t="s">
        <v>5</v>
      </c>
      <c r="G2" s="542" t="s">
        <v>458</v>
      </c>
      <c r="I2" s="1037" t="s">
        <v>861</v>
      </c>
      <c r="K2" s="1037" t="s">
        <v>863</v>
      </c>
      <c r="M2" s="1037" t="s">
        <v>862</v>
      </c>
      <c r="O2" s="1037" t="s">
        <v>599</v>
      </c>
    </row>
    <row r="3" spans="1:42" ht="19.5" thickBot="1">
      <c r="B3" s="25" t="s">
        <v>112</v>
      </c>
      <c r="D3" s="164" t="s">
        <v>349</v>
      </c>
      <c r="E3" s="540">
        <f>D11/1000000</f>
        <v>146.7929119847324</v>
      </c>
      <c r="F3" s="1019">
        <f>E11/1000000</f>
        <v>140.05340190984023</v>
      </c>
      <c r="G3" s="1020">
        <f>E3+F3</f>
        <v>286.84631389457263</v>
      </c>
      <c r="H3" s="145"/>
      <c r="I3" s="735">
        <v>114</v>
      </c>
      <c r="J3" s="145"/>
      <c r="K3" s="1021">
        <f>G3-I3</f>
        <v>172.84631389457263</v>
      </c>
      <c r="L3" s="145"/>
      <c r="M3" s="735">
        <v>4</v>
      </c>
      <c r="N3" s="145"/>
      <c r="O3" s="735">
        <f>K3-M3</f>
        <v>168.84631389457263</v>
      </c>
    </row>
    <row r="4" spans="1:42" s="39" customFormat="1" ht="18.75">
      <c r="B4" s="40" t="s">
        <v>316</v>
      </c>
      <c r="D4" s="196"/>
      <c r="E4" s="181"/>
      <c r="I4" s="39" t="s">
        <v>783</v>
      </c>
    </row>
    <row r="5" spans="1:42" ht="18.75">
      <c r="B5" s="25"/>
      <c r="M5" s="145"/>
    </row>
    <row r="6" spans="1:42">
      <c r="B6" s="36" t="s">
        <v>114</v>
      </c>
    </row>
    <row r="7" spans="1:42" s="1" customFormat="1" ht="15.75" thickBot="1">
      <c r="B7" s="48" t="s">
        <v>59</v>
      </c>
      <c r="C7" s="49">
        <v>3.5000000000000003E-2</v>
      </c>
      <c r="D7" s="2" t="s">
        <v>3</v>
      </c>
      <c r="E7" s="2" t="s">
        <v>5</v>
      </c>
      <c r="F7" s="2" t="s">
        <v>6</v>
      </c>
      <c r="G7" s="2" t="s">
        <v>7</v>
      </c>
      <c r="H7" s="2" t="s">
        <v>8</v>
      </c>
      <c r="I7" s="2" t="s">
        <v>9</v>
      </c>
      <c r="J7" s="2" t="s">
        <v>10</v>
      </c>
      <c r="K7" s="2" t="s">
        <v>11</v>
      </c>
      <c r="L7" s="2" t="s">
        <v>13</v>
      </c>
      <c r="M7" s="2" t="s">
        <v>14</v>
      </c>
      <c r="N7" s="2" t="s">
        <v>15</v>
      </c>
      <c r="O7" s="2" t="s">
        <v>16</v>
      </c>
      <c r="P7" s="2" t="s">
        <v>17</v>
      </c>
      <c r="Q7" s="2" t="s">
        <v>18</v>
      </c>
      <c r="R7" s="2" t="s">
        <v>19</v>
      </c>
      <c r="S7" s="2" t="s">
        <v>20</v>
      </c>
      <c r="T7" s="2" t="s">
        <v>21</v>
      </c>
      <c r="U7" s="2" t="s">
        <v>22</v>
      </c>
      <c r="V7" s="2" t="s">
        <v>23</v>
      </c>
      <c r="W7" s="2" t="s">
        <v>24</v>
      </c>
      <c r="X7" s="2" t="s">
        <v>25</v>
      </c>
      <c r="Y7" s="2" t="s">
        <v>26</v>
      </c>
      <c r="Z7" s="2" t="s">
        <v>27</v>
      </c>
      <c r="AA7" s="2" t="s">
        <v>28</v>
      </c>
      <c r="AB7" s="2" t="s">
        <v>29</v>
      </c>
      <c r="AC7" s="2" t="s">
        <v>46</v>
      </c>
      <c r="AD7" s="2" t="s">
        <v>47</v>
      </c>
      <c r="AE7" s="2" t="s">
        <v>48</v>
      </c>
      <c r="AF7" s="2" t="s">
        <v>49</v>
      </c>
      <c r="AG7" s="2" t="s">
        <v>50</v>
      </c>
      <c r="AH7" s="2" t="s">
        <v>51</v>
      </c>
      <c r="AI7" s="2" t="s">
        <v>52</v>
      </c>
      <c r="AJ7" s="2" t="s">
        <v>53</v>
      </c>
      <c r="AK7" s="2" t="s">
        <v>54</v>
      </c>
      <c r="AL7" s="2" t="s">
        <v>55</v>
      </c>
      <c r="AM7" s="2" t="s">
        <v>56</v>
      </c>
      <c r="AN7" s="2" t="s">
        <v>57</v>
      </c>
      <c r="AO7" s="522" t="s">
        <v>279</v>
      </c>
      <c r="AP7" s="2" t="s">
        <v>281</v>
      </c>
    </row>
    <row r="8" spans="1:42" s="1" customFormat="1" ht="15.75" thickBot="1">
      <c r="B8" s="41" t="s">
        <v>35</v>
      </c>
      <c r="C8" s="137"/>
      <c r="D8" s="142">
        <f>D$15+D$22+D$29+D$36+D$43+D$50+D$57+D$64+D$71+D$78+D$85+D$92+D$99+D$106+D$113+D$120+D$127+D$134+D$141+D$148+D$155+D$162+D$169+D$176+D$183+D$190+D$197+D$204+D$211+D$218+D$225+D$232+D$239+D$246+D$253+D$260+D$267+D$274+D$281+D$288+D$295+D$302+D$309+D$316+D$323+D$330+D$337+D$344+D$351+D$358+D$365+D$372+D$379+D$386</f>
        <v>884117.77500000002</v>
      </c>
      <c r="E8" s="142">
        <f t="shared" ref="E8:AP8" si="0">E$15+E$22+E$29+E$36+E$43+E$50+E$57+E$64+E$71+E$78+E$85+E$92+E$99+E$106+E$113+E$120+E$127+E$134+E$141+E$148+E$155+E$162+E$169+E$176+E$183+E$190+E$197+E$204+E$211+E$218+E$225+E$232+E$239+E$246+E$253+E$260+E$267+E$274+E$281+E$288+E$295+E$302+E$309+E$316+E$323+E$330+E$337+E$344+E$351+E$358+E$365+E$372+E$379+E$386</f>
        <v>5473500.7706602383</v>
      </c>
      <c r="F8" s="142">
        <f t="shared" si="0"/>
        <v>24055953.57325149</v>
      </c>
      <c r="G8" s="142">
        <f t="shared" si="0"/>
        <v>64981508.171688989</v>
      </c>
      <c r="H8" s="142">
        <f t="shared" si="0"/>
        <v>53647867.316220246</v>
      </c>
      <c r="I8" s="142">
        <f t="shared" si="0"/>
        <v>74635741.62741816</v>
      </c>
      <c r="J8" s="142">
        <f t="shared" si="0"/>
        <v>70448435.113355666</v>
      </c>
      <c r="K8" s="142">
        <f t="shared" si="0"/>
        <v>73741497.549032748</v>
      </c>
      <c r="L8" s="142">
        <f t="shared" si="0"/>
        <v>66101224.544791669</v>
      </c>
      <c r="M8" s="142">
        <f t="shared" si="0"/>
        <v>48730839.141666666</v>
      </c>
      <c r="N8" s="142">
        <f t="shared" si="0"/>
        <v>36578091.879166663</v>
      </c>
      <c r="O8" s="142">
        <f t="shared" si="0"/>
        <v>7043540.375</v>
      </c>
      <c r="P8" s="142">
        <f t="shared" si="0"/>
        <v>6951965.75</v>
      </c>
      <c r="Q8" s="142">
        <f t="shared" si="0"/>
        <v>6860391.125</v>
      </c>
      <c r="R8" s="142">
        <f t="shared" si="0"/>
        <v>6768816.5</v>
      </c>
      <c r="S8" s="142">
        <f t="shared" si="0"/>
        <v>6677241.875</v>
      </c>
      <c r="T8" s="142">
        <f t="shared" si="0"/>
        <v>5248672.25</v>
      </c>
      <c r="U8" s="142">
        <f t="shared" si="0"/>
        <v>5248672.625</v>
      </c>
      <c r="V8" s="142">
        <f t="shared" si="0"/>
        <v>5248673</v>
      </c>
      <c r="W8" s="142">
        <f t="shared" si="0"/>
        <v>5248673.375</v>
      </c>
      <c r="X8" s="142">
        <f t="shared" si="0"/>
        <v>5231573.75</v>
      </c>
      <c r="Y8" s="142">
        <f t="shared" si="0"/>
        <v>5231574.125</v>
      </c>
      <c r="Z8" s="142">
        <f t="shared" si="0"/>
        <v>5231574.5</v>
      </c>
      <c r="AA8" s="142">
        <f t="shared" si="0"/>
        <v>5231574.875</v>
      </c>
      <c r="AB8" s="142">
        <f t="shared" si="0"/>
        <v>5231575.25</v>
      </c>
      <c r="AC8" s="142">
        <f t="shared" si="0"/>
        <v>5231575.625</v>
      </c>
      <c r="AD8" s="142">
        <f t="shared" si="0"/>
        <v>5231576</v>
      </c>
      <c r="AE8" s="142">
        <f t="shared" si="0"/>
        <v>5231576.375</v>
      </c>
      <c r="AF8" s="142">
        <f t="shared" si="0"/>
        <v>5231576.75</v>
      </c>
      <c r="AG8" s="142">
        <f t="shared" si="0"/>
        <v>5231577.125</v>
      </c>
      <c r="AH8" s="142">
        <f t="shared" si="0"/>
        <v>4579062.5</v>
      </c>
      <c r="AI8" s="142">
        <f t="shared" si="0"/>
        <v>4469062.5</v>
      </c>
      <c r="AJ8" s="142">
        <f t="shared" si="0"/>
        <v>3747062.5</v>
      </c>
      <c r="AK8" s="142">
        <f t="shared" si="0"/>
        <v>788062.5</v>
      </c>
      <c r="AL8" s="142">
        <f t="shared" si="0"/>
        <v>788062.5</v>
      </c>
      <c r="AM8" s="142">
        <f t="shared" si="0"/>
        <v>0</v>
      </c>
      <c r="AN8" s="142">
        <f t="shared" si="0"/>
        <v>0</v>
      </c>
      <c r="AO8" s="142">
        <f t="shared" si="0"/>
        <v>0</v>
      </c>
      <c r="AP8" s="142">
        <f t="shared" si="0"/>
        <v>0</v>
      </c>
    </row>
    <row r="9" spans="1:42" s="17" customFormat="1" ht="15.75" thickBot="1">
      <c r="B9" s="42" t="s">
        <v>33</v>
      </c>
      <c r="C9" s="141">
        <f>C16+C23+C30+C37+C44+C51+C58+C65+C72+C79+C86+C93+C100+C107+C114+C121+C128+C135+C142+C149+C156+C163+C170+C177+C184+C191+C198+C205+C212+C219+C226+C233+C240+C247+C254+C261+C268+C275+C282+C289+C296+C303+C310+C317+C324+C331+C338+C345+C352+C359+C366+C373+C380+C387</f>
        <v>501965798.85025138</v>
      </c>
      <c r="D9" s="140"/>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4"/>
    </row>
    <row r="10" spans="1:42" s="45" customFormat="1" ht="15.75" thickBot="1">
      <c r="B10" s="42"/>
      <c r="C10" s="138" t="str">
        <f>IF(SUM(D11:AN11)&lt;&gt;C9,"CHECK"," ")</f>
        <v>CHECK</v>
      </c>
      <c r="D10" s="140"/>
      <c r="E10" s="43">
        <f>SUM(D11:K11)</f>
        <v>501965773.65825856</v>
      </c>
      <c r="F10" s="43">
        <f>C9-E10</f>
        <v>25.191992819309235</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4"/>
    </row>
    <row r="11" spans="1:42" s="35" customFormat="1" ht="15.75" thickBot="1">
      <c r="B11" s="46" t="s">
        <v>34</v>
      </c>
      <c r="C11" s="47"/>
      <c r="D11" s="142">
        <f>D$18+D$25+D$32+D$39+D$46+D$53+D$60+D$67+D$74+D$81+D$88+D$95+D$102+D$109+D$116+D$123+D$130+D$137+D$144+D$151+D$158+D$165+D$172+D$179+D$186+D$193+D$200+D$207+D$214+D$221+D$228+D$235+D$242+D$249+D$256+D$263+D$270+D$277+D$284+D$291+D$298+D$305+D$312+D$319+D$326+D$333+D$340+D$347+D$354+D$361+D$368+D$375+D$382+D$389</f>
        <v>146792911.98473239</v>
      </c>
      <c r="E11" s="142">
        <f t="shared" ref="E11:AP11" si="1">E$18+E$25+E$32+E$39+E$46+E$53+E$60+E$67+E$74+E$81+E$88+E$95+E$102+E$109+E$116+E$123+E$130+E$137+E$144+E$151+E$158+E$165+E$172+E$179+E$186+E$193+E$200+E$207+E$214+E$221+E$228+E$235+E$242+E$249+E$256+E$263+E$270+E$277+E$284+E$291+E$298+E$305+E$312+E$319+E$326+E$333+E$340+E$347+E$354+E$361+E$368+E$375+E$382+E$389</f>
        <v>140053401.90984023</v>
      </c>
      <c r="F11" s="142">
        <f t="shared" si="1"/>
        <v>106541524.75769973</v>
      </c>
      <c r="G11" s="142">
        <f t="shared" si="1"/>
        <v>62884995.302955985</v>
      </c>
      <c r="H11" s="142">
        <f t="shared" si="1"/>
        <v>17433347.979850199</v>
      </c>
      <c r="I11" s="142">
        <f t="shared" si="1"/>
        <v>14129795.861590041</v>
      </c>
      <c r="J11" s="142">
        <f t="shared" si="1"/>
        <v>14129795.861590041</v>
      </c>
      <c r="K11" s="142">
        <f t="shared" si="1"/>
        <v>0</v>
      </c>
      <c r="L11" s="142">
        <f t="shared" si="1"/>
        <v>0</v>
      </c>
      <c r="M11" s="142">
        <f t="shared" si="1"/>
        <v>0</v>
      </c>
      <c r="N11" s="142">
        <f t="shared" si="1"/>
        <v>0</v>
      </c>
      <c r="O11" s="142">
        <f t="shared" si="1"/>
        <v>0</v>
      </c>
      <c r="P11" s="142">
        <f t="shared" si="1"/>
        <v>0</v>
      </c>
      <c r="Q11" s="142">
        <f t="shared" si="1"/>
        <v>0</v>
      </c>
      <c r="R11" s="142">
        <f t="shared" si="1"/>
        <v>0</v>
      </c>
      <c r="S11" s="142">
        <f t="shared" si="1"/>
        <v>0</v>
      </c>
      <c r="T11" s="142">
        <f t="shared" si="1"/>
        <v>0</v>
      </c>
      <c r="U11" s="142">
        <f t="shared" si="1"/>
        <v>0</v>
      </c>
      <c r="V11" s="142">
        <f t="shared" si="1"/>
        <v>0</v>
      </c>
      <c r="W11" s="142">
        <f t="shared" si="1"/>
        <v>0</v>
      </c>
      <c r="X11" s="142">
        <f t="shared" si="1"/>
        <v>0</v>
      </c>
      <c r="Y11" s="142">
        <f t="shared" si="1"/>
        <v>0</v>
      </c>
      <c r="Z11" s="142">
        <f t="shared" si="1"/>
        <v>0</v>
      </c>
      <c r="AA11" s="142">
        <f t="shared" si="1"/>
        <v>0</v>
      </c>
      <c r="AB11" s="142">
        <f t="shared" si="1"/>
        <v>0</v>
      </c>
      <c r="AC11" s="142">
        <f t="shared" si="1"/>
        <v>0</v>
      </c>
      <c r="AD11" s="142">
        <f t="shared" si="1"/>
        <v>0</v>
      </c>
      <c r="AE11" s="142">
        <f t="shared" si="1"/>
        <v>0</v>
      </c>
      <c r="AF11" s="142">
        <f t="shared" si="1"/>
        <v>0</v>
      </c>
      <c r="AG11" s="142">
        <f t="shared" si="1"/>
        <v>0</v>
      </c>
      <c r="AH11" s="142">
        <f t="shared" si="1"/>
        <v>0</v>
      </c>
      <c r="AI11" s="142">
        <f t="shared" si="1"/>
        <v>0</v>
      </c>
      <c r="AJ11" s="142">
        <f t="shared" si="1"/>
        <v>0</v>
      </c>
      <c r="AK11" s="142">
        <f t="shared" si="1"/>
        <v>0</v>
      </c>
      <c r="AL11" s="142">
        <f t="shared" si="1"/>
        <v>0</v>
      </c>
      <c r="AM11" s="142">
        <f t="shared" si="1"/>
        <v>0</v>
      </c>
      <c r="AN11" s="142">
        <f t="shared" si="1"/>
        <v>0</v>
      </c>
      <c r="AO11" s="142">
        <f t="shared" si="1"/>
        <v>0</v>
      </c>
      <c r="AP11" s="142">
        <f t="shared" si="1"/>
        <v>0</v>
      </c>
    </row>
    <row r="12" spans="1:42" s="1" customFormat="1" ht="15.75" thickBot="1">
      <c r="B12" s="18"/>
      <c r="C12" s="139"/>
      <c r="D12" s="221"/>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222"/>
    </row>
    <row r="13" spans="1:42">
      <c r="A13" s="131"/>
      <c r="B13" s="4" t="s">
        <v>12</v>
      </c>
      <c r="C13" s="133" t="str">
        <f>Summary!B15</f>
        <v>A1</v>
      </c>
      <c r="D13" s="156" t="str">
        <f>Summary!C15</f>
        <v>Key Stage Reviews - PUK KSR Costs Avoided</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6"/>
    </row>
    <row r="14" spans="1:42">
      <c r="A14" s="131"/>
      <c r="B14" s="7" t="s">
        <v>189</v>
      </c>
      <c r="C14" s="134" t="str">
        <f>'A1 PUK KSR Fees'!D47</f>
        <v>A - High</v>
      </c>
      <c r="D14" s="176">
        <f>VLOOKUP(C14,'Confidence Factors'!$B$6:$D$9,3)</f>
        <v>1</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10"/>
    </row>
    <row r="15" spans="1:42">
      <c r="A15" s="131"/>
      <c r="B15" s="7" t="s">
        <v>30</v>
      </c>
      <c r="C15" s="128">
        <f>SUM(D15:AN15)</f>
        <v>204996</v>
      </c>
      <c r="D15" s="177">
        <f>'A1 PUK KSR Fees'!H73*'A1 PUK KSR Fees'!D75*'Calcs - Scen 4'!D14</f>
        <v>76996</v>
      </c>
      <c r="E15" s="3">
        <f>'A1 PUK KSR Fees'!I73*'A1 PUK KSR Fees'!D75*'Calcs - Scen 4'!D14</f>
        <v>128000</v>
      </c>
      <c r="F15" s="3">
        <v>0</v>
      </c>
      <c r="G15" s="3">
        <v>0</v>
      </c>
      <c r="H15" s="3">
        <v>0</v>
      </c>
      <c r="I15" s="3">
        <v>0</v>
      </c>
      <c r="J15" s="3">
        <v>0</v>
      </c>
      <c r="K15" s="3">
        <v>0</v>
      </c>
      <c r="L15" s="3">
        <v>0</v>
      </c>
      <c r="M15" s="3">
        <v>0</v>
      </c>
      <c r="N15" s="3">
        <v>0</v>
      </c>
      <c r="O15" s="3">
        <v>0</v>
      </c>
      <c r="P15" s="3">
        <v>0</v>
      </c>
      <c r="Q15" s="3">
        <v>0</v>
      </c>
      <c r="R15" s="3">
        <v>0</v>
      </c>
      <c r="S15" s="3">
        <v>0</v>
      </c>
      <c r="T15" s="127">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213">
        <v>0</v>
      </c>
      <c r="AO15" s="213">
        <v>0</v>
      </c>
      <c r="AP15" s="9">
        <v>0</v>
      </c>
    </row>
    <row r="16" spans="1:42">
      <c r="A16" s="131"/>
      <c r="B16" s="7" t="s">
        <v>31</v>
      </c>
      <c r="C16" s="129">
        <f>NPV($C$7,F15:AO15)+D15+E15</f>
        <v>204996</v>
      </c>
      <c r="D16" s="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0"/>
    </row>
    <row r="17" spans="1:42">
      <c r="A17" s="131"/>
      <c r="B17" s="7" t="s">
        <v>4</v>
      </c>
      <c r="C17" s="130" t="str">
        <f>IF(SUM(D17:AN17)&gt;1,"CHECK"," ")</f>
        <v xml:space="preserve"> </v>
      </c>
      <c r="D17" s="178">
        <v>0.38</v>
      </c>
      <c r="E17" s="15">
        <v>0.62</v>
      </c>
      <c r="F17" s="15"/>
      <c r="G17" s="15"/>
      <c r="H17" s="15"/>
      <c r="I17" s="15"/>
      <c r="J17" s="15"/>
      <c r="K17" s="15"/>
      <c r="L17" s="15"/>
      <c r="M17" s="15"/>
      <c r="N17" s="15"/>
      <c r="O17" s="15"/>
      <c r="P17" s="15"/>
      <c r="Q17" s="15"/>
      <c r="R17" s="15"/>
      <c r="S17" s="15"/>
      <c r="T17" s="125"/>
      <c r="U17" s="15"/>
      <c r="V17" s="15"/>
      <c r="W17" s="15"/>
      <c r="X17" s="15"/>
      <c r="Y17" s="15"/>
      <c r="Z17" s="15"/>
      <c r="AA17" s="15"/>
      <c r="AB17" s="15"/>
      <c r="AC17" s="15"/>
      <c r="AD17" s="15"/>
      <c r="AE17" s="15"/>
      <c r="AF17" s="15"/>
      <c r="AG17" s="15"/>
      <c r="AH17" s="15"/>
      <c r="AI17" s="15"/>
      <c r="AJ17" s="15"/>
      <c r="AK17" s="15"/>
      <c r="AL17" s="15"/>
      <c r="AM17" s="15"/>
      <c r="AN17" s="146"/>
      <c r="AO17" s="146"/>
      <c r="AP17" s="16"/>
    </row>
    <row r="18" spans="1:42" ht="15.75" thickBot="1">
      <c r="A18" s="131"/>
      <c r="B18" s="11" t="s">
        <v>32</v>
      </c>
      <c r="C18" s="51"/>
      <c r="D18" s="179">
        <f>IF(D17&gt;0,(D17*$C16),0)</f>
        <v>77898.48</v>
      </c>
      <c r="E18" s="615">
        <f t="shared" ref="E18:AN18" si="2">IF(E17&gt;0,(E17*$C16),0)</f>
        <v>127097.52</v>
      </c>
      <c r="F18" s="13">
        <f t="shared" si="2"/>
        <v>0</v>
      </c>
      <c r="G18" s="13">
        <f t="shared" si="2"/>
        <v>0</v>
      </c>
      <c r="H18" s="13">
        <f t="shared" si="2"/>
        <v>0</v>
      </c>
      <c r="I18" s="13">
        <f t="shared" si="2"/>
        <v>0</v>
      </c>
      <c r="J18" s="13">
        <f t="shared" si="2"/>
        <v>0</v>
      </c>
      <c r="K18" s="13">
        <f t="shared" si="2"/>
        <v>0</v>
      </c>
      <c r="L18" s="13">
        <f t="shared" si="2"/>
        <v>0</v>
      </c>
      <c r="M18" s="13">
        <f t="shared" si="2"/>
        <v>0</v>
      </c>
      <c r="N18" s="13">
        <f t="shared" si="2"/>
        <v>0</v>
      </c>
      <c r="O18" s="13">
        <f t="shared" si="2"/>
        <v>0</v>
      </c>
      <c r="P18" s="13">
        <f t="shared" si="2"/>
        <v>0</v>
      </c>
      <c r="Q18" s="13">
        <f t="shared" si="2"/>
        <v>0</v>
      </c>
      <c r="R18" s="13">
        <f t="shared" si="2"/>
        <v>0</v>
      </c>
      <c r="S18" s="13">
        <f>IF(S17&gt;0,(S17*$C16),0)</f>
        <v>0</v>
      </c>
      <c r="T18" s="224">
        <f t="shared" si="2"/>
        <v>0</v>
      </c>
      <c r="U18" s="13">
        <f t="shared" si="2"/>
        <v>0</v>
      </c>
      <c r="V18" s="13">
        <f t="shared" si="2"/>
        <v>0</v>
      </c>
      <c r="W18" s="13">
        <f t="shared" si="2"/>
        <v>0</v>
      </c>
      <c r="X18" s="13">
        <f t="shared" si="2"/>
        <v>0</v>
      </c>
      <c r="Y18" s="13">
        <f t="shared" si="2"/>
        <v>0</v>
      </c>
      <c r="Z18" s="13">
        <f t="shared" si="2"/>
        <v>0</v>
      </c>
      <c r="AA18" s="13">
        <f t="shared" si="2"/>
        <v>0</v>
      </c>
      <c r="AB18" s="13">
        <f t="shared" si="2"/>
        <v>0</v>
      </c>
      <c r="AC18" s="13">
        <f t="shared" si="2"/>
        <v>0</v>
      </c>
      <c r="AD18" s="13">
        <f t="shared" si="2"/>
        <v>0</v>
      </c>
      <c r="AE18" s="13">
        <f t="shared" si="2"/>
        <v>0</v>
      </c>
      <c r="AF18" s="13">
        <f t="shared" si="2"/>
        <v>0</v>
      </c>
      <c r="AG18" s="13">
        <f t="shared" si="2"/>
        <v>0</v>
      </c>
      <c r="AH18" s="13">
        <f t="shared" si="2"/>
        <v>0</v>
      </c>
      <c r="AI18" s="13">
        <f t="shared" si="2"/>
        <v>0</v>
      </c>
      <c r="AJ18" s="13">
        <f t="shared" si="2"/>
        <v>0</v>
      </c>
      <c r="AK18" s="13">
        <f t="shared" si="2"/>
        <v>0</v>
      </c>
      <c r="AL18" s="13">
        <f t="shared" si="2"/>
        <v>0</v>
      </c>
      <c r="AM18" s="13">
        <f t="shared" si="2"/>
        <v>0</v>
      </c>
      <c r="AN18" s="214">
        <f t="shared" si="2"/>
        <v>0</v>
      </c>
      <c r="AO18" s="214">
        <f>IF(AO17&gt;0,(AO17*$C16),0)</f>
        <v>0</v>
      </c>
      <c r="AP18" s="14">
        <f>IF(AP17&gt;0,(AP17*$C16),0)</f>
        <v>0</v>
      </c>
    </row>
    <row r="19" spans="1:42" ht="15.75" thickBot="1">
      <c r="A19" s="131"/>
      <c r="B19" s="7"/>
      <c r="C19" s="10"/>
      <c r="D19" s="22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222"/>
    </row>
    <row r="20" spans="1:42">
      <c r="A20" s="131"/>
      <c r="B20" s="4" t="s">
        <v>12</v>
      </c>
      <c r="C20" s="133" t="str">
        <f>Summary!B16</f>
        <v>A2</v>
      </c>
      <c r="D20" s="156" t="str">
        <f>Summary!C16</f>
        <v>Waste - Gateway Review Costs Avoided</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6"/>
    </row>
    <row r="21" spans="1:42">
      <c r="A21" s="131"/>
      <c r="B21" s="7" t="s">
        <v>189</v>
      </c>
      <c r="C21" s="134" t="str">
        <f>'A2 Waste Validation Fees'!D47</f>
        <v>A - High</v>
      </c>
      <c r="D21" s="176">
        <f>VLOOKUP(C21,'Confidence Factors'!$B$6:$D$9,3)</f>
        <v>1</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10"/>
    </row>
    <row r="22" spans="1:42">
      <c r="A22" s="131"/>
      <c r="B22" s="7" t="s">
        <v>30</v>
      </c>
      <c r="C22" s="128">
        <f>SUM(D22:AN22)</f>
        <v>45000</v>
      </c>
      <c r="D22" s="177">
        <f>15000*'A2 Waste Validation Fees'!D75*'Calcs - Scen 4'!D21</f>
        <v>15000</v>
      </c>
      <c r="E22" s="454">
        <f>30000*'A2 Waste Validation Fees'!D75*'Calcs - Scen 4'!D21</f>
        <v>30000</v>
      </c>
      <c r="F22" s="3">
        <v>0</v>
      </c>
      <c r="G22" s="3">
        <v>0</v>
      </c>
      <c r="H22" s="3">
        <v>0</v>
      </c>
      <c r="I22" s="3">
        <v>0</v>
      </c>
      <c r="J22" s="3">
        <v>0</v>
      </c>
      <c r="K22" s="3">
        <v>0</v>
      </c>
      <c r="L22" s="3">
        <v>0</v>
      </c>
      <c r="M22" s="3">
        <v>0</v>
      </c>
      <c r="N22" s="3">
        <v>0</v>
      </c>
      <c r="O22" s="3">
        <v>0</v>
      </c>
      <c r="P22" s="3">
        <v>0</v>
      </c>
      <c r="Q22" s="3">
        <v>0</v>
      </c>
      <c r="R22" s="3">
        <v>0</v>
      </c>
      <c r="S22" s="3">
        <v>0</v>
      </c>
      <c r="T22" s="127">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213">
        <v>0</v>
      </c>
      <c r="AO22" s="213">
        <v>0</v>
      </c>
      <c r="AP22" s="9">
        <v>0</v>
      </c>
    </row>
    <row r="23" spans="1:42">
      <c r="A23" s="131"/>
      <c r="B23" s="7" t="s">
        <v>31</v>
      </c>
      <c r="C23" s="129">
        <f>NPV($C$7,F22:AO22)+D22+E22</f>
        <v>45000</v>
      </c>
      <c r="D23" s="7"/>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10"/>
    </row>
    <row r="24" spans="1:42">
      <c r="A24" s="131"/>
      <c r="B24" s="7" t="s">
        <v>4</v>
      </c>
      <c r="C24" s="130" t="str">
        <f>IF(SUM(D24:AN24)&gt;1,"CHECK"," ")</f>
        <v xml:space="preserve"> </v>
      </c>
      <c r="D24" s="178">
        <v>0.33</v>
      </c>
      <c r="E24" s="15">
        <v>0.67</v>
      </c>
      <c r="F24" s="15"/>
      <c r="G24" s="15"/>
      <c r="H24" s="15"/>
      <c r="I24" s="15"/>
      <c r="J24" s="15"/>
      <c r="K24" s="15"/>
      <c r="L24" s="15"/>
      <c r="M24" s="15"/>
      <c r="N24" s="15"/>
      <c r="O24" s="15"/>
      <c r="P24" s="15"/>
      <c r="Q24" s="15"/>
      <c r="R24" s="15"/>
      <c r="S24" s="15"/>
      <c r="T24" s="125"/>
      <c r="U24" s="15"/>
      <c r="V24" s="15"/>
      <c r="W24" s="15"/>
      <c r="X24" s="15"/>
      <c r="Y24" s="15"/>
      <c r="Z24" s="15"/>
      <c r="AA24" s="15"/>
      <c r="AB24" s="15"/>
      <c r="AC24" s="15"/>
      <c r="AD24" s="15"/>
      <c r="AE24" s="15"/>
      <c r="AF24" s="15"/>
      <c r="AG24" s="15"/>
      <c r="AH24" s="15"/>
      <c r="AI24" s="15"/>
      <c r="AJ24" s="15"/>
      <c r="AK24" s="15"/>
      <c r="AL24" s="15"/>
      <c r="AM24" s="15"/>
      <c r="AN24" s="146"/>
      <c r="AO24" s="146"/>
      <c r="AP24" s="16"/>
    </row>
    <row r="25" spans="1:42" ht="15.75" thickBot="1">
      <c r="A25" s="131"/>
      <c r="B25" s="11" t="s">
        <v>32</v>
      </c>
      <c r="C25" s="51"/>
      <c r="D25" s="179">
        <f t="shared" ref="D25:AN25" si="3">IF(D24&gt;0,(D24*$C23),0)</f>
        <v>14850</v>
      </c>
      <c r="E25" s="20">
        <f t="shared" si="3"/>
        <v>30150</v>
      </c>
      <c r="F25" s="20">
        <f t="shared" si="3"/>
        <v>0</v>
      </c>
      <c r="G25" s="20">
        <f t="shared" si="3"/>
        <v>0</v>
      </c>
      <c r="H25" s="20">
        <f t="shared" si="3"/>
        <v>0</v>
      </c>
      <c r="I25" s="20">
        <f t="shared" si="3"/>
        <v>0</v>
      </c>
      <c r="J25" s="20">
        <f t="shared" si="3"/>
        <v>0</v>
      </c>
      <c r="K25" s="20">
        <f t="shared" si="3"/>
        <v>0</v>
      </c>
      <c r="L25" s="20">
        <f t="shared" si="3"/>
        <v>0</v>
      </c>
      <c r="M25" s="20">
        <f t="shared" si="3"/>
        <v>0</v>
      </c>
      <c r="N25" s="20">
        <f t="shared" si="3"/>
        <v>0</v>
      </c>
      <c r="O25" s="20">
        <f t="shared" si="3"/>
        <v>0</v>
      </c>
      <c r="P25" s="20">
        <f t="shared" si="3"/>
        <v>0</v>
      </c>
      <c r="Q25" s="20">
        <f t="shared" si="3"/>
        <v>0</v>
      </c>
      <c r="R25" s="20">
        <f t="shared" si="3"/>
        <v>0</v>
      </c>
      <c r="S25" s="20">
        <f>IF(S24&gt;0,(S24*$C23),0)</f>
        <v>0</v>
      </c>
      <c r="T25" s="126">
        <f t="shared" si="3"/>
        <v>0</v>
      </c>
      <c r="U25" s="20">
        <f t="shared" si="3"/>
        <v>0</v>
      </c>
      <c r="V25" s="20">
        <f t="shared" si="3"/>
        <v>0</v>
      </c>
      <c r="W25" s="20">
        <f t="shared" si="3"/>
        <v>0</v>
      </c>
      <c r="X25" s="20">
        <f t="shared" si="3"/>
        <v>0</v>
      </c>
      <c r="Y25" s="20">
        <f t="shared" si="3"/>
        <v>0</v>
      </c>
      <c r="Z25" s="20">
        <f t="shared" si="3"/>
        <v>0</v>
      </c>
      <c r="AA25" s="20">
        <f t="shared" si="3"/>
        <v>0</v>
      </c>
      <c r="AB25" s="20">
        <f t="shared" si="3"/>
        <v>0</v>
      </c>
      <c r="AC25" s="20">
        <f t="shared" si="3"/>
        <v>0</v>
      </c>
      <c r="AD25" s="20">
        <f t="shared" si="3"/>
        <v>0</v>
      </c>
      <c r="AE25" s="20">
        <f t="shared" si="3"/>
        <v>0</v>
      </c>
      <c r="AF25" s="20">
        <f t="shared" si="3"/>
        <v>0</v>
      </c>
      <c r="AG25" s="20">
        <f t="shared" si="3"/>
        <v>0</v>
      </c>
      <c r="AH25" s="20">
        <f t="shared" si="3"/>
        <v>0</v>
      </c>
      <c r="AI25" s="20">
        <f t="shared" si="3"/>
        <v>0</v>
      </c>
      <c r="AJ25" s="20">
        <f t="shared" si="3"/>
        <v>0</v>
      </c>
      <c r="AK25" s="20">
        <f t="shared" si="3"/>
        <v>0</v>
      </c>
      <c r="AL25" s="20">
        <f t="shared" si="3"/>
        <v>0</v>
      </c>
      <c r="AM25" s="20">
        <f t="shared" si="3"/>
        <v>0</v>
      </c>
      <c r="AN25" s="215">
        <f t="shared" si="3"/>
        <v>0</v>
      </c>
      <c r="AO25" s="215">
        <f>IF(AO24&gt;0,(AO24*$C23),0)</f>
        <v>0</v>
      </c>
      <c r="AP25" s="22">
        <f>IF(AP24&gt;0,(AP24*$C23),0)</f>
        <v>0</v>
      </c>
    </row>
    <row r="26" spans="1:42" ht="15.75" thickBot="1">
      <c r="A26" s="131"/>
      <c r="B26" s="7"/>
      <c r="C26" s="10"/>
      <c r="D26" s="221"/>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222"/>
    </row>
    <row r="27" spans="1:42">
      <c r="A27" s="131"/>
      <c r="B27" s="4" t="s">
        <v>12</v>
      </c>
      <c r="C27" s="133" t="str">
        <f>Summary!B17</f>
        <v>A3</v>
      </c>
      <c r="D27" s="156" t="str">
        <f>Summary!C17</f>
        <v>Waste - Data Capture and Market Engagement</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6"/>
    </row>
    <row r="28" spans="1:42">
      <c r="A28" s="131"/>
      <c r="B28" s="7" t="s">
        <v>189</v>
      </c>
      <c r="C28" s="134" t="str">
        <f>'A3 Waste Data Capture'!D47</f>
        <v>A - High</v>
      </c>
      <c r="D28" s="176">
        <f>VLOOKUP(C28,'Confidence Factors'!$B$6:$D$9,3)</f>
        <v>1</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10"/>
    </row>
    <row r="29" spans="1:42">
      <c r="A29" s="131"/>
      <c r="B29" s="7" t="s">
        <v>30</v>
      </c>
      <c r="C29" s="128">
        <f>SUM(D29:AN29)</f>
        <v>63200</v>
      </c>
      <c r="D29" s="177">
        <f>(0.79*63200)*'A3 Waste Data Capture'!D75*'Calcs - Scen 4'!D28</f>
        <v>49928</v>
      </c>
      <c r="E29" s="3">
        <f>(0.21*63200)*'A3 Waste Data Capture'!D75*'Calcs - Scen 4'!D28</f>
        <v>13272</v>
      </c>
      <c r="F29" s="3">
        <v>0</v>
      </c>
      <c r="G29" s="3">
        <v>0</v>
      </c>
      <c r="H29" s="3">
        <v>0</v>
      </c>
      <c r="I29" s="3">
        <v>0</v>
      </c>
      <c r="J29" s="3">
        <v>0</v>
      </c>
      <c r="K29" s="3">
        <v>0</v>
      </c>
      <c r="L29" s="3">
        <v>0</v>
      </c>
      <c r="M29" s="3">
        <v>0</v>
      </c>
      <c r="N29" s="3">
        <v>0</v>
      </c>
      <c r="O29" s="3">
        <v>0</v>
      </c>
      <c r="P29" s="3">
        <v>0</v>
      </c>
      <c r="Q29" s="3">
        <v>0</v>
      </c>
      <c r="R29" s="3">
        <v>0</v>
      </c>
      <c r="S29" s="3">
        <v>0</v>
      </c>
      <c r="T29" s="127">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213">
        <v>0</v>
      </c>
      <c r="AO29" s="213">
        <v>0</v>
      </c>
      <c r="AP29" s="9">
        <v>0</v>
      </c>
    </row>
    <row r="30" spans="1:42">
      <c r="A30" s="131"/>
      <c r="B30" s="7" t="s">
        <v>31</v>
      </c>
      <c r="C30" s="129">
        <f>NPV($C$7,F29:AO29)+D29+E29</f>
        <v>63200</v>
      </c>
      <c r="D30" s="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10"/>
    </row>
    <row r="31" spans="1:42">
      <c r="A31" s="131"/>
      <c r="B31" s="7" t="s">
        <v>4</v>
      </c>
      <c r="C31" s="130" t="str">
        <f>IF(SUM(D31:AN31)&gt;1,"CHECK"," ")</f>
        <v xml:space="preserve"> </v>
      </c>
      <c r="D31" s="178">
        <v>0.79</v>
      </c>
      <c r="E31" s="15">
        <v>0.21</v>
      </c>
      <c r="F31" s="15"/>
      <c r="G31" s="15"/>
      <c r="H31" s="15"/>
      <c r="I31" s="15"/>
      <c r="J31" s="15"/>
      <c r="K31" s="15"/>
      <c r="L31" s="15"/>
      <c r="M31" s="15"/>
      <c r="N31" s="15"/>
      <c r="O31" s="15"/>
      <c r="P31" s="15"/>
      <c r="Q31" s="15"/>
      <c r="R31" s="15"/>
      <c r="S31" s="15"/>
      <c r="T31" s="125"/>
      <c r="U31" s="15"/>
      <c r="V31" s="15"/>
      <c r="W31" s="15"/>
      <c r="X31" s="15"/>
      <c r="Y31" s="15"/>
      <c r="Z31" s="15"/>
      <c r="AA31" s="15"/>
      <c r="AB31" s="15"/>
      <c r="AC31" s="15"/>
      <c r="AD31" s="15"/>
      <c r="AE31" s="15"/>
      <c r="AF31" s="15"/>
      <c r="AG31" s="15"/>
      <c r="AH31" s="15"/>
      <c r="AI31" s="15"/>
      <c r="AJ31" s="15"/>
      <c r="AK31" s="15"/>
      <c r="AL31" s="15"/>
      <c r="AM31" s="15"/>
      <c r="AN31" s="146"/>
      <c r="AO31" s="146"/>
      <c r="AP31" s="16"/>
    </row>
    <row r="32" spans="1:42" ht="15.75" thickBot="1">
      <c r="A32" s="131"/>
      <c r="B32" s="11" t="s">
        <v>32</v>
      </c>
      <c r="C32" s="51"/>
      <c r="D32" s="179">
        <f>IF(D31&gt;0,(D31*$C30),0)</f>
        <v>49928</v>
      </c>
      <c r="E32" s="20">
        <f t="shared" ref="E32:AN32" si="4">IF(E31&gt;0,(E31*$C30),0)</f>
        <v>13272</v>
      </c>
      <c r="F32" s="20">
        <f t="shared" si="4"/>
        <v>0</v>
      </c>
      <c r="G32" s="20">
        <f t="shared" si="4"/>
        <v>0</v>
      </c>
      <c r="H32" s="20">
        <f t="shared" si="4"/>
        <v>0</v>
      </c>
      <c r="I32" s="20">
        <f t="shared" si="4"/>
        <v>0</v>
      </c>
      <c r="J32" s="20">
        <f t="shared" si="4"/>
        <v>0</v>
      </c>
      <c r="K32" s="20">
        <f t="shared" si="4"/>
        <v>0</v>
      </c>
      <c r="L32" s="20">
        <f t="shared" si="4"/>
        <v>0</v>
      </c>
      <c r="M32" s="20">
        <f t="shared" si="4"/>
        <v>0</v>
      </c>
      <c r="N32" s="20">
        <f t="shared" si="4"/>
        <v>0</v>
      </c>
      <c r="O32" s="20">
        <f t="shared" si="4"/>
        <v>0</v>
      </c>
      <c r="P32" s="20">
        <f t="shared" si="4"/>
        <v>0</v>
      </c>
      <c r="Q32" s="20">
        <f t="shared" si="4"/>
        <v>0</v>
      </c>
      <c r="R32" s="20">
        <f t="shared" si="4"/>
        <v>0</v>
      </c>
      <c r="S32" s="20">
        <f>IF(S31&gt;0,(S31*$C30),0)</f>
        <v>0</v>
      </c>
      <c r="T32" s="126">
        <f t="shared" si="4"/>
        <v>0</v>
      </c>
      <c r="U32" s="20">
        <f t="shared" si="4"/>
        <v>0</v>
      </c>
      <c r="V32" s="20">
        <f t="shared" si="4"/>
        <v>0</v>
      </c>
      <c r="W32" s="20">
        <f t="shared" si="4"/>
        <v>0</v>
      </c>
      <c r="X32" s="20">
        <f t="shared" si="4"/>
        <v>0</v>
      </c>
      <c r="Y32" s="20">
        <f t="shared" si="4"/>
        <v>0</v>
      </c>
      <c r="Z32" s="20">
        <f t="shared" si="4"/>
        <v>0</v>
      </c>
      <c r="AA32" s="20">
        <f t="shared" si="4"/>
        <v>0</v>
      </c>
      <c r="AB32" s="20">
        <f t="shared" si="4"/>
        <v>0</v>
      </c>
      <c r="AC32" s="20">
        <f t="shared" si="4"/>
        <v>0</v>
      </c>
      <c r="AD32" s="20">
        <f t="shared" si="4"/>
        <v>0</v>
      </c>
      <c r="AE32" s="20">
        <f t="shared" si="4"/>
        <v>0</v>
      </c>
      <c r="AF32" s="20">
        <f t="shared" si="4"/>
        <v>0</v>
      </c>
      <c r="AG32" s="20">
        <f t="shared" si="4"/>
        <v>0</v>
      </c>
      <c r="AH32" s="20">
        <f t="shared" si="4"/>
        <v>0</v>
      </c>
      <c r="AI32" s="20">
        <f t="shared" si="4"/>
        <v>0</v>
      </c>
      <c r="AJ32" s="20">
        <f t="shared" si="4"/>
        <v>0</v>
      </c>
      <c r="AK32" s="20">
        <f t="shared" si="4"/>
        <v>0</v>
      </c>
      <c r="AL32" s="20">
        <f t="shared" si="4"/>
        <v>0</v>
      </c>
      <c r="AM32" s="20">
        <f t="shared" si="4"/>
        <v>0</v>
      </c>
      <c r="AN32" s="215">
        <f t="shared" si="4"/>
        <v>0</v>
      </c>
      <c r="AO32" s="215">
        <f>IF(AO31&gt;0,(AO31*$C30),0)</f>
        <v>0</v>
      </c>
      <c r="AP32" s="22">
        <f>IF(AP31&gt;0,(AP31*$C30),0)</f>
        <v>0</v>
      </c>
    </row>
    <row r="33" spans="1:42" ht="15.75" thickBot="1">
      <c r="A33" s="131"/>
      <c r="B33" s="7"/>
      <c r="C33" s="10"/>
      <c r="D33" s="221"/>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222"/>
    </row>
    <row r="34" spans="1:42">
      <c r="A34" s="131"/>
      <c r="B34" s="4" t="s">
        <v>12</v>
      </c>
      <c r="C34" s="133" t="str">
        <f>Summary!B18</f>
        <v>A4</v>
      </c>
      <c r="D34" s="156" t="str">
        <f>Summary!C18</f>
        <v>Waste - Programme Support</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6"/>
    </row>
    <row r="35" spans="1:42">
      <c r="A35" s="131"/>
      <c r="B35" s="7" t="s">
        <v>189</v>
      </c>
      <c r="C35" s="134" t="str">
        <f>'A4 Waste Prog Support'!D47</f>
        <v>A - High</v>
      </c>
      <c r="D35" s="176">
        <f>VLOOKUP(C35,'Confidence Factors'!$B$6:$D$9,3)</f>
        <v>1</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10"/>
    </row>
    <row r="36" spans="1:42">
      <c r="A36" s="131"/>
      <c r="B36" s="7" t="s">
        <v>30</v>
      </c>
      <c r="C36" s="128">
        <f>SUM(D36:AN36)</f>
        <v>150000</v>
      </c>
      <c r="D36" s="177">
        <f>50000*'A4 Waste Prog Support'!D75*'Calcs - Scen 4'!D35</f>
        <v>50000</v>
      </c>
      <c r="E36" s="454">
        <f>100000*'A4 Waste Prog Support'!D75*'Calcs - Scen 4'!D35</f>
        <v>100000</v>
      </c>
      <c r="F36" s="3">
        <v>0</v>
      </c>
      <c r="G36" s="3">
        <v>0</v>
      </c>
      <c r="H36" s="3">
        <v>0</v>
      </c>
      <c r="I36" s="3">
        <v>0</v>
      </c>
      <c r="J36" s="3">
        <v>0</v>
      </c>
      <c r="K36" s="3">
        <v>0</v>
      </c>
      <c r="L36" s="3">
        <v>0</v>
      </c>
      <c r="M36" s="3">
        <v>0</v>
      </c>
      <c r="N36" s="3">
        <v>0</v>
      </c>
      <c r="O36" s="3">
        <v>0</v>
      </c>
      <c r="P36" s="3">
        <v>0</v>
      </c>
      <c r="Q36" s="3">
        <v>0</v>
      </c>
      <c r="R36" s="3">
        <v>0</v>
      </c>
      <c r="S36" s="3">
        <v>0</v>
      </c>
      <c r="T36" s="127">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213">
        <v>0</v>
      </c>
      <c r="AO36" s="213">
        <v>0</v>
      </c>
      <c r="AP36" s="9">
        <v>0</v>
      </c>
    </row>
    <row r="37" spans="1:42">
      <c r="A37" s="131"/>
      <c r="B37" s="7" t="s">
        <v>31</v>
      </c>
      <c r="C37" s="129">
        <f>NPV($C$7,F36:AO36)+D36+E36</f>
        <v>150000</v>
      </c>
      <c r="D37" s="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10"/>
    </row>
    <row r="38" spans="1:42">
      <c r="A38" s="131"/>
      <c r="B38" s="7" t="s">
        <v>4</v>
      </c>
      <c r="C38" s="130" t="str">
        <f>IF(SUM(D38:AN38)&gt;1,"CHECK"," ")</f>
        <v xml:space="preserve"> </v>
      </c>
      <c r="D38" s="178">
        <v>0.33</v>
      </c>
      <c r="E38" s="15">
        <v>0.67</v>
      </c>
      <c r="F38" s="15"/>
      <c r="G38" s="15"/>
      <c r="H38" s="15"/>
      <c r="I38" s="15"/>
      <c r="J38" s="15"/>
      <c r="K38" s="15"/>
      <c r="L38" s="15"/>
      <c r="M38" s="15"/>
      <c r="N38" s="15"/>
      <c r="O38" s="15"/>
      <c r="P38" s="15"/>
      <c r="Q38" s="15"/>
      <c r="R38" s="15"/>
      <c r="S38" s="15"/>
      <c r="T38" s="125"/>
      <c r="U38" s="15"/>
      <c r="V38" s="15"/>
      <c r="W38" s="15"/>
      <c r="X38" s="15"/>
      <c r="Y38" s="15"/>
      <c r="Z38" s="15"/>
      <c r="AA38" s="15"/>
      <c r="AB38" s="15"/>
      <c r="AC38" s="15"/>
      <c r="AD38" s="15"/>
      <c r="AE38" s="15"/>
      <c r="AF38" s="15"/>
      <c r="AG38" s="15"/>
      <c r="AH38" s="15"/>
      <c r="AI38" s="15"/>
      <c r="AJ38" s="15"/>
      <c r="AK38" s="15"/>
      <c r="AL38" s="15"/>
      <c r="AM38" s="15"/>
      <c r="AN38" s="146"/>
      <c r="AO38" s="146"/>
      <c r="AP38" s="16"/>
    </row>
    <row r="39" spans="1:42" ht="15.75" thickBot="1">
      <c r="A39" s="131"/>
      <c r="B39" s="11" t="s">
        <v>32</v>
      </c>
      <c r="C39" s="51"/>
      <c r="D39" s="179">
        <f>IF(D38&gt;0,(D38*$C37),0)</f>
        <v>49500</v>
      </c>
      <c r="E39" s="20">
        <f t="shared" ref="E39:AN39" si="5">IF(E38&gt;0,(E38*$C37),0)</f>
        <v>100500</v>
      </c>
      <c r="F39" s="20">
        <f t="shared" si="5"/>
        <v>0</v>
      </c>
      <c r="G39" s="20">
        <f t="shared" si="5"/>
        <v>0</v>
      </c>
      <c r="H39" s="20">
        <f t="shared" si="5"/>
        <v>0</v>
      </c>
      <c r="I39" s="20">
        <f t="shared" si="5"/>
        <v>0</v>
      </c>
      <c r="J39" s="20">
        <f t="shared" si="5"/>
        <v>0</v>
      </c>
      <c r="K39" s="20">
        <f t="shared" si="5"/>
        <v>0</v>
      </c>
      <c r="L39" s="20">
        <f t="shared" si="5"/>
        <v>0</v>
      </c>
      <c r="M39" s="20">
        <f t="shared" si="5"/>
        <v>0</v>
      </c>
      <c r="N39" s="20">
        <f t="shared" si="5"/>
        <v>0</v>
      </c>
      <c r="O39" s="20">
        <f t="shared" si="5"/>
        <v>0</v>
      </c>
      <c r="P39" s="20">
        <f t="shared" si="5"/>
        <v>0</v>
      </c>
      <c r="Q39" s="20">
        <f t="shared" si="5"/>
        <v>0</v>
      </c>
      <c r="R39" s="20">
        <f t="shared" si="5"/>
        <v>0</v>
      </c>
      <c r="S39" s="20">
        <f>IF(S38&gt;0,(S38*$C37),0)</f>
        <v>0</v>
      </c>
      <c r="T39" s="126">
        <f t="shared" si="5"/>
        <v>0</v>
      </c>
      <c r="U39" s="20">
        <f t="shared" si="5"/>
        <v>0</v>
      </c>
      <c r="V39" s="20">
        <f t="shared" si="5"/>
        <v>0</v>
      </c>
      <c r="W39" s="20">
        <f t="shared" si="5"/>
        <v>0</v>
      </c>
      <c r="X39" s="20">
        <f t="shared" si="5"/>
        <v>0</v>
      </c>
      <c r="Y39" s="20">
        <f t="shared" si="5"/>
        <v>0</v>
      </c>
      <c r="Z39" s="20">
        <f t="shared" si="5"/>
        <v>0</v>
      </c>
      <c r="AA39" s="20">
        <f t="shared" si="5"/>
        <v>0</v>
      </c>
      <c r="AB39" s="20">
        <f t="shared" si="5"/>
        <v>0</v>
      </c>
      <c r="AC39" s="20">
        <f t="shared" si="5"/>
        <v>0</v>
      </c>
      <c r="AD39" s="20">
        <f t="shared" si="5"/>
        <v>0</v>
      </c>
      <c r="AE39" s="20">
        <f t="shared" si="5"/>
        <v>0</v>
      </c>
      <c r="AF39" s="20">
        <f t="shared" si="5"/>
        <v>0</v>
      </c>
      <c r="AG39" s="20">
        <f t="shared" si="5"/>
        <v>0</v>
      </c>
      <c r="AH39" s="20">
        <f t="shared" si="5"/>
        <v>0</v>
      </c>
      <c r="AI39" s="20">
        <f t="shared" si="5"/>
        <v>0</v>
      </c>
      <c r="AJ39" s="20">
        <f t="shared" si="5"/>
        <v>0</v>
      </c>
      <c r="AK39" s="20">
        <f t="shared" si="5"/>
        <v>0</v>
      </c>
      <c r="AL39" s="20">
        <f t="shared" si="5"/>
        <v>0</v>
      </c>
      <c r="AM39" s="20">
        <f t="shared" si="5"/>
        <v>0</v>
      </c>
      <c r="AN39" s="215">
        <f t="shared" si="5"/>
        <v>0</v>
      </c>
      <c r="AO39" s="215">
        <f>IF(AO38&gt;0,(AO38*$C37),0)</f>
        <v>0</v>
      </c>
      <c r="AP39" s="22">
        <f>IF(AP38&gt;0,(AP38*$C37),0)</f>
        <v>0</v>
      </c>
    </row>
    <row r="40" spans="1:42" ht="15.75" thickBot="1">
      <c r="A40" s="39"/>
      <c r="B40" s="7"/>
      <c r="C40" s="10"/>
      <c r="D40" s="221"/>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222"/>
    </row>
    <row r="41" spans="1:42">
      <c r="A41" s="39"/>
      <c r="B41" s="77" t="s">
        <v>12</v>
      </c>
      <c r="C41" s="133" t="str">
        <f>Summary!B19</f>
        <v>A5</v>
      </c>
      <c r="D41" s="156" t="str">
        <f>Summary!C19</f>
        <v>Waste - Procurement Cost Benefits - Avoided Support Costs</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6"/>
    </row>
    <row r="42" spans="1:42">
      <c r="A42" s="39"/>
      <c r="B42" s="7" t="s">
        <v>189</v>
      </c>
      <c r="C42" s="134" t="str">
        <f>'A5 Waste Proc Cost Benefits '!D47</f>
        <v>A - High</v>
      </c>
      <c r="D42" s="176">
        <f>VLOOKUP(C42,'Confidence Factors'!$B$6:$D$9,3)</f>
        <v>1</v>
      </c>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10"/>
    </row>
    <row r="43" spans="1:42">
      <c r="A43" s="39"/>
      <c r="B43" s="78" t="s">
        <v>30</v>
      </c>
      <c r="C43" s="128">
        <f>SUM(D43:AN43)</f>
        <v>594000</v>
      </c>
      <c r="D43" s="177">
        <f>162000*'A5 Waste Proc Cost Benefits '!D75*'Calcs - Scen 4'!D42</f>
        <v>162000</v>
      </c>
      <c r="E43" s="19">
        <f>432000*'A5 Waste Proc Cost Benefits '!D75*'Calcs - Scen 4'!D42</f>
        <v>432000</v>
      </c>
      <c r="F43" s="19">
        <v>0</v>
      </c>
      <c r="G43" s="19">
        <v>0</v>
      </c>
      <c r="H43" s="19">
        <v>0</v>
      </c>
      <c r="I43" s="19">
        <v>0</v>
      </c>
      <c r="J43" s="19">
        <v>0</v>
      </c>
      <c r="K43" s="19">
        <v>0</v>
      </c>
      <c r="L43" s="19">
        <v>0</v>
      </c>
      <c r="M43" s="19">
        <v>0</v>
      </c>
      <c r="N43" s="19">
        <v>0</v>
      </c>
      <c r="O43" s="19">
        <v>0</v>
      </c>
      <c r="P43" s="19">
        <v>0</v>
      </c>
      <c r="Q43" s="19">
        <v>0</v>
      </c>
      <c r="R43" s="19">
        <v>0</v>
      </c>
      <c r="S43" s="19">
        <v>0</v>
      </c>
      <c r="T43" s="124">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216">
        <v>0</v>
      </c>
      <c r="AO43" s="216">
        <v>0</v>
      </c>
      <c r="AP43" s="23">
        <v>0</v>
      </c>
    </row>
    <row r="44" spans="1:42">
      <c r="A44" s="39"/>
      <c r="B44" s="78" t="s">
        <v>31</v>
      </c>
      <c r="C44" s="129">
        <f>NPV($C$7,F43:AO43)+D43+E43</f>
        <v>594000</v>
      </c>
      <c r="D44" s="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10"/>
    </row>
    <row r="45" spans="1:42">
      <c r="A45" s="39"/>
      <c r="B45" s="78" t="s">
        <v>4</v>
      </c>
      <c r="C45" s="130" t="str">
        <f>IF(SUM(D45:AN45)&gt;1,"CHECK"," ")</f>
        <v xml:space="preserve"> </v>
      </c>
      <c r="D45" s="178">
        <v>0.33</v>
      </c>
      <c r="E45" s="15">
        <v>0.67</v>
      </c>
      <c r="F45" s="15"/>
      <c r="G45" s="15"/>
      <c r="H45" s="15"/>
      <c r="I45" s="15"/>
      <c r="J45" s="15"/>
      <c r="K45" s="15"/>
      <c r="L45" s="15"/>
      <c r="M45" s="15"/>
      <c r="N45" s="15"/>
      <c r="O45" s="15"/>
      <c r="P45" s="15"/>
      <c r="Q45" s="15"/>
      <c r="R45" s="15"/>
      <c r="S45" s="15"/>
      <c r="T45" s="125"/>
      <c r="U45" s="15"/>
      <c r="V45" s="15"/>
      <c r="W45" s="15"/>
      <c r="X45" s="15"/>
      <c r="Y45" s="15"/>
      <c r="Z45" s="15"/>
      <c r="AA45" s="15"/>
      <c r="AB45" s="15"/>
      <c r="AC45" s="15"/>
      <c r="AD45" s="15"/>
      <c r="AE45" s="15"/>
      <c r="AF45" s="15"/>
      <c r="AG45" s="15"/>
      <c r="AH45" s="15"/>
      <c r="AI45" s="15"/>
      <c r="AJ45" s="15"/>
      <c r="AK45" s="15"/>
      <c r="AL45" s="15"/>
      <c r="AM45" s="15"/>
      <c r="AN45" s="146"/>
      <c r="AO45" s="146"/>
      <c r="AP45" s="16"/>
    </row>
    <row r="46" spans="1:42" ht="15.75" thickBot="1">
      <c r="A46" s="39"/>
      <c r="B46" s="79" t="s">
        <v>32</v>
      </c>
      <c r="C46" s="51"/>
      <c r="D46" s="179">
        <f t="shared" ref="D46:AN46" si="6">IF(D45&gt;0,(D45*$C44),0)</f>
        <v>196020</v>
      </c>
      <c r="E46" s="20">
        <f t="shared" si="6"/>
        <v>397980</v>
      </c>
      <c r="F46" s="20">
        <f t="shared" si="6"/>
        <v>0</v>
      </c>
      <c r="G46" s="20">
        <f t="shared" si="6"/>
        <v>0</v>
      </c>
      <c r="H46" s="20">
        <f t="shared" si="6"/>
        <v>0</v>
      </c>
      <c r="I46" s="20">
        <f t="shared" si="6"/>
        <v>0</v>
      </c>
      <c r="J46" s="20">
        <f t="shared" si="6"/>
        <v>0</v>
      </c>
      <c r="K46" s="20">
        <f t="shared" si="6"/>
        <v>0</v>
      </c>
      <c r="L46" s="20">
        <f t="shared" si="6"/>
        <v>0</v>
      </c>
      <c r="M46" s="20">
        <f t="shared" si="6"/>
        <v>0</v>
      </c>
      <c r="N46" s="20">
        <f t="shared" si="6"/>
        <v>0</v>
      </c>
      <c r="O46" s="20">
        <f t="shared" si="6"/>
        <v>0</v>
      </c>
      <c r="P46" s="20">
        <f t="shared" si="6"/>
        <v>0</v>
      </c>
      <c r="Q46" s="20">
        <f t="shared" si="6"/>
        <v>0</v>
      </c>
      <c r="R46" s="20">
        <f t="shared" si="6"/>
        <v>0</v>
      </c>
      <c r="S46" s="20">
        <f>IF(S45&gt;0,(S45*$C44),0)</f>
        <v>0</v>
      </c>
      <c r="T46" s="126">
        <f t="shared" si="6"/>
        <v>0</v>
      </c>
      <c r="U46" s="20">
        <f t="shared" si="6"/>
        <v>0</v>
      </c>
      <c r="V46" s="20">
        <f t="shared" si="6"/>
        <v>0</v>
      </c>
      <c r="W46" s="20">
        <f t="shared" si="6"/>
        <v>0</v>
      </c>
      <c r="X46" s="20">
        <f t="shared" si="6"/>
        <v>0</v>
      </c>
      <c r="Y46" s="20">
        <f t="shared" si="6"/>
        <v>0</v>
      </c>
      <c r="Z46" s="20">
        <f t="shared" si="6"/>
        <v>0</v>
      </c>
      <c r="AA46" s="20">
        <f t="shared" si="6"/>
        <v>0</v>
      </c>
      <c r="AB46" s="20">
        <f t="shared" si="6"/>
        <v>0</v>
      </c>
      <c r="AC46" s="20">
        <f t="shared" si="6"/>
        <v>0</v>
      </c>
      <c r="AD46" s="20">
        <f t="shared" si="6"/>
        <v>0</v>
      </c>
      <c r="AE46" s="20">
        <f t="shared" si="6"/>
        <v>0</v>
      </c>
      <c r="AF46" s="20">
        <f t="shared" si="6"/>
        <v>0</v>
      </c>
      <c r="AG46" s="20">
        <f t="shared" si="6"/>
        <v>0</v>
      </c>
      <c r="AH46" s="20">
        <f t="shared" si="6"/>
        <v>0</v>
      </c>
      <c r="AI46" s="20">
        <f t="shared" si="6"/>
        <v>0</v>
      </c>
      <c r="AJ46" s="20">
        <f t="shared" si="6"/>
        <v>0</v>
      </c>
      <c r="AK46" s="20">
        <f t="shared" si="6"/>
        <v>0</v>
      </c>
      <c r="AL46" s="20">
        <f t="shared" si="6"/>
        <v>0</v>
      </c>
      <c r="AM46" s="20">
        <f t="shared" si="6"/>
        <v>0</v>
      </c>
      <c r="AN46" s="215">
        <f t="shared" si="6"/>
        <v>0</v>
      </c>
      <c r="AO46" s="215">
        <f>IF(AO45&gt;0,(AO45*$C44),0)</f>
        <v>0</v>
      </c>
      <c r="AP46" s="22">
        <f>IF(AP45&gt;0,(AP45*$C44),0)</f>
        <v>0</v>
      </c>
    </row>
    <row r="47" spans="1:42" ht="15.75" thickBot="1">
      <c r="A47" s="131"/>
      <c r="B47" s="7"/>
      <c r="C47" s="10"/>
      <c r="D47" s="221"/>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222"/>
    </row>
    <row r="48" spans="1:42">
      <c r="A48" s="39"/>
      <c r="B48" s="4" t="s">
        <v>12</v>
      </c>
      <c r="C48" s="133" t="str">
        <f>Summary!B20</f>
        <v>A6</v>
      </c>
      <c r="D48" s="156" t="str">
        <f>Summary!C20</f>
        <v>ESA 95 - Consultancy Costs Avoided</v>
      </c>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6"/>
    </row>
    <row r="49" spans="1:42">
      <c r="A49" s="39"/>
      <c r="B49" s="7" t="s">
        <v>189</v>
      </c>
      <c r="C49" s="134" t="str">
        <f>'A6 ESA95 Consult Fees'!D47</f>
        <v>A - High</v>
      </c>
      <c r="D49" s="176">
        <f>VLOOKUP(C49,'Confidence Factors'!$B$6:$D$9,3)</f>
        <v>1</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10"/>
    </row>
    <row r="50" spans="1:42">
      <c r="A50" s="39"/>
      <c r="B50" s="7" t="s">
        <v>30</v>
      </c>
      <c r="C50" s="128">
        <f>SUM(D50:AN50)</f>
        <v>53249.774752499994</v>
      </c>
      <c r="D50" s="177">
        <f>(('A6 ESA95 Consult Fees'!D70)*0.4507)*'A6 ESA95 Consult Fees'!D75*'Calcs - Scen 4'!D49</f>
        <v>23999.774999999998</v>
      </c>
      <c r="E50" s="454">
        <f>(('A6 ESA95 Consult Fees'!D70)*0.54929577)*'A6 ESA95 Consult Fees'!D75*'Calcs - Scen 4'!D49</f>
        <v>29249.999752499996</v>
      </c>
      <c r="F50" s="3">
        <v>0</v>
      </c>
      <c r="G50" s="3">
        <v>0</v>
      </c>
      <c r="H50" s="3">
        <v>0</v>
      </c>
      <c r="I50" s="3">
        <v>0</v>
      </c>
      <c r="J50" s="3">
        <v>0</v>
      </c>
      <c r="K50" s="3">
        <v>0</v>
      </c>
      <c r="L50" s="3">
        <v>0</v>
      </c>
      <c r="M50" s="3">
        <v>0</v>
      </c>
      <c r="N50" s="3">
        <v>0</v>
      </c>
      <c r="O50" s="3">
        <v>0</v>
      </c>
      <c r="P50" s="3">
        <v>0</v>
      </c>
      <c r="Q50" s="3">
        <v>0</v>
      </c>
      <c r="R50" s="3">
        <v>0</v>
      </c>
      <c r="S50" s="3">
        <v>0</v>
      </c>
      <c r="T50" s="127">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213">
        <v>0</v>
      </c>
      <c r="AO50" s="213">
        <v>0</v>
      </c>
      <c r="AP50" s="9">
        <v>0</v>
      </c>
    </row>
    <row r="51" spans="1:42">
      <c r="A51" s="39"/>
      <c r="B51" s="7" t="s">
        <v>31</v>
      </c>
      <c r="C51" s="129">
        <f>NPV($C$7,F50:AO50)+D50+E50</f>
        <v>53249.774752499994</v>
      </c>
      <c r="D51" s="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10"/>
    </row>
    <row r="52" spans="1:42">
      <c r="A52" s="39"/>
      <c r="B52" s="7" t="s">
        <v>4</v>
      </c>
      <c r="C52" s="130" t="str">
        <f>IF(SUM(D52:AN52)&gt;1,"CHECK"," ")</f>
        <v xml:space="preserve"> </v>
      </c>
      <c r="D52" s="178">
        <v>0.45</v>
      </c>
      <c r="E52" s="15">
        <v>0.55000000000000004</v>
      </c>
      <c r="F52" s="15"/>
      <c r="G52" s="15"/>
      <c r="H52" s="15"/>
      <c r="I52" s="15"/>
      <c r="J52" s="15"/>
      <c r="K52" s="15"/>
      <c r="L52" s="15"/>
      <c r="M52" s="15"/>
      <c r="N52" s="15"/>
      <c r="O52" s="15"/>
      <c r="P52" s="15"/>
      <c r="Q52" s="15"/>
      <c r="R52" s="15"/>
      <c r="S52" s="15"/>
      <c r="T52" s="125"/>
      <c r="U52" s="15"/>
      <c r="V52" s="15"/>
      <c r="W52" s="15"/>
      <c r="X52" s="15"/>
      <c r="Y52" s="15"/>
      <c r="Z52" s="15"/>
      <c r="AA52" s="15"/>
      <c r="AB52" s="15"/>
      <c r="AC52" s="15"/>
      <c r="AD52" s="15"/>
      <c r="AE52" s="15"/>
      <c r="AF52" s="15"/>
      <c r="AG52" s="15"/>
      <c r="AH52" s="15"/>
      <c r="AI52" s="15"/>
      <c r="AJ52" s="15"/>
      <c r="AK52" s="15"/>
      <c r="AL52" s="15"/>
      <c r="AM52" s="15"/>
      <c r="AN52" s="146"/>
      <c r="AO52" s="146"/>
      <c r="AP52" s="16"/>
    </row>
    <row r="53" spans="1:42" ht="15.75" thickBot="1">
      <c r="A53" s="39"/>
      <c r="B53" s="11" t="s">
        <v>32</v>
      </c>
      <c r="C53" s="51"/>
      <c r="D53" s="179">
        <f>IF(D52&gt;0,(D52*$C51),0)</f>
        <v>23962.398638624996</v>
      </c>
      <c r="E53" s="20">
        <f t="shared" ref="E53:AN53" si="7">IF(E52&gt;0,(E52*$C51),0)</f>
        <v>29287.376113874998</v>
      </c>
      <c r="F53" s="20">
        <f t="shared" si="7"/>
        <v>0</v>
      </c>
      <c r="G53" s="20">
        <f t="shared" si="7"/>
        <v>0</v>
      </c>
      <c r="H53" s="20">
        <f t="shared" si="7"/>
        <v>0</v>
      </c>
      <c r="I53" s="20">
        <f t="shared" si="7"/>
        <v>0</v>
      </c>
      <c r="J53" s="20">
        <f t="shared" si="7"/>
        <v>0</v>
      </c>
      <c r="K53" s="20">
        <f t="shared" si="7"/>
        <v>0</v>
      </c>
      <c r="L53" s="20">
        <f t="shared" si="7"/>
        <v>0</v>
      </c>
      <c r="M53" s="20">
        <f t="shared" si="7"/>
        <v>0</v>
      </c>
      <c r="N53" s="20">
        <f t="shared" si="7"/>
        <v>0</v>
      </c>
      <c r="O53" s="20">
        <f t="shared" si="7"/>
        <v>0</v>
      </c>
      <c r="P53" s="20">
        <f t="shared" si="7"/>
        <v>0</v>
      </c>
      <c r="Q53" s="20">
        <f t="shared" si="7"/>
        <v>0</v>
      </c>
      <c r="R53" s="20">
        <f t="shared" si="7"/>
        <v>0</v>
      </c>
      <c r="S53" s="20">
        <f>IF(S52&gt;0,(S52*$C51),0)</f>
        <v>0</v>
      </c>
      <c r="T53" s="126">
        <f t="shared" si="7"/>
        <v>0</v>
      </c>
      <c r="U53" s="20">
        <f t="shared" si="7"/>
        <v>0</v>
      </c>
      <c r="V53" s="20">
        <f t="shared" si="7"/>
        <v>0</v>
      </c>
      <c r="W53" s="20">
        <f t="shared" si="7"/>
        <v>0</v>
      </c>
      <c r="X53" s="20">
        <f t="shared" si="7"/>
        <v>0</v>
      </c>
      <c r="Y53" s="20">
        <f t="shared" si="7"/>
        <v>0</v>
      </c>
      <c r="Z53" s="20">
        <f t="shared" si="7"/>
        <v>0</v>
      </c>
      <c r="AA53" s="20">
        <f t="shared" si="7"/>
        <v>0</v>
      </c>
      <c r="AB53" s="20">
        <f t="shared" si="7"/>
        <v>0</v>
      </c>
      <c r="AC53" s="20">
        <f t="shared" si="7"/>
        <v>0</v>
      </c>
      <c r="AD53" s="20">
        <f t="shared" si="7"/>
        <v>0</v>
      </c>
      <c r="AE53" s="20">
        <f t="shared" si="7"/>
        <v>0</v>
      </c>
      <c r="AF53" s="20">
        <f t="shared" si="7"/>
        <v>0</v>
      </c>
      <c r="AG53" s="20">
        <f t="shared" si="7"/>
        <v>0</v>
      </c>
      <c r="AH53" s="20">
        <f t="shared" si="7"/>
        <v>0</v>
      </c>
      <c r="AI53" s="20">
        <f t="shared" si="7"/>
        <v>0</v>
      </c>
      <c r="AJ53" s="20">
        <f t="shared" si="7"/>
        <v>0</v>
      </c>
      <c r="AK53" s="20">
        <f t="shared" si="7"/>
        <v>0</v>
      </c>
      <c r="AL53" s="20">
        <f t="shared" si="7"/>
        <v>0</v>
      </c>
      <c r="AM53" s="20">
        <f t="shared" si="7"/>
        <v>0</v>
      </c>
      <c r="AN53" s="215">
        <f t="shared" si="7"/>
        <v>0</v>
      </c>
      <c r="AO53" s="215">
        <f>IF(AO52&gt;0,(AO52*$C51),0)</f>
        <v>0</v>
      </c>
      <c r="AP53" s="22">
        <f>IF(AP52&gt;0,(AP52*$C51),0)</f>
        <v>0</v>
      </c>
    </row>
    <row r="54" spans="1:42" ht="15.75" thickBot="1">
      <c r="A54" s="39"/>
      <c r="B54" s="7"/>
      <c r="C54" s="10"/>
      <c r="D54" s="221"/>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222"/>
    </row>
    <row r="55" spans="1:42">
      <c r="A55" s="39"/>
      <c r="B55" s="4" t="s">
        <v>12</v>
      </c>
      <c r="C55" s="133" t="str">
        <f>Summary!B21</f>
        <v>A7</v>
      </c>
      <c r="D55" s="156" t="str">
        <f>Summary!C21</f>
        <v>TIF - Consultancy Costs Avoided</v>
      </c>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6"/>
    </row>
    <row r="56" spans="1:42">
      <c r="A56" s="39"/>
      <c r="B56" s="7" t="s">
        <v>189</v>
      </c>
      <c r="C56" s="134" t="str">
        <f>'A7 TIF Consult Fees'!D47</f>
        <v>A - High</v>
      </c>
      <c r="D56" s="176">
        <f>VLOOKUP(C56,'Confidence Factors'!$B$6:$D$9,3)</f>
        <v>1</v>
      </c>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10"/>
    </row>
    <row r="57" spans="1:42">
      <c r="A57" s="39"/>
      <c r="B57" s="7" t="s">
        <v>30</v>
      </c>
      <c r="C57" s="128">
        <f>SUM(D57:AN57)</f>
        <v>174469</v>
      </c>
      <c r="D57" s="177">
        <f>47344*'A7 TIF Consult Fees'!D75*'Calcs - Scen 4'!D56</f>
        <v>47344</v>
      </c>
      <c r="E57" s="177">
        <f>('A7 TIF Consult Fees'!D70*'A7 TIF Consult Fees'!D75*'Calcs - Scen 4'!D56)-D57</f>
        <v>127125</v>
      </c>
      <c r="F57" s="3">
        <v>0</v>
      </c>
      <c r="G57" s="3">
        <v>0</v>
      </c>
      <c r="H57" s="3">
        <v>0</v>
      </c>
      <c r="I57" s="3">
        <v>0</v>
      </c>
      <c r="J57" s="3">
        <v>0</v>
      </c>
      <c r="K57" s="3">
        <v>0</v>
      </c>
      <c r="L57" s="3">
        <v>0</v>
      </c>
      <c r="M57" s="3">
        <v>0</v>
      </c>
      <c r="N57" s="3">
        <v>0</v>
      </c>
      <c r="O57" s="3">
        <v>0</v>
      </c>
      <c r="P57" s="3">
        <v>0</v>
      </c>
      <c r="Q57" s="3">
        <v>0</v>
      </c>
      <c r="R57" s="3">
        <v>0</v>
      </c>
      <c r="S57" s="3">
        <v>0</v>
      </c>
      <c r="T57" s="127">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213">
        <v>0</v>
      </c>
      <c r="AO57" s="213">
        <v>0</v>
      </c>
      <c r="AP57" s="9">
        <v>0</v>
      </c>
    </row>
    <row r="58" spans="1:42">
      <c r="A58" s="39"/>
      <c r="B58" s="7" t="s">
        <v>31</v>
      </c>
      <c r="C58" s="129">
        <f>NPV($C$7,F57:AO57)+D57+E57</f>
        <v>174469</v>
      </c>
      <c r="D58" s="7"/>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10"/>
    </row>
    <row r="59" spans="1:42">
      <c r="A59" s="39"/>
      <c r="B59" s="7" t="s">
        <v>4</v>
      </c>
      <c r="C59" s="130" t="str">
        <f>IF(SUM(D59:AN59)&gt;1,"CHECK"," ")</f>
        <v xml:space="preserve"> </v>
      </c>
      <c r="D59" s="178">
        <v>0.28000000000000003</v>
      </c>
      <c r="E59" s="15">
        <v>0.72</v>
      </c>
      <c r="F59" s="15"/>
      <c r="G59" s="15"/>
      <c r="H59" s="15"/>
      <c r="I59" s="15"/>
      <c r="J59" s="15"/>
      <c r="K59" s="15"/>
      <c r="L59" s="15"/>
      <c r="M59" s="15"/>
      <c r="N59" s="15"/>
      <c r="O59" s="15"/>
      <c r="P59" s="15"/>
      <c r="Q59" s="15"/>
      <c r="R59" s="15"/>
      <c r="S59" s="15"/>
      <c r="T59" s="125"/>
      <c r="U59" s="15"/>
      <c r="V59" s="15"/>
      <c r="W59" s="15"/>
      <c r="X59" s="15"/>
      <c r="Y59" s="15"/>
      <c r="Z59" s="15"/>
      <c r="AA59" s="15"/>
      <c r="AB59" s="15"/>
      <c r="AC59" s="15"/>
      <c r="AD59" s="15"/>
      <c r="AE59" s="15"/>
      <c r="AF59" s="15"/>
      <c r="AG59" s="15"/>
      <c r="AH59" s="15"/>
      <c r="AI59" s="15"/>
      <c r="AJ59" s="15"/>
      <c r="AK59" s="15"/>
      <c r="AL59" s="15"/>
      <c r="AM59" s="15"/>
      <c r="AN59" s="146"/>
      <c r="AO59" s="146"/>
      <c r="AP59" s="16"/>
    </row>
    <row r="60" spans="1:42" ht="15.75" thickBot="1">
      <c r="A60" s="39"/>
      <c r="B60" s="11" t="s">
        <v>32</v>
      </c>
      <c r="C60" s="51"/>
      <c r="D60" s="179">
        <f>IF(D59&gt;0,(D59*$C58),0)</f>
        <v>48851.320000000007</v>
      </c>
      <c r="E60" s="20">
        <f t="shared" ref="E60:AN60" si="8">IF(E59&gt;0,(E59*$C58),0)</f>
        <v>125617.68</v>
      </c>
      <c r="F60" s="20">
        <f t="shared" si="8"/>
        <v>0</v>
      </c>
      <c r="G60" s="20">
        <f t="shared" si="8"/>
        <v>0</v>
      </c>
      <c r="H60" s="20">
        <f t="shared" si="8"/>
        <v>0</v>
      </c>
      <c r="I60" s="20">
        <f t="shared" si="8"/>
        <v>0</v>
      </c>
      <c r="J60" s="20">
        <f t="shared" si="8"/>
        <v>0</v>
      </c>
      <c r="K60" s="20">
        <f t="shared" si="8"/>
        <v>0</v>
      </c>
      <c r="L60" s="20">
        <f t="shared" si="8"/>
        <v>0</v>
      </c>
      <c r="M60" s="20">
        <f t="shared" si="8"/>
        <v>0</v>
      </c>
      <c r="N60" s="20">
        <f t="shared" si="8"/>
        <v>0</v>
      </c>
      <c r="O60" s="20">
        <f t="shared" si="8"/>
        <v>0</v>
      </c>
      <c r="P60" s="20">
        <f t="shared" si="8"/>
        <v>0</v>
      </c>
      <c r="Q60" s="20">
        <f t="shared" si="8"/>
        <v>0</v>
      </c>
      <c r="R60" s="20">
        <f t="shared" si="8"/>
        <v>0</v>
      </c>
      <c r="S60" s="20">
        <f>IF(S59&gt;0,(S59*$C58),0)</f>
        <v>0</v>
      </c>
      <c r="T60" s="126">
        <f t="shared" si="8"/>
        <v>0</v>
      </c>
      <c r="U60" s="20">
        <f t="shared" si="8"/>
        <v>0</v>
      </c>
      <c r="V60" s="20">
        <f t="shared" si="8"/>
        <v>0</v>
      </c>
      <c r="W60" s="20">
        <f t="shared" si="8"/>
        <v>0</v>
      </c>
      <c r="X60" s="20">
        <f t="shared" si="8"/>
        <v>0</v>
      </c>
      <c r="Y60" s="20">
        <f t="shared" si="8"/>
        <v>0</v>
      </c>
      <c r="Z60" s="20">
        <f t="shared" si="8"/>
        <v>0</v>
      </c>
      <c r="AA60" s="20">
        <f t="shared" si="8"/>
        <v>0</v>
      </c>
      <c r="AB60" s="20">
        <f t="shared" si="8"/>
        <v>0</v>
      </c>
      <c r="AC60" s="20">
        <f t="shared" si="8"/>
        <v>0</v>
      </c>
      <c r="AD60" s="20">
        <f t="shared" si="8"/>
        <v>0</v>
      </c>
      <c r="AE60" s="20">
        <f t="shared" si="8"/>
        <v>0</v>
      </c>
      <c r="AF60" s="20">
        <f t="shared" si="8"/>
        <v>0</v>
      </c>
      <c r="AG60" s="20">
        <f t="shared" si="8"/>
        <v>0</v>
      </c>
      <c r="AH60" s="20">
        <f t="shared" si="8"/>
        <v>0</v>
      </c>
      <c r="AI60" s="20">
        <f t="shared" si="8"/>
        <v>0</v>
      </c>
      <c r="AJ60" s="20">
        <f t="shared" si="8"/>
        <v>0</v>
      </c>
      <c r="AK60" s="20">
        <f t="shared" si="8"/>
        <v>0</v>
      </c>
      <c r="AL60" s="20">
        <f t="shared" si="8"/>
        <v>0</v>
      </c>
      <c r="AM60" s="20">
        <f t="shared" si="8"/>
        <v>0</v>
      </c>
      <c r="AN60" s="215">
        <f t="shared" si="8"/>
        <v>0</v>
      </c>
      <c r="AO60" s="215">
        <f>IF(AO59&gt;0,(AO59*$C58),0)</f>
        <v>0</v>
      </c>
      <c r="AP60" s="22">
        <f>IF(AP59&gt;0,(AP59*$C58),0)</f>
        <v>0</v>
      </c>
    </row>
    <row r="61" spans="1:42" ht="15.75" thickBot="1">
      <c r="A61" s="39"/>
      <c r="B61" s="7"/>
      <c r="C61" s="10"/>
      <c r="D61" s="221"/>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222"/>
    </row>
    <row r="62" spans="1:42">
      <c r="A62" s="39"/>
      <c r="B62" s="4" t="s">
        <v>12</v>
      </c>
      <c r="C62" s="133" t="str">
        <f>Summary!B22</f>
        <v>A8</v>
      </c>
      <c r="D62" s="156" t="str">
        <f>Summary!C22</f>
        <v>NHT - Consultancy Costs Avoided</v>
      </c>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6"/>
    </row>
    <row r="63" spans="1:42">
      <c r="A63" s="39"/>
      <c r="B63" s="7" t="s">
        <v>189</v>
      </c>
      <c r="C63" s="134" t="str">
        <f>'A8 NHT Consult Fees'!D47</f>
        <v>A - High</v>
      </c>
      <c r="D63" s="176">
        <f>VLOOKUP(C63,'Confidence Factors'!$B$6:$D$9,3)</f>
        <v>1</v>
      </c>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10"/>
    </row>
    <row r="64" spans="1:42">
      <c r="A64" s="39"/>
      <c r="B64" s="7" t="s">
        <v>30</v>
      </c>
      <c r="C64" s="128">
        <f>SUM(D64:AN64)</f>
        <v>851400</v>
      </c>
      <c r="D64" s="177">
        <f>378600*'A8 NHT Consult Fees'!D75*'Calcs - Scen 4'!D63</f>
        <v>378600</v>
      </c>
      <c r="E64" s="3">
        <f>472800*'A8 NHT Consult Fees'!D75*'Calcs - Scen 4'!D63</f>
        <v>472800</v>
      </c>
      <c r="F64" s="3">
        <v>0</v>
      </c>
      <c r="G64" s="3">
        <v>0</v>
      </c>
      <c r="H64" s="3">
        <v>0</v>
      </c>
      <c r="I64" s="3">
        <v>0</v>
      </c>
      <c r="J64" s="3">
        <v>0</v>
      </c>
      <c r="K64" s="3">
        <v>0</v>
      </c>
      <c r="L64" s="3">
        <v>0</v>
      </c>
      <c r="M64" s="3">
        <v>0</v>
      </c>
      <c r="N64" s="3">
        <v>0</v>
      </c>
      <c r="O64" s="3">
        <v>0</v>
      </c>
      <c r="P64" s="3">
        <v>0</v>
      </c>
      <c r="Q64" s="3">
        <v>0</v>
      </c>
      <c r="R64" s="3">
        <v>0</v>
      </c>
      <c r="S64" s="3">
        <v>0</v>
      </c>
      <c r="T64" s="127">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213">
        <v>0</v>
      </c>
      <c r="AO64" s="213">
        <v>0</v>
      </c>
      <c r="AP64" s="9">
        <v>0</v>
      </c>
    </row>
    <row r="65" spans="1:42">
      <c r="A65" s="39"/>
      <c r="B65" s="7" t="s">
        <v>31</v>
      </c>
      <c r="C65" s="129">
        <f>NPV($C$7,F64:AO64)+D64+E64</f>
        <v>851400</v>
      </c>
      <c r="D65" s="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10"/>
    </row>
    <row r="66" spans="1:42">
      <c r="A66" s="39"/>
      <c r="B66" s="7" t="s">
        <v>4</v>
      </c>
      <c r="C66" s="130" t="str">
        <f>IF(SUM(D66:AN66)&gt;1,"CHECK"," ")</f>
        <v xml:space="preserve"> </v>
      </c>
      <c r="D66" s="178">
        <v>0.44</v>
      </c>
      <c r="E66" s="15">
        <v>0.56000000000000005</v>
      </c>
      <c r="F66" s="15"/>
      <c r="G66" s="15"/>
      <c r="H66" s="15"/>
      <c r="I66" s="15"/>
      <c r="J66" s="15"/>
      <c r="K66" s="15"/>
      <c r="L66" s="15"/>
      <c r="M66" s="15"/>
      <c r="N66" s="15"/>
      <c r="O66" s="15"/>
      <c r="P66" s="15"/>
      <c r="Q66" s="15"/>
      <c r="R66" s="15"/>
      <c r="S66" s="15"/>
      <c r="T66" s="125"/>
      <c r="U66" s="15"/>
      <c r="V66" s="15"/>
      <c r="W66" s="15"/>
      <c r="X66" s="15"/>
      <c r="Y66" s="15"/>
      <c r="Z66" s="15"/>
      <c r="AA66" s="15"/>
      <c r="AB66" s="15"/>
      <c r="AC66" s="15"/>
      <c r="AD66" s="15"/>
      <c r="AE66" s="15"/>
      <c r="AF66" s="15"/>
      <c r="AG66" s="15"/>
      <c r="AH66" s="15"/>
      <c r="AI66" s="15"/>
      <c r="AJ66" s="15"/>
      <c r="AK66" s="15"/>
      <c r="AL66" s="15"/>
      <c r="AM66" s="15"/>
      <c r="AN66" s="146"/>
      <c r="AO66" s="146"/>
      <c r="AP66" s="16"/>
    </row>
    <row r="67" spans="1:42" ht="15.75" thickBot="1">
      <c r="A67" s="39"/>
      <c r="B67" s="11" t="s">
        <v>32</v>
      </c>
      <c r="C67" s="51"/>
      <c r="D67" s="179">
        <f>IF(D66&gt;0,(D66*$C65),0)</f>
        <v>374616</v>
      </c>
      <c r="E67" s="20">
        <f t="shared" ref="E67:AN67" si="9">IF(E66&gt;0,(E66*$C65),0)</f>
        <v>476784.00000000006</v>
      </c>
      <c r="F67" s="20">
        <f t="shared" si="9"/>
        <v>0</v>
      </c>
      <c r="G67" s="20">
        <f t="shared" si="9"/>
        <v>0</v>
      </c>
      <c r="H67" s="20">
        <f t="shared" si="9"/>
        <v>0</v>
      </c>
      <c r="I67" s="20">
        <f t="shared" si="9"/>
        <v>0</v>
      </c>
      <c r="J67" s="20">
        <f t="shared" si="9"/>
        <v>0</v>
      </c>
      <c r="K67" s="20">
        <f t="shared" si="9"/>
        <v>0</v>
      </c>
      <c r="L67" s="20">
        <f t="shared" si="9"/>
        <v>0</v>
      </c>
      <c r="M67" s="20">
        <f t="shared" si="9"/>
        <v>0</v>
      </c>
      <c r="N67" s="20">
        <f t="shared" si="9"/>
        <v>0</v>
      </c>
      <c r="O67" s="20">
        <f t="shared" si="9"/>
        <v>0</v>
      </c>
      <c r="P67" s="20">
        <f t="shared" si="9"/>
        <v>0</v>
      </c>
      <c r="Q67" s="20">
        <f t="shared" si="9"/>
        <v>0</v>
      </c>
      <c r="R67" s="20">
        <f t="shared" si="9"/>
        <v>0</v>
      </c>
      <c r="S67" s="20">
        <f>IF(S66&gt;0,(S66*$C65),0)</f>
        <v>0</v>
      </c>
      <c r="T67" s="126">
        <f t="shared" si="9"/>
        <v>0</v>
      </c>
      <c r="U67" s="20">
        <f t="shared" si="9"/>
        <v>0</v>
      </c>
      <c r="V67" s="20">
        <f t="shared" si="9"/>
        <v>0</v>
      </c>
      <c r="W67" s="20">
        <f t="shared" si="9"/>
        <v>0</v>
      </c>
      <c r="X67" s="20">
        <f t="shared" si="9"/>
        <v>0</v>
      </c>
      <c r="Y67" s="20">
        <f t="shared" si="9"/>
        <v>0</v>
      </c>
      <c r="Z67" s="20">
        <f t="shared" si="9"/>
        <v>0</v>
      </c>
      <c r="AA67" s="20">
        <f t="shared" si="9"/>
        <v>0</v>
      </c>
      <c r="AB67" s="20">
        <f t="shared" si="9"/>
        <v>0</v>
      </c>
      <c r="AC67" s="20">
        <f t="shared" si="9"/>
        <v>0</v>
      </c>
      <c r="AD67" s="20">
        <f t="shared" si="9"/>
        <v>0</v>
      </c>
      <c r="AE67" s="20">
        <f t="shared" si="9"/>
        <v>0</v>
      </c>
      <c r="AF67" s="20">
        <f t="shared" si="9"/>
        <v>0</v>
      </c>
      <c r="AG67" s="20">
        <f t="shared" si="9"/>
        <v>0</v>
      </c>
      <c r="AH67" s="20">
        <f t="shared" si="9"/>
        <v>0</v>
      </c>
      <c r="AI67" s="20">
        <f t="shared" si="9"/>
        <v>0</v>
      </c>
      <c r="AJ67" s="20">
        <f t="shared" si="9"/>
        <v>0</v>
      </c>
      <c r="AK67" s="20">
        <f t="shared" si="9"/>
        <v>0</v>
      </c>
      <c r="AL67" s="20">
        <f t="shared" si="9"/>
        <v>0</v>
      </c>
      <c r="AM67" s="20">
        <f t="shared" si="9"/>
        <v>0</v>
      </c>
      <c r="AN67" s="215">
        <f t="shared" si="9"/>
        <v>0</v>
      </c>
      <c r="AO67" s="215">
        <f>IF(AO66&gt;0,(AO66*$C65),0)</f>
        <v>0</v>
      </c>
      <c r="AP67" s="22">
        <f>IF(AP66&gt;0,(AP66*$C65),0)</f>
        <v>0</v>
      </c>
    </row>
    <row r="68" spans="1:42" ht="15.75" thickBot="1">
      <c r="A68" s="39"/>
      <c r="B68" s="7"/>
      <c r="C68" s="10"/>
      <c r="D68" s="463"/>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5"/>
    </row>
    <row r="69" spans="1:42">
      <c r="A69" s="39"/>
      <c r="B69" s="4" t="s">
        <v>12</v>
      </c>
      <c r="C69" s="466" t="str">
        <f>Summary!B23</f>
        <v>A9</v>
      </c>
      <c r="D69" s="156" t="str">
        <f>Summary!C23</f>
        <v>URC - Consultancy Costs Avoided</v>
      </c>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6"/>
    </row>
    <row r="70" spans="1:42">
      <c r="A70" s="39"/>
      <c r="B70" s="7" t="s">
        <v>189</v>
      </c>
      <c r="C70" s="134" t="str">
        <f>'A9 URC Consult Fees'!D47</f>
        <v>A - High</v>
      </c>
      <c r="D70" s="176">
        <f>VLOOKUP(C70,'Confidence Factors'!$B$6:$D$9,3)</f>
        <v>1</v>
      </c>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10"/>
    </row>
    <row r="71" spans="1:42">
      <c r="A71" s="39"/>
      <c r="B71" s="7" t="s">
        <v>30</v>
      </c>
      <c r="C71" s="128">
        <f>SUM(D71:AN71)</f>
        <v>16200</v>
      </c>
      <c r="D71" s="177">
        <v>0</v>
      </c>
      <c r="E71" s="454">
        <f>'A9 URC Consult Fees'!D70*'A9 URC Consult Fees'!D75*'Calcs - Scen 4'!D70</f>
        <v>16200</v>
      </c>
      <c r="F71" s="3">
        <v>0</v>
      </c>
      <c r="G71" s="3">
        <v>0</v>
      </c>
      <c r="H71" s="3">
        <v>0</v>
      </c>
      <c r="I71" s="3">
        <v>0</v>
      </c>
      <c r="J71" s="3">
        <v>0</v>
      </c>
      <c r="K71" s="3">
        <v>0</v>
      </c>
      <c r="L71" s="3">
        <v>0</v>
      </c>
      <c r="M71" s="3">
        <v>0</v>
      </c>
      <c r="N71" s="3">
        <v>0</v>
      </c>
      <c r="O71" s="3">
        <v>0</v>
      </c>
      <c r="P71" s="3">
        <v>0</v>
      </c>
      <c r="Q71" s="3">
        <v>0</v>
      </c>
      <c r="R71" s="3">
        <v>0</v>
      </c>
      <c r="S71" s="3">
        <v>0</v>
      </c>
      <c r="T71" s="127">
        <v>0</v>
      </c>
      <c r="U71" s="3">
        <v>0</v>
      </c>
      <c r="V71" s="3">
        <v>0</v>
      </c>
      <c r="W71" s="3">
        <v>0</v>
      </c>
      <c r="X71" s="3">
        <v>0</v>
      </c>
      <c r="Y71" s="3">
        <v>0</v>
      </c>
      <c r="Z71" s="3">
        <v>0</v>
      </c>
      <c r="AA71" s="3">
        <v>0</v>
      </c>
      <c r="AB71" s="3">
        <v>0</v>
      </c>
      <c r="AC71" s="3">
        <v>0</v>
      </c>
      <c r="AD71" s="3">
        <v>0</v>
      </c>
      <c r="AE71" s="3">
        <v>0</v>
      </c>
      <c r="AF71" s="3">
        <v>0</v>
      </c>
      <c r="AG71" s="3">
        <v>0</v>
      </c>
      <c r="AH71" s="3">
        <v>0</v>
      </c>
      <c r="AI71" s="3">
        <v>0</v>
      </c>
      <c r="AJ71" s="3">
        <v>0</v>
      </c>
      <c r="AK71" s="3">
        <v>0</v>
      </c>
      <c r="AL71" s="3">
        <v>0</v>
      </c>
      <c r="AM71" s="3">
        <v>0</v>
      </c>
      <c r="AN71" s="213">
        <v>0</v>
      </c>
      <c r="AO71" s="213">
        <v>0</v>
      </c>
      <c r="AP71" s="9">
        <v>0</v>
      </c>
    </row>
    <row r="72" spans="1:42">
      <c r="A72" s="39"/>
      <c r="B72" s="7" t="s">
        <v>31</v>
      </c>
      <c r="C72" s="129">
        <f>NPV($C$7,F71:AO71)+D71+E71</f>
        <v>16200</v>
      </c>
      <c r="D72" s="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10"/>
    </row>
    <row r="73" spans="1:42">
      <c r="A73" s="39"/>
      <c r="B73" s="7" t="s">
        <v>4</v>
      </c>
      <c r="C73" s="130" t="str">
        <f>IF(SUM(D73:AN73)&gt;1,"CHECK"," ")</f>
        <v xml:space="preserve"> </v>
      </c>
      <c r="D73" s="178">
        <v>0</v>
      </c>
      <c r="E73" s="15">
        <v>1</v>
      </c>
      <c r="F73" s="15"/>
      <c r="G73" s="15"/>
      <c r="H73" s="15"/>
      <c r="I73" s="15"/>
      <c r="J73" s="15"/>
      <c r="K73" s="15"/>
      <c r="L73" s="15"/>
      <c r="M73" s="15"/>
      <c r="N73" s="15"/>
      <c r="O73" s="15"/>
      <c r="P73" s="15"/>
      <c r="Q73" s="15"/>
      <c r="R73" s="15"/>
      <c r="S73" s="15"/>
      <c r="T73" s="125"/>
      <c r="U73" s="15"/>
      <c r="V73" s="15"/>
      <c r="W73" s="15"/>
      <c r="X73" s="15"/>
      <c r="Y73" s="15"/>
      <c r="Z73" s="15"/>
      <c r="AA73" s="15"/>
      <c r="AB73" s="15"/>
      <c r="AC73" s="15"/>
      <c r="AD73" s="15"/>
      <c r="AE73" s="15"/>
      <c r="AF73" s="15"/>
      <c r="AG73" s="15"/>
      <c r="AH73" s="15"/>
      <c r="AI73" s="15"/>
      <c r="AJ73" s="15"/>
      <c r="AK73" s="15"/>
      <c r="AL73" s="15"/>
      <c r="AM73" s="15"/>
      <c r="AN73" s="146"/>
      <c r="AO73" s="146"/>
      <c r="AP73" s="16"/>
    </row>
    <row r="74" spans="1:42" ht="15.75" thickBot="1">
      <c r="A74" s="39"/>
      <c r="B74" s="11" t="s">
        <v>32</v>
      </c>
      <c r="C74" s="51"/>
      <c r="D74" s="179">
        <f>IF(D73&gt;0,(D73*$C72),0)</f>
        <v>0</v>
      </c>
      <c r="E74" s="20">
        <f t="shared" ref="E74:R74" si="10">IF(E73&gt;0,(E73*$C72),0)</f>
        <v>16200</v>
      </c>
      <c r="F74" s="20">
        <f t="shared" si="10"/>
        <v>0</v>
      </c>
      <c r="G74" s="20">
        <f t="shared" si="10"/>
        <v>0</v>
      </c>
      <c r="H74" s="20">
        <f t="shared" si="10"/>
        <v>0</v>
      </c>
      <c r="I74" s="20">
        <f t="shared" si="10"/>
        <v>0</v>
      </c>
      <c r="J74" s="20">
        <f t="shared" si="10"/>
        <v>0</v>
      </c>
      <c r="K74" s="20">
        <f t="shared" si="10"/>
        <v>0</v>
      </c>
      <c r="L74" s="20">
        <f t="shared" si="10"/>
        <v>0</v>
      </c>
      <c r="M74" s="20">
        <f t="shared" si="10"/>
        <v>0</v>
      </c>
      <c r="N74" s="20">
        <f t="shared" si="10"/>
        <v>0</v>
      </c>
      <c r="O74" s="20">
        <f t="shared" si="10"/>
        <v>0</v>
      </c>
      <c r="P74" s="20">
        <f t="shared" si="10"/>
        <v>0</v>
      </c>
      <c r="Q74" s="20">
        <f t="shared" si="10"/>
        <v>0</v>
      </c>
      <c r="R74" s="20">
        <f t="shared" si="10"/>
        <v>0</v>
      </c>
      <c r="S74" s="20">
        <f>IF(S73&gt;0,(S73*$C72),0)</f>
        <v>0</v>
      </c>
      <c r="T74" s="126">
        <f t="shared" ref="T74:AN74" si="11">IF(T73&gt;0,(T73*$C72),0)</f>
        <v>0</v>
      </c>
      <c r="U74" s="20">
        <f t="shared" si="11"/>
        <v>0</v>
      </c>
      <c r="V74" s="20">
        <f t="shared" si="11"/>
        <v>0</v>
      </c>
      <c r="W74" s="20">
        <f t="shared" si="11"/>
        <v>0</v>
      </c>
      <c r="X74" s="20">
        <f t="shared" si="11"/>
        <v>0</v>
      </c>
      <c r="Y74" s="20">
        <f t="shared" si="11"/>
        <v>0</v>
      </c>
      <c r="Z74" s="20">
        <f t="shared" si="11"/>
        <v>0</v>
      </c>
      <c r="AA74" s="20">
        <f t="shared" si="11"/>
        <v>0</v>
      </c>
      <c r="AB74" s="20">
        <f t="shared" si="11"/>
        <v>0</v>
      </c>
      <c r="AC74" s="20">
        <f t="shared" si="11"/>
        <v>0</v>
      </c>
      <c r="AD74" s="20">
        <f t="shared" si="11"/>
        <v>0</v>
      </c>
      <c r="AE74" s="20">
        <f t="shared" si="11"/>
        <v>0</v>
      </c>
      <c r="AF74" s="20">
        <f t="shared" si="11"/>
        <v>0</v>
      </c>
      <c r="AG74" s="20">
        <f t="shared" si="11"/>
        <v>0</v>
      </c>
      <c r="AH74" s="20">
        <f t="shared" si="11"/>
        <v>0</v>
      </c>
      <c r="AI74" s="20">
        <f t="shared" si="11"/>
        <v>0</v>
      </c>
      <c r="AJ74" s="20">
        <f t="shared" si="11"/>
        <v>0</v>
      </c>
      <c r="AK74" s="20">
        <f t="shared" si="11"/>
        <v>0</v>
      </c>
      <c r="AL74" s="20">
        <f t="shared" si="11"/>
        <v>0</v>
      </c>
      <c r="AM74" s="20">
        <f t="shared" si="11"/>
        <v>0</v>
      </c>
      <c r="AN74" s="215">
        <f t="shared" si="11"/>
        <v>0</v>
      </c>
      <c r="AO74" s="215">
        <f>IF(AO73&gt;0,(AO73*$C72),0)</f>
        <v>0</v>
      </c>
      <c r="AP74" s="22">
        <f>IF(AP73&gt;0,(AP73*$C72),0)</f>
        <v>0</v>
      </c>
    </row>
    <row r="75" spans="1:42" ht="15.75" thickBot="1">
      <c r="A75" s="39"/>
      <c r="B75" s="7"/>
      <c r="C75" s="10"/>
      <c r="D75" s="463"/>
      <c r="E75" s="464"/>
      <c r="F75" s="464"/>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5"/>
    </row>
    <row r="76" spans="1:42">
      <c r="A76" s="39"/>
      <c r="B76" s="4" t="s">
        <v>12</v>
      </c>
      <c r="C76" s="466" t="str">
        <f>Summary!B24</f>
        <v>A10</v>
      </c>
      <c r="D76" s="156" t="str">
        <f>Summary!C24</f>
        <v>CMAL - Consultancy Costs Avoided</v>
      </c>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6"/>
    </row>
    <row r="77" spans="1:42">
      <c r="A77" s="39"/>
      <c r="B77" s="7" t="s">
        <v>189</v>
      </c>
      <c r="C77" s="134" t="str">
        <f>'A10 CMAL Consult Fees '!D47</f>
        <v>A - High</v>
      </c>
      <c r="D77" s="176">
        <f>VLOOKUP(C77,'Confidence Factors'!$B$6:$D$9,3)</f>
        <v>1</v>
      </c>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10"/>
    </row>
    <row r="78" spans="1:42">
      <c r="A78" s="39"/>
      <c r="B78" s="7" t="s">
        <v>30</v>
      </c>
      <c r="C78" s="128">
        <f>SUM(D78:AN78)</f>
        <v>100000</v>
      </c>
      <c r="D78" s="177">
        <v>0</v>
      </c>
      <c r="E78" s="454">
        <f>'A10 CMAL Consult Fees '!D70*'A10 CMAL Consult Fees '!D75*'Calcs - Scen 4'!D77</f>
        <v>100000</v>
      </c>
      <c r="F78" s="3">
        <v>0</v>
      </c>
      <c r="G78" s="3">
        <v>0</v>
      </c>
      <c r="H78" s="3">
        <v>0</v>
      </c>
      <c r="I78" s="3">
        <v>0</v>
      </c>
      <c r="J78" s="3">
        <v>0</v>
      </c>
      <c r="K78" s="3">
        <v>0</v>
      </c>
      <c r="L78" s="3">
        <v>0</v>
      </c>
      <c r="M78" s="3">
        <v>0</v>
      </c>
      <c r="N78" s="3">
        <v>0</v>
      </c>
      <c r="O78" s="3">
        <v>0</v>
      </c>
      <c r="P78" s="3">
        <v>0</v>
      </c>
      <c r="Q78" s="3">
        <v>0</v>
      </c>
      <c r="R78" s="3">
        <v>0</v>
      </c>
      <c r="S78" s="3">
        <v>0</v>
      </c>
      <c r="T78" s="127">
        <v>0</v>
      </c>
      <c r="U78" s="3">
        <v>0</v>
      </c>
      <c r="V78" s="3">
        <v>0</v>
      </c>
      <c r="W78" s="3">
        <v>0</v>
      </c>
      <c r="X78" s="3">
        <v>0</v>
      </c>
      <c r="Y78" s="3">
        <v>0</v>
      </c>
      <c r="Z78" s="3">
        <v>0</v>
      </c>
      <c r="AA78" s="3">
        <v>0</v>
      </c>
      <c r="AB78" s="3">
        <v>0</v>
      </c>
      <c r="AC78" s="3">
        <v>0</v>
      </c>
      <c r="AD78" s="3">
        <v>0</v>
      </c>
      <c r="AE78" s="3">
        <v>0</v>
      </c>
      <c r="AF78" s="3">
        <v>0</v>
      </c>
      <c r="AG78" s="3">
        <v>0</v>
      </c>
      <c r="AH78" s="3">
        <v>0</v>
      </c>
      <c r="AI78" s="3">
        <v>0</v>
      </c>
      <c r="AJ78" s="3">
        <v>0</v>
      </c>
      <c r="AK78" s="3">
        <v>0</v>
      </c>
      <c r="AL78" s="3">
        <v>0</v>
      </c>
      <c r="AM78" s="3">
        <v>0</v>
      </c>
      <c r="AN78" s="213">
        <v>0</v>
      </c>
      <c r="AO78" s="213">
        <v>0</v>
      </c>
      <c r="AP78" s="9">
        <v>0</v>
      </c>
    </row>
    <row r="79" spans="1:42">
      <c r="A79" s="39"/>
      <c r="B79" s="7" t="s">
        <v>31</v>
      </c>
      <c r="C79" s="129">
        <f>NPV($C$7,F78:AO78)+D78+E78</f>
        <v>100000</v>
      </c>
      <c r="D79" s="7"/>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10"/>
    </row>
    <row r="80" spans="1:42">
      <c r="A80" s="39"/>
      <c r="B80" s="7" t="s">
        <v>4</v>
      </c>
      <c r="C80" s="130" t="str">
        <f>IF(SUM(D80:AN80)&gt;1,"CHECK"," ")</f>
        <v xml:space="preserve"> </v>
      </c>
      <c r="D80" s="178">
        <v>0</v>
      </c>
      <c r="E80" s="15">
        <v>1</v>
      </c>
      <c r="F80" s="15"/>
      <c r="G80" s="15"/>
      <c r="H80" s="15"/>
      <c r="I80" s="15"/>
      <c r="J80" s="15"/>
      <c r="K80" s="15"/>
      <c r="L80" s="15"/>
      <c r="M80" s="15"/>
      <c r="N80" s="15"/>
      <c r="O80" s="15"/>
      <c r="P80" s="15"/>
      <c r="Q80" s="15"/>
      <c r="R80" s="15"/>
      <c r="S80" s="15"/>
      <c r="T80" s="125"/>
      <c r="U80" s="15"/>
      <c r="V80" s="15"/>
      <c r="W80" s="15"/>
      <c r="X80" s="15"/>
      <c r="Y80" s="15"/>
      <c r="Z80" s="15"/>
      <c r="AA80" s="15"/>
      <c r="AB80" s="15"/>
      <c r="AC80" s="15"/>
      <c r="AD80" s="15"/>
      <c r="AE80" s="15"/>
      <c r="AF80" s="15"/>
      <c r="AG80" s="15"/>
      <c r="AH80" s="15"/>
      <c r="AI80" s="15"/>
      <c r="AJ80" s="15"/>
      <c r="AK80" s="15"/>
      <c r="AL80" s="15"/>
      <c r="AM80" s="15"/>
      <c r="AN80" s="146"/>
      <c r="AO80" s="146"/>
      <c r="AP80" s="16"/>
    </row>
    <row r="81" spans="1:42" ht="15.75" thickBot="1">
      <c r="A81" s="39"/>
      <c r="B81" s="7"/>
      <c r="C81" s="10"/>
      <c r="D81" s="179">
        <f>IF(D80&gt;0,(D80*$C79),0)</f>
        <v>0</v>
      </c>
      <c r="E81" s="20">
        <f t="shared" ref="E81:R81" si="12">IF(E80&gt;0,(E80*$C79),0)</f>
        <v>100000</v>
      </c>
      <c r="F81" s="20">
        <f t="shared" si="12"/>
        <v>0</v>
      </c>
      <c r="G81" s="20">
        <f t="shared" si="12"/>
        <v>0</v>
      </c>
      <c r="H81" s="20">
        <f t="shared" si="12"/>
        <v>0</v>
      </c>
      <c r="I81" s="20">
        <f t="shared" si="12"/>
        <v>0</v>
      </c>
      <c r="J81" s="20">
        <f t="shared" si="12"/>
        <v>0</v>
      </c>
      <c r="K81" s="20">
        <f t="shared" si="12"/>
        <v>0</v>
      </c>
      <c r="L81" s="20">
        <f t="shared" si="12"/>
        <v>0</v>
      </c>
      <c r="M81" s="20">
        <f t="shared" si="12"/>
        <v>0</v>
      </c>
      <c r="N81" s="20">
        <f t="shared" si="12"/>
        <v>0</v>
      </c>
      <c r="O81" s="20">
        <f t="shared" si="12"/>
        <v>0</v>
      </c>
      <c r="P81" s="20">
        <f t="shared" si="12"/>
        <v>0</v>
      </c>
      <c r="Q81" s="20">
        <f t="shared" si="12"/>
        <v>0</v>
      </c>
      <c r="R81" s="20">
        <f t="shared" si="12"/>
        <v>0</v>
      </c>
      <c r="S81" s="20">
        <f>IF(S80&gt;0,(S80*$C79),0)</f>
        <v>0</v>
      </c>
      <c r="T81" s="126">
        <f t="shared" ref="T81:AN81" si="13">IF(T80&gt;0,(T80*$C79),0)</f>
        <v>0</v>
      </c>
      <c r="U81" s="20">
        <f t="shared" si="13"/>
        <v>0</v>
      </c>
      <c r="V81" s="20">
        <f t="shared" si="13"/>
        <v>0</v>
      </c>
      <c r="W81" s="20">
        <f t="shared" si="13"/>
        <v>0</v>
      </c>
      <c r="X81" s="20">
        <f t="shared" si="13"/>
        <v>0</v>
      </c>
      <c r="Y81" s="20">
        <f t="shared" si="13"/>
        <v>0</v>
      </c>
      <c r="Z81" s="20">
        <f t="shared" si="13"/>
        <v>0</v>
      </c>
      <c r="AA81" s="20">
        <f t="shared" si="13"/>
        <v>0</v>
      </c>
      <c r="AB81" s="20">
        <f t="shared" si="13"/>
        <v>0</v>
      </c>
      <c r="AC81" s="20">
        <f t="shared" si="13"/>
        <v>0</v>
      </c>
      <c r="AD81" s="20">
        <f t="shared" si="13"/>
        <v>0</v>
      </c>
      <c r="AE81" s="20">
        <f t="shared" si="13"/>
        <v>0</v>
      </c>
      <c r="AF81" s="20">
        <f t="shared" si="13"/>
        <v>0</v>
      </c>
      <c r="AG81" s="20">
        <f t="shared" si="13"/>
        <v>0</v>
      </c>
      <c r="AH81" s="20">
        <f t="shared" si="13"/>
        <v>0</v>
      </c>
      <c r="AI81" s="20">
        <f t="shared" si="13"/>
        <v>0</v>
      </c>
      <c r="AJ81" s="20">
        <f t="shared" si="13"/>
        <v>0</v>
      </c>
      <c r="AK81" s="20">
        <f t="shared" si="13"/>
        <v>0</v>
      </c>
      <c r="AL81" s="20">
        <f t="shared" si="13"/>
        <v>0</v>
      </c>
      <c r="AM81" s="20">
        <f t="shared" si="13"/>
        <v>0</v>
      </c>
      <c r="AN81" s="215">
        <f t="shared" si="13"/>
        <v>0</v>
      </c>
      <c r="AO81" s="215">
        <f>IF(AO80&gt;0,(AO80*$C79),0)</f>
        <v>0</v>
      </c>
      <c r="AP81" s="22">
        <f>IF(AP80&gt;0,(AP80*$C79),0)</f>
        <v>0</v>
      </c>
    </row>
    <row r="82" spans="1:42" ht="15.75" thickBot="1">
      <c r="A82" s="39"/>
      <c r="B82" s="11"/>
      <c r="C82" s="51"/>
      <c r="D82" s="463"/>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5"/>
    </row>
    <row r="83" spans="1:42">
      <c r="A83" s="39"/>
      <c r="B83" s="4" t="s">
        <v>12</v>
      </c>
      <c r="C83" s="466" t="str">
        <f>Summary!B25</f>
        <v>A11</v>
      </c>
      <c r="D83" s="156" t="str">
        <f>Summary!C25</f>
        <v>Collaborative Housing - Consultancy Costs Avoided</v>
      </c>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6"/>
    </row>
    <row r="84" spans="1:42">
      <c r="A84" s="39"/>
      <c r="B84" s="7" t="s">
        <v>189</v>
      </c>
      <c r="C84" s="134" t="str">
        <f>'A11 CH Consult Fees'!D47</f>
        <v>A - High</v>
      </c>
      <c r="D84" s="176">
        <f>VLOOKUP(C84,'Confidence Factors'!$B$6:$D$9,3)</f>
        <v>1</v>
      </c>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10"/>
    </row>
    <row r="85" spans="1:42">
      <c r="A85" s="39"/>
      <c r="B85" s="7" t="s">
        <v>30</v>
      </c>
      <c r="C85" s="128">
        <f>SUM(D85:AN85)</f>
        <v>149000</v>
      </c>
      <c r="D85" s="177">
        <v>0</v>
      </c>
      <c r="E85" s="454">
        <f>'A11 CH Consult Fees'!D70*'A11 CH Consult Fees'!D75*'Calcs - Scen 4'!D84</f>
        <v>149000</v>
      </c>
      <c r="F85" s="3">
        <v>0</v>
      </c>
      <c r="G85" s="3">
        <v>0</v>
      </c>
      <c r="H85" s="3">
        <v>0</v>
      </c>
      <c r="I85" s="3">
        <v>0</v>
      </c>
      <c r="J85" s="3">
        <v>0</v>
      </c>
      <c r="K85" s="3">
        <v>0</v>
      </c>
      <c r="L85" s="3">
        <v>0</v>
      </c>
      <c r="M85" s="3">
        <v>0</v>
      </c>
      <c r="N85" s="3">
        <v>0</v>
      </c>
      <c r="O85" s="3">
        <v>0</v>
      </c>
      <c r="P85" s="3">
        <v>0</v>
      </c>
      <c r="Q85" s="3">
        <v>0</v>
      </c>
      <c r="R85" s="3">
        <v>0</v>
      </c>
      <c r="S85" s="3">
        <v>0</v>
      </c>
      <c r="T85" s="127">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213">
        <v>0</v>
      </c>
      <c r="AO85" s="213">
        <v>0</v>
      </c>
      <c r="AP85" s="9">
        <v>0</v>
      </c>
    </row>
    <row r="86" spans="1:42">
      <c r="A86" s="39"/>
      <c r="B86" s="7" t="s">
        <v>31</v>
      </c>
      <c r="C86" s="129">
        <f>NPV($C$7,F85:AO85)+D85+E85</f>
        <v>149000</v>
      </c>
      <c r="D86" s="7"/>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10"/>
    </row>
    <row r="87" spans="1:42">
      <c r="A87" s="39"/>
      <c r="B87" s="7" t="s">
        <v>4</v>
      </c>
      <c r="C87" s="130" t="str">
        <f>IF(SUM(D87:AN87)&gt;1,"CHECK"," ")</f>
        <v xml:space="preserve"> </v>
      </c>
      <c r="D87" s="178">
        <v>0</v>
      </c>
      <c r="E87" s="15">
        <v>1</v>
      </c>
      <c r="F87" s="15"/>
      <c r="G87" s="15"/>
      <c r="H87" s="15"/>
      <c r="I87" s="15"/>
      <c r="J87" s="15"/>
      <c r="K87" s="15"/>
      <c r="L87" s="15"/>
      <c r="M87" s="15"/>
      <c r="N87" s="15"/>
      <c r="O87" s="15"/>
      <c r="P87" s="15"/>
      <c r="Q87" s="15"/>
      <c r="R87" s="15"/>
      <c r="S87" s="15"/>
      <c r="T87" s="125"/>
      <c r="U87" s="15"/>
      <c r="V87" s="15"/>
      <c r="W87" s="15"/>
      <c r="X87" s="15"/>
      <c r="Y87" s="15"/>
      <c r="Z87" s="15"/>
      <c r="AA87" s="15"/>
      <c r="AB87" s="15"/>
      <c r="AC87" s="15"/>
      <c r="AD87" s="15"/>
      <c r="AE87" s="15"/>
      <c r="AF87" s="15"/>
      <c r="AG87" s="15"/>
      <c r="AH87" s="15"/>
      <c r="AI87" s="15"/>
      <c r="AJ87" s="15"/>
      <c r="AK87" s="15"/>
      <c r="AL87" s="15"/>
      <c r="AM87" s="15"/>
      <c r="AN87" s="146"/>
      <c r="AO87" s="146"/>
      <c r="AP87" s="16"/>
    </row>
    <row r="88" spans="1:42" ht="15.75" thickBot="1">
      <c r="A88" s="39"/>
      <c r="B88" s="7"/>
      <c r="C88" s="10"/>
      <c r="D88" s="179">
        <f>IF(D87&gt;0,(D87*$C86),0)</f>
        <v>0</v>
      </c>
      <c r="E88" s="20">
        <f t="shared" ref="E88:R88" si="14">IF(E87&gt;0,(E87*$C86),0)</f>
        <v>149000</v>
      </c>
      <c r="F88" s="20">
        <f t="shared" si="14"/>
        <v>0</v>
      </c>
      <c r="G88" s="20">
        <f t="shared" si="14"/>
        <v>0</v>
      </c>
      <c r="H88" s="20">
        <f t="shared" si="14"/>
        <v>0</v>
      </c>
      <c r="I88" s="20">
        <f t="shared" si="14"/>
        <v>0</v>
      </c>
      <c r="J88" s="20">
        <f t="shared" si="14"/>
        <v>0</v>
      </c>
      <c r="K88" s="20">
        <f t="shared" si="14"/>
        <v>0</v>
      </c>
      <c r="L88" s="20">
        <f t="shared" si="14"/>
        <v>0</v>
      </c>
      <c r="M88" s="20">
        <f t="shared" si="14"/>
        <v>0</v>
      </c>
      <c r="N88" s="20">
        <f t="shared" si="14"/>
        <v>0</v>
      </c>
      <c r="O88" s="20">
        <f t="shared" si="14"/>
        <v>0</v>
      </c>
      <c r="P88" s="20">
        <f t="shared" si="14"/>
        <v>0</v>
      </c>
      <c r="Q88" s="20">
        <f t="shared" si="14"/>
        <v>0</v>
      </c>
      <c r="R88" s="20">
        <f t="shared" si="14"/>
        <v>0</v>
      </c>
      <c r="S88" s="20">
        <f>IF(S87&gt;0,(S87*$C86),0)</f>
        <v>0</v>
      </c>
      <c r="T88" s="126">
        <f t="shared" ref="T88:AN88" si="15">IF(T87&gt;0,(T87*$C86),0)</f>
        <v>0</v>
      </c>
      <c r="U88" s="20">
        <f t="shared" si="15"/>
        <v>0</v>
      </c>
      <c r="V88" s="20">
        <f t="shared" si="15"/>
        <v>0</v>
      </c>
      <c r="W88" s="20">
        <f t="shared" si="15"/>
        <v>0</v>
      </c>
      <c r="X88" s="20">
        <f t="shared" si="15"/>
        <v>0</v>
      </c>
      <c r="Y88" s="20">
        <f t="shared" si="15"/>
        <v>0</v>
      </c>
      <c r="Z88" s="20">
        <f t="shared" si="15"/>
        <v>0</v>
      </c>
      <c r="AA88" s="20">
        <f t="shared" si="15"/>
        <v>0</v>
      </c>
      <c r="AB88" s="20">
        <f t="shared" si="15"/>
        <v>0</v>
      </c>
      <c r="AC88" s="20">
        <f t="shared" si="15"/>
        <v>0</v>
      </c>
      <c r="AD88" s="20">
        <f t="shared" si="15"/>
        <v>0</v>
      </c>
      <c r="AE88" s="20">
        <f t="shared" si="15"/>
        <v>0</v>
      </c>
      <c r="AF88" s="20">
        <f t="shared" si="15"/>
        <v>0</v>
      </c>
      <c r="AG88" s="20">
        <f t="shared" si="15"/>
        <v>0</v>
      </c>
      <c r="AH88" s="20">
        <f t="shared" si="15"/>
        <v>0</v>
      </c>
      <c r="AI88" s="20">
        <f t="shared" si="15"/>
        <v>0</v>
      </c>
      <c r="AJ88" s="20">
        <f t="shared" si="15"/>
        <v>0</v>
      </c>
      <c r="AK88" s="20">
        <f t="shared" si="15"/>
        <v>0</v>
      </c>
      <c r="AL88" s="20">
        <f t="shared" si="15"/>
        <v>0</v>
      </c>
      <c r="AM88" s="20">
        <f t="shared" si="15"/>
        <v>0</v>
      </c>
      <c r="AN88" s="215">
        <f t="shared" si="15"/>
        <v>0</v>
      </c>
      <c r="AO88" s="215">
        <f>IF(AO87&gt;0,(AO87*$C86),0)</f>
        <v>0</v>
      </c>
      <c r="AP88" s="22">
        <f>IF(AP87&gt;0,(AP87*$C86),0)</f>
        <v>0</v>
      </c>
    </row>
    <row r="89" spans="1:42" ht="15.75" thickBot="1">
      <c r="A89" s="39"/>
      <c r="B89" s="7"/>
      <c r="C89" s="10"/>
      <c r="D89" s="463"/>
      <c r="E89" s="464"/>
      <c r="F89" s="464"/>
      <c r="G89" s="464"/>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65"/>
    </row>
    <row r="90" spans="1:42">
      <c r="A90" s="39"/>
      <c r="B90" s="4" t="s">
        <v>12</v>
      </c>
      <c r="C90" s="466" t="str">
        <f>Summary!B26</f>
        <v>A12</v>
      </c>
      <c r="D90" s="156" t="str">
        <f>Summary!C26</f>
        <v>Waste - Avoided Abortive Advisory Costs Clyde Valley</v>
      </c>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6"/>
    </row>
    <row r="91" spans="1:42">
      <c r="A91" s="39"/>
      <c r="B91" s="7" t="s">
        <v>189</v>
      </c>
      <c r="C91" s="134" t="str">
        <f>'A12 Waste Avoided Abort Cost CV'!D47</f>
        <v>A - High</v>
      </c>
      <c r="D91" s="176">
        <f>VLOOKUP(C91,'Confidence Factors'!$B$6:$D$9,3)</f>
        <v>1</v>
      </c>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10"/>
    </row>
    <row r="92" spans="1:42">
      <c r="A92" s="39"/>
      <c r="B92" s="7" t="s">
        <v>30</v>
      </c>
      <c r="C92" s="128">
        <f>SUM(D92:AN92)</f>
        <v>77000</v>
      </c>
      <c r="D92" s="177">
        <v>0</v>
      </c>
      <c r="E92" s="454">
        <f>'A12 Waste Avoided Abort Cost CV'!D70*'A12 Waste Avoided Abort Cost CV'!D75*'Calcs - Scen 4'!D91</f>
        <v>77000</v>
      </c>
      <c r="F92" s="3">
        <v>0</v>
      </c>
      <c r="G92" s="3">
        <v>0</v>
      </c>
      <c r="H92" s="3">
        <v>0</v>
      </c>
      <c r="I92" s="3">
        <v>0</v>
      </c>
      <c r="J92" s="3">
        <v>0</v>
      </c>
      <c r="K92" s="3">
        <v>0</v>
      </c>
      <c r="L92" s="3">
        <v>0</v>
      </c>
      <c r="M92" s="3">
        <v>0</v>
      </c>
      <c r="N92" s="3">
        <v>0</v>
      </c>
      <c r="O92" s="3">
        <v>0</v>
      </c>
      <c r="P92" s="3">
        <v>0</v>
      </c>
      <c r="Q92" s="3">
        <v>0</v>
      </c>
      <c r="R92" s="3">
        <v>0</v>
      </c>
      <c r="S92" s="3">
        <v>0</v>
      </c>
      <c r="T92" s="127">
        <v>0</v>
      </c>
      <c r="U92" s="3">
        <v>0</v>
      </c>
      <c r="V92" s="3">
        <v>0</v>
      </c>
      <c r="W92" s="3">
        <v>0</v>
      </c>
      <c r="X92" s="3">
        <v>0</v>
      </c>
      <c r="Y92" s="3">
        <v>0</v>
      </c>
      <c r="Z92" s="3">
        <v>0</v>
      </c>
      <c r="AA92" s="3">
        <v>0</v>
      </c>
      <c r="AB92" s="3">
        <v>0</v>
      </c>
      <c r="AC92" s="3">
        <v>0</v>
      </c>
      <c r="AD92" s="3">
        <v>0</v>
      </c>
      <c r="AE92" s="3">
        <v>0</v>
      </c>
      <c r="AF92" s="3">
        <v>0</v>
      </c>
      <c r="AG92" s="3">
        <v>0</v>
      </c>
      <c r="AH92" s="3">
        <v>0</v>
      </c>
      <c r="AI92" s="3">
        <v>0</v>
      </c>
      <c r="AJ92" s="3">
        <v>0</v>
      </c>
      <c r="AK92" s="3">
        <v>0</v>
      </c>
      <c r="AL92" s="3">
        <v>0</v>
      </c>
      <c r="AM92" s="3">
        <v>0</v>
      </c>
      <c r="AN92" s="213">
        <v>0</v>
      </c>
      <c r="AO92" s="213">
        <v>0</v>
      </c>
      <c r="AP92" s="9">
        <v>0</v>
      </c>
    </row>
    <row r="93" spans="1:42">
      <c r="A93" s="39"/>
      <c r="B93" s="7" t="s">
        <v>31</v>
      </c>
      <c r="C93" s="129">
        <f>NPV($C$7,F92:AO92)+D92+E92</f>
        <v>77000</v>
      </c>
      <c r="D93" s="7"/>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10"/>
    </row>
    <row r="94" spans="1:42">
      <c r="A94" s="39"/>
      <c r="B94" s="7" t="s">
        <v>4</v>
      </c>
      <c r="C94" s="130" t="str">
        <f>IF(SUM(D94:AN94)&gt;1,"CHECK"," ")</f>
        <v xml:space="preserve"> </v>
      </c>
      <c r="D94" s="178">
        <v>0</v>
      </c>
      <c r="E94" s="15">
        <v>1</v>
      </c>
      <c r="F94" s="15"/>
      <c r="G94" s="15"/>
      <c r="H94" s="15"/>
      <c r="I94" s="15"/>
      <c r="J94" s="15"/>
      <c r="K94" s="15"/>
      <c r="L94" s="15"/>
      <c r="M94" s="15"/>
      <c r="N94" s="15"/>
      <c r="O94" s="15"/>
      <c r="P94" s="15"/>
      <c r="Q94" s="15"/>
      <c r="R94" s="15"/>
      <c r="S94" s="15"/>
      <c r="T94" s="125"/>
      <c r="U94" s="15"/>
      <c r="V94" s="15"/>
      <c r="W94" s="15"/>
      <c r="X94" s="15"/>
      <c r="Y94" s="15"/>
      <c r="Z94" s="15"/>
      <c r="AA94" s="15"/>
      <c r="AB94" s="15"/>
      <c r="AC94" s="15"/>
      <c r="AD94" s="15"/>
      <c r="AE94" s="15"/>
      <c r="AF94" s="15"/>
      <c r="AG94" s="15"/>
      <c r="AH94" s="15"/>
      <c r="AI94" s="15"/>
      <c r="AJ94" s="15"/>
      <c r="AK94" s="15"/>
      <c r="AL94" s="15"/>
      <c r="AM94" s="15"/>
      <c r="AN94" s="146"/>
      <c r="AO94" s="146"/>
      <c r="AP94" s="16"/>
    </row>
    <row r="95" spans="1:42" ht="15.75" thickBot="1">
      <c r="A95" s="39"/>
      <c r="B95" s="7"/>
      <c r="C95" s="10"/>
      <c r="D95" s="179">
        <f>IF(D94&gt;0,(D94*$C93),0)</f>
        <v>0</v>
      </c>
      <c r="E95" s="20">
        <f t="shared" ref="E95:R95" si="16">IF(E94&gt;0,(E94*$C93),0)</f>
        <v>77000</v>
      </c>
      <c r="F95" s="20">
        <f t="shared" si="16"/>
        <v>0</v>
      </c>
      <c r="G95" s="20">
        <f t="shared" si="16"/>
        <v>0</v>
      </c>
      <c r="H95" s="20">
        <f t="shared" si="16"/>
        <v>0</v>
      </c>
      <c r="I95" s="20">
        <f t="shared" si="16"/>
        <v>0</v>
      </c>
      <c r="J95" s="20">
        <f t="shared" si="16"/>
        <v>0</v>
      </c>
      <c r="K95" s="20">
        <f t="shared" si="16"/>
        <v>0</v>
      </c>
      <c r="L95" s="20">
        <f t="shared" si="16"/>
        <v>0</v>
      </c>
      <c r="M95" s="20">
        <f t="shared" si="16"/>
        <v>0</v>
      </c>
      <c r="N95" s="20">
        <f t="shared" si="16"/>
        <v>0</v>
      </c>
      <c r="O95" s="20">
        <f t="shared" si="16"/>
        <v>0</v>
      </c>
      <c r="P95" s="20">
        <f t="shared" si="16"/>
        <v>0</v>
      </c>
      <c r="Q95" s="20">
        <f t="shared" si="16"/>
        <v>0</v>
      </c>
      <c r="R95" s="20">
        <f t="shared" si="16"/>
        <v>0</v>
      </c>
      <c r="S95" s="20">
        <f>IF(S94&gt;0,(S94*$C93),0)</f>
        <v>0</v>
      </c>
      <c r="T95" s="126">
        <f t="shared" ref="T95:AN95" si="17">IF(T94&gt;0,(T94*$C93),0)</f>
        <v>0</v>
      </c>
      <c r="U95" s="20">
        <f t="shared" si="17"/>
        <v>0</v>
      </c>
      <c r="V95" s="20">
        <f t="shared" si="17"/>
        <v>0</v>
      </c>
      <c r="W95" s="20">
        <f t="shared" si="17"/>
        <v>0</v>
      </c>
      <c r="X95" s="20">
        <f t="shared" si="17"/>
        <v>0</v>
      </c>
      <c r="Y95" s="20">
        <f t="shared" si="17"/>
        <v>0</v>
      </c>
      <c r="Z95" s="20">
        <f t="shared" si="17"/>
        <v>0</v>
      </c>
      <c r="AA95" s="20">
        <f t="shared" si="17"/>
        <v>0</v>
      </c>
      <c r="AB95" s="20">
        <f t="shared" si="17"/>
        <v>0</v>
      </c>
      <c r="AC95" s="20">
        <f t="shared" si="17"/>
        <v>0</v>
      </c>
      <c r="AD95" s="20">
        <f t="shared" si="17"/>
        <v>0</v>
      </c>
      <c r="AE95" s="20">
        <f t="shared" si="17"/>
        <v>0</v>
      </c>
      <c r="AF95" s="20">
        <f t="shared" si="17"/>
        <v>0</v>
      </c>
      <c r="AG95" s="20">
        <f t="shared" si="17"/>
        <v>0</v>
      </c>
      <c r="AH95" s="20">
        <f t="shared" si="17"/>
        <v>0</v>
      </c>
      <c r="AI95" s="20">
        <f t="shared" si="17"/>
        <v>0</v>
      </c>
      <c r="AJ95" s="20">
        <f t="shared" si="17"/>
        <v>0</v>
      </c>
      <c r="AK95" s="20">
        <f t="shared" si="17"/>
        <v>0</v>
      </c>
      <c r="AL95" s="20">
        <f t="shared" si="17"/>
        <v>0</v>
      </c>
      <c r="AM95" s="20">
        <f t="shared" si="17"/>
        <v>0</v>
      </c>
      <c r="AN95" s="215">
        <f t="shared" si="17"/>
        <v>0</v>
      </c>
      <c r="AO95" s="215">
        <f>IF(AO94&gt;0,(AO94*$C93),0)</f>
        <v>0</v>
      </c>
      <c r="AP95" s="22">
        <f>IF(AP94&gt;0,(AP94*$C93),0)</f>
        <v>0</v>
      </c>
    </row>
    <row r="96" spans="1:42" ht="15.75" thickBot="1">
      <c r="A96" s="39"/>
      <c r="B96" s="7"/>
      <c r="C96" s="10"/>
      <c r="D96" s="463"/>
      <c r="E96" s="464"/>
      <c r="F96" s="464"/>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5"/>
    </row>
    <row r="97" spans="1:42">
      <c r="A97" s="39"/>
      <c r="B97" s="4" t="s">
        <v>12</v>
      </c>
      <c r="C97" s="466" t="str">
        <f>'A13 Waste Avoid Advisor Non CV '!D10</f>
        <v>A13</v>
      </c>
      <c r="D97" s="156" t="str">
        <f>Summary!C27</f>
        <v>Waste - Avoided Advisory Costs - Projects other than Clyde Valley</v>
      </c>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6"/>
    </row>
    <row r="98" spans="1:42">
      <c r="A98" s="39"/>
      <c r="B98" s="7" t="s">
        <v>189</v>
      </c>
      <c r="C98" s="134" t="str">
        <f>'A13 Waste Avoid Advisor Non CV '!D47</f>
        <v>C - Good</v>
      </c>
      <c r="D98" s="176">
        <f>VLOOKUP(C98,'Confidence Factors'!$B$6:$D$9,3)</f>
        <v>0.75</v>
      </c>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10"/>
    </row>
    <row r="99" spans="1:42">
      <c r="A99" s="39"/>
      <c r="B99" s="7" t="s">
        <v>30</v>
      </c>
      <c r="C99" s="128">
        <f>SUM(D99:AN99)</f>
        <v>231000</v>
      </c>
      <c r="D99" s="177">
        <v>0</v>
      </c>
      <c r="E99" s="454">
        <f>'A12 Waste Avoided Abort Cost CV'!D77*'A12 Waste Avoided Abort Cost CV'!D82*'Calcs - Scen 4'!D98</f>
        <v>0</v>
      </c>
      <c r="F99" s="454">
        <f>'A13 Waste Avoid Advisor Non CV '!H74*'A13 Waste Avoid Advisor Non CV '!D75*'Calcs - Scen 4'!D98</f>
        <v>57750</v>
      </c>
      <c r="G99" s="3">
        <v>0</v>
      </c>
      <c r="H99" s="3">
        <f>'A13 Waste Avoid Advisor Non CV '!J74*'A13 Waste Avoid Advisor Non CV '!D75*'Calcs - Scen 4'!D98</f>
        <v>57750</v>
      </c>
      <c r="I99" s="3">
        <f>'A13 Waste Avoid Advisor Non CV '!K74*'A13 Waste Avoid Advisor Non CV '!D75*'Calcs - Scen 4'!D98</f>
        <v>115500</v>
      </c>
      <c r="J99" s="3">
        <v>0</v>
      </c>
      <c r="K99" s="3">
        <v>0</v>
      </c>
      <c r="L99" s="3">
        <v>0</v>
      </c>
      <c r="M99" s="3">
        <v>0</v>
      </c>
      <c r="N99" s="3">
        <v>0</v>
      </c>
      <c r="O99" s="3">
        <v>0</v>
      </c>
      <c r="P99" s="3">
        <v>0</v>
      </c>
      <c r="Q99" s="3">
        <v>0</v>
      </c>
      <c r="R99" s="3">
        <v>0</v>
      </c>
      <c r="S99" s="3">
        <v>0</v>
      </c>
      <c r="T99" s="127">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213">
        <v>0</v>
      </c>
      <c r="AO99" s="213">
        <v>0</v>
      </c>
      <c r="AP99" s="9">
        <v>0</v>
      </c>
    </row>
    <row r="100" spans="1:42">
      <c r="A100" s="39"/>
      <c r="B100" s="7" t="s">
        <v>31</v>
      </c>
      <c r="C100" s="129">
        <f>NPV($C$7,F99:AO99)+D99+E99</f>
        <v>208535.87000078877</v>
      </c>
      <c r="D100" s="7"/>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10"/>
    </row>
    <row r="101" spans="1:42">
      <c r="A101" s="39"/>
      <c r="B101" s="7" t="s">
        <v>4</v>
      </c>
      <c r="C101" s="130" t="str">
        <f>IF(SUM(D101:AN101)&gt;1,"CHECK"," ")</f>
        <v xml:space="preserve"> </v>
      </c>
      <c r="D101" s="178">
        <v>0.2</v>
      </c>
      <c r="E101" s="15">
        <v>0.3</v>
      </c>
      <c r="F101" s="15">
        <v>0.3</v>
      </c>
      <c r="G101" s="15">
        <v>0.2</v>
      </c>
      <c r="H101" s="15"/>
      <c r="I101" s="15"/>
      <c r="J101" s="15"/>
      <c r="K101" s="15"/>
      <c r="L101" s="15"/>
      <c r="M101" s="15"/>
      <c r="N101" s="15"/>
      <c r="O101" s="15"/>
      <c r="P101" s="15"/>
      <c r="Q101" s="15"/>
      <c r="R101" s="15"/>
      <c r="S101" s="15"/>
      <c r="T101" s="125"/>
      <c r="U101" s="15"/>
      <c r="V101" s="15"/>
      <c r="W101" s="15"/>
      <c r="X101" s="15"/>
      <c r="Y101" s="15"/>
      <c r="Z101" s="15"/>
      <c r="AA101" s="15"/>
      <c r="AB101" s="15"/>
      <c r="AC101" s="15"/>
      <c r="AD101" s="15"/>
      <c r="AE101" s="15"/>
      <c r="AF101" s="15"/>
      <c r="AG101" s="15"/>
      <c r="AH101" s="15"/>
      <c r="AI101" s="15"/>
      <c r="AJ101" s="15"/>
      <c r="AK101" s="15"/>
      <c r="AL101" s="15"/>
      <c r="AM101" s="15"/>
      <c r="AN101" s="146"/>
      <c r="AO101" s="146"/>
      <c r="AP101" s="16"/>
    </row>
    <row r="102" spans="1:42" ht="15.75" thickBot="1">
      <c r="A102" s="39"/>
      <c r="B102" s="7"/>
      <c r="C102" s="10"/>
      <c r="D102" s="179">
        <f>IF(D101&gt;0,(D101*$C100),0)</f>
        <v>41707.174000157756</v>
      </c>
      <c r="E102" s="20">
        <f t="shared" ref="E102:R102" si="18">IF(E101&gt;0,(E101*$C100),0)</f>
        <v>62560.761000236627</v>
      </c>
      <c r="F102" s="20">
        <f t="shared" si="18"/>
        <v>62560.761000236627</v>
      </c>
      <c r="G102" s="20">
        <f t="shared" si="18"/>
        <v>41707.174000157756</v>
      </c>
      <c r="H102" s="20">
        <f t="shared" si="18"/>
        <v>0</v>
      </c>
      <c r="I102" s="20">
        <f t="shared" si="18"/>
        <v>0</v>
      </c>
      <c r="J102" s="20">
        <f t="shared" si="18"/>
        <v>0</v>
      </c>
      <c r="K102" s="20">
        <f t="shared" si="18"/>
        <v>0</v>
      </c>
      <c r="L102" s="20">
        <f t="shared" si="18"/>
        <v>0</v>
      </c>
      <c r="M102" s="20">
        <f t="shared" si="18"/>
        <v>0</v>
      </c>
      <c r="N102" s="20">
        <f t="shared" si="18"/>
        <v>0</v>
      </c>
      <c r="O102" s="20">
        <f t="shared" si="18"/>
        <v>0</v>
      </c>
      <c r="P102" s="20">
        <f t="shared" si="18"/>
        <v>0</v>
      </c>
      <c r="Q102" s="20">
        <f t="shared" si="18"/>
        <v>0</v>
      </c>
      <c r="R102" s="20">
        <f t="shared" si="18"/>
        <v>0</v>
      </c>
      <c r="S102" s="20">
        <f>IF(S101&gt;0,(S101*$C100),0)</f>
        <v>0</v>
      </c>
      <c r="T102" s="126">
        <f t="shared" ref="T102:AN102" si="19">IF(T101&gt;0,(T101*$C100),0)</f>
        <v>0</v>
      </c>
      <c r="U102" s="20">
        <f t="shared" si="19"/>
        <v>0</v>
      </c>
      <c r="V102" s="20">
        <f t="shared" si="19"/>
        <v>0</v>
      </c>
      <c r="W102" s="20">
        <f t="shared" si="19"/>
        <v>0</v>
      </c>
      <c r="X102" s="20">
        <f t="shared" si="19"/>
        <v>0</v>
      </c>
      <c r="Y102" s="20">
        <f t="shared" si="19"/>
        <v>0</v>
      </c>
      <c r="Z102" s="20">
        <f t="shared" si="19"/>
        <v>0</v>
      </c>
      <c r="AA102" s="20">
        <f t="shared" si="19"/>
        <v>0</v>
      </c>
      <c r="AB102" s="20">
        <f t="shared" si="19"/>
        <v>0</v>
      </c>
      <c r="AC102" s="20">
        <f t="shared" si="19"/>
        <v>0</v>
      </c>
      <c r="AD102" s="20">
        <f t="shared" si="19"/>
        <v>0</v>
      </c>
      <c r="AE102" s="20">
        <f t="shared" si="19"/>
        <v>0</v>
      </c>
      <c r="AF102" s="20">
        <f t="shared" si="19"/>
        <v>0</v>
      </c>
      <c r="AG102" s="20">
        <f t="shared" si="19"/>
        <v>0</v>
      </c>
      <c r="AH102" s="20">
        <f t="shared" si="19"/>
        <v>0</v>
      </c>
      <c r="AI102" s="20">
        <f t="shared" si="19"/>
        <v>0</v>
      </c>
      <c r="AJ102" s="20">
        <f t="shared" si="19"/>
        <v>0</v>
      </c>
      <c r="AK102" s="20">
        <f t="shared" si="19"/>
        <v>0</v>
      </c>
      <c r="AL102" s="20">
        <f t="shared" si="19"/>
        <v>0</v>
      </c>
      <c r="AM102" s="20">
        <f t="shared" si="19"/>
        <v>0</v>
      </c>
      <c r="AN102" s="215">
        <f t="shared" si="19"/>
        <v>0</v>
      </c>
      <c r="AO102" s="215">
        <f>IF(AO101&gt;0,(AO101*$C100),0)</f>
        <v>0</v>
      </c>
      <c r="AP102" s="22">
        <f>IF(AP101&gt;0,(AP101*$C100),0)</f>
        <v>0</v>
      </c>
    </row>
    <row r="103" spans="1:42" ht="15.75" thickBot="1">
      <c r="A103" s="39"/>
      <c r="B103" s="7"/>
      <c r="C103" s="10"/>
      <c r="D103" s="463"/>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5"/>
    </row>
    <row r="104" spans="1:42">
      <c r="A104" s="39"/>
      <c r="B104" s="4" t="s">
        <v>12</v>
      </c>
      <c r="C104" s="466" t="str">
        <f>Summary!B28</f>
        <v>A14</v>
      </c>
      <c r="D104" s="156" t="str">
        <f>Summary!C28</f>
        <v>Waste - Avoided Advisory Costs - Clyde Valley</v>
      </c>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6"/>
    </row>
    <row r="105" spans="1:42">
      <c r="A105" s="39"/>
      <c r="B105" s="7" t="s">
        <v>189</v>
      </c>
      <c r="C105" s="134" t="str">
        <f>'A14 Waste Avoid Advisor CV '!D47</f>
        <v>D - Moderate</v>
      </c>
      <c r="D105" s="176">
        <f>VLOOKUP(C105,'Confidence Factors'!$B$6:$D$9,3)</f>
        <v>0.55000000000000004</v>
      </c>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10"/>
    </row>
    <row r="106" spans="1:42">
      <c r="A106" s="39"/>
      <c r="B106" s="7" t="s">
        <v>30</v>
      </c>
      <c r="C106" s="128">
        <f>SUM(D106:AN106)</f>
        <v>28205.100000000002</v>
      </c>
      <c r="D106" s="177">
        <v>0</v>
      </c>
      <c r="E106" s="454">
        <f>'A12 Waste Avoided Abort Cost CV'!D84*'A12 Waste Avoided Abort Cost CV'!D89*'Calcs - Scen 4'!D105</f>
        <v>0</v>
      </c>
      <c r="F106" s="454">
        <f>'A13 Waste Avoid Advisor Non CV '!H81*'A13 Waste Avoid Advisor Non CV '!D82*'Calcs - Scen 4'!D105</f>
        <v>0</v>
      </c>
      <c r="G106" s="3">
        <v>0</v>
      </c>
      <c r="H106" s="3">
        <f>'A13 Waste Avoid Advisor Non CV '!J81*'A13 Waste Avoid Advisor Non CV '!D82*'Calcs - Scen 4'!D105</f>
        <v>0</v>
      </c>
      <c r="I106" s="3">
        <f>'A14 Waste Avoid Advisor CV '!D70*'A14 Waste Avoid Advisor CV '!D75*'Calcs - Scen 4'!D105</f>
        <v>28205.100000000002</v>
      </c>
      <c r="J106" s="3">
        <v>0</v>
      </c>
      <c r="K106" s="3">
        <v>0</v>
      </c>
      <c r="L106" s="3">
        <v>0</v>
      </c>
      <c r="M106" s="3">
        <v>0</v>
      </c>
      <c r="N106" s="3">
        <v>0</v>
      </c>
      <c r="O106" s="3">
        <v>0</v>
      </c>
      <c r="P106" s="3">
        <v>0</v>
      </c>
      <c r="Q106" s="3">
        <v>0</v>
      </c>
      <c r="R106" s="3">
        <v>0</v>
      </c>
      <c r="S106" s="3">
        <v>0</v>
      </c>
      <c r="T106" s="127">
        <v>0</v>
      </c>
      <c r="U106" s="3">
        <v>0</v>
      </c>
      <c r="V106" s="3">
        <v>0</v>
      </c>
      <c r="W106" s="3">
        <v>0</v>
      </c>
      <c r="X106" s="3">
        <v>0</v>
      </c>
      <c r="Y106" s="3">
        <v>0</v>
      </c>
      <c r="Z106" s="3">
        <v>0</v>
      </c>
      <c r="AA106" s="3">
        <v>0</v>
      </c>
      <c r="AB106" s="3">
        <v>0</v>
      </c>
      <c r="AC106" s="3">
        <v>0</v>
      </c>
      <c r="AD106" s="3">
        <v>0</v>
      </c>
      <c r="AE106" s="3">
        <v>0</v>
      </c>
      <c r="AF106" s="3">
        <v>0</v>
      </c>
      <c r="AG106" s="3">
        <v>0</v>
      </c>
      <c r="AH106" s="3">
        <v>0</v>
      </c>
      <c r="AI106" s="3">
        <v>0</v>
      </c>
      <c r="AJ106" s="3">
        <v>0</v>
      </c>
      <c r="AK106" s="3">
        <v>0</v>
      </c>
      <c r="AL106" s="3">
        <v>0</v>
      </c>
      <c r="AM106" s="3">
        <v>0</v>
      </c>
      <c r="AN106" s="213">
        <v>0</v>
      </c>
      <c r="AO106" s="213">
        <v>0</v>
      </c>
      <c r="AP106" s="9">
        <v>0</v>
      </c>
    </row>
    <row r="107" spans="1:42">
      <c r="A107" s="39"/>
      <c r="B107" s="7" t="s">
        <v>31</v>
      </c>
      <c r="C107" s="129">
        <f>NPV($C$7,F106:AO106)+D106+E106</f>
        <v>24579.115176461008</v>
      </c>
      <c r="D107" s="7"/>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10"/>
    </row>
    <row r="108" spans="1:42">
      <c r="A108" s="39"/>
      <c r="B108" s="7" t="s">
        <v>4</v>
      </c>
      <c r="C108" s="130" t="str">
        <f>IF(SUM(D108:AN108)&gt;1,"CHECK"," ")</f>
        <v xml:space="preserve"> </v>
      </c>
      <c r="D108" s="178">
        <v>0</v>
      </c>
      <c r="E108" s="15">
        <f>1/3</f>
        <v>0.33333333333333331</v>
      </c>
      <c r="F108" s="15">
        <f>1/3</f>
        <v>0.33333333333333331</v>
      </c>
      <c r="G108" s="15">
        <f>1/3</f>
        <v>0.33333333333333331</v>
      </c>
      <c r="H108" s="15"/>
      <c r="I108" s="15"/>
      <c r="J108" s="15"/>
      <c r="K108" s="15"/>
      <c r="L108" s="15"/>
      <c r="M108" s="15"/>
      <c r="N108" s="15"/>
      <c r="O108" s="15"/>
      <c r="P108" s="15"/>
      <c r="Q108" s="15"/>
      <c r="R108" s="15"/>
      <c r="S108" s="15"/>
      <c r="T108" s="125"/>
      <c r="U108" s="15"/>
      <c r="V108" s="15"/>
      <c r="W108" s="15"/>
      <c r="X108" s="15"/>
      <c r="Y108" s="15"/>
      <c r="Z108" s="15"/>
      <c r="AA108" s="15"/>
      <c r="AB108" s="15"/>
      <c r="AC108" s="15"/>
      <c r="AD108" s="15"/>
      <c r="AE108" s="15"/>
      <c r="AF108" s="15"/>
      <c r="AG108" s="15"/>
      <c r="AH108" s="15"/>
      <c r="AI108" s="15"/>
      <c r="AJ108" s="15"/>
      <c r="AK108" s="15"/>
      <c r="AL108" s="15"/>
      <c r="AM108" s="15"/>
      <c r="AN108" s="146"/>
      <c r="AO108" s="146"/>
      <c r="AP108" s="16"/>
    </row>
    <row r="109" spans="1:42" ht="15.75" thickBot="1">
      <c r="A109" s="39"/>
      <c r="B109" s="7"/>
      <c r="C109" s="10"/>
      <c r="D109" s="179">
        <f>IF(D108&gt;0,(D108*$C107),0)</f>
        <v>0</v>
      </c>
      <c r="E109" s="20">
        <f t="shared" ref="E109:R109" si="20">IF(E108&gt;0,(E108*$C107),0)</f>
        <v>8193.0383921536686</v>
      </c>
      <c r="F109" s="20">
        <f t="shared" si="20"/>
        <v>8193.0383921536686</v>
      </c>
      <c r="G109" s="20">
        <f t="shared" si="20"/>
        <v>8193.0383921536686</v>
      </c>
      <c r="H109" s="20">
        <f t="shared" si="20"/>
        <v>0</v>
      </c>
      <c r="I109" s="20">
        <f t="shared" si="20"/>
        <v>0</v>
      </c>
      <c r="J109" s="20">
        <f t="shared" si="20"/>
        <v>0</v>
      </c>
      <c r="K109" s="20">
        <f t="shared" si="20"/>
        <v>0</v>
      </c>
      <c r="L109" s="20">
        <f t="shared" si="20"/>
        <v>0</v>
      </c>
      <c r="M109" s="20">
        <f t="shared" si="20"/>
        <v>0</v>
      </c>
      <c r="N109" s="20">
        <f t="shared" si="20"/>
        <v>0</v>
      </c>
      <c r="O109" s="20">
        <f t="shared" si="20"/>
        <v>0</v>
      </c>
      <c r="P109" s="20">
        <f t="shared" si="20"/>
        <v>0</v>
      </c>
      <c r="Q109" s="20">
        <f t="shared" si="20"/>
        <v>0</v>
      </c>
      <c r="R109" s="20">
        <f t="shared" si="20"/>
        <v>0</v>
      </c>
      <c r="S109" s="20">
        <f>IF(S108&gt;0,(S108*$C107),0)</f>
        <v>0</v>
      </c>
      <c r="T109" s="126">
        <f t="shared" ref="T109:AN109" si="21">IF(T108&gt;0,(T108*$C107),0)</f>
        <v>0</v>
      </c>
      <c r="U109" s="20">
        <f t="shared" si="21"/>
        <v>0</v>
      </c>
      <c r="V109" s="20">
        <f t="shared" si="21"/>
        <v>0</v>
      </c>
      <c r="W109" s="20">
        <f t="shared" si="21"/>
        <v>0</v>
      </c>
      <c r="X109" s="20">
        <f t="shared" si="21"/>
        <v>0</v>
      </c>
      <c r="Y109" s="20">
        <f t="shared" si="21"/>
        <v>0</v>
      </c>
      <c r="Z109" s="20">
        <f t="shared" si="21"/>
        <v>0</v>
      </c>
      <c r="AA109" s="20">
        <f t="shared" si="21"/>
        <v>0</v>
      </c>
      <c r="AB109" s="20">
        <f t="shared" si="21"/>
        <v>0</v>
      </c>
      <c r="AC109" s="20">
        <f t="shared" si="21"/>
        <v>0</v>
      </c>
      <c r="AD109" s="20">
        <f t="shared" si="21"/>
        <v>0</v>
      </c>
      <c r="AE109" s="20">
        <f t="shared" si="21"/>
        <v>0</v>
      </c>
      <c r="AF109" s="20">
        <f t="shared" si="21"/>
        <v>0</v>
      </c>
      <c r="AG109" s="20">
        <f t="shared" si="21"/>
        <v>0</v>
      </c>
      <c r="AH109" s="20">
        <f t="shared" si="21"/>
        <v>0</v>
      </c>
      <c r="AI109" s="20">
        <f t="shared" si="21"/>
        <v>0</v>
      </c>
      <c r="AJ109" s="20">
        <f t="shared" si="21"/>
        <v>0</v>
      </c>
      <c r="AK109" s="20">
        <f t="shared" si="21"/>
        <v>0</v>
      </c>
      <c r="AL109" s="20">
        <f t="shared" si="21"/>
        <v>0</v>
      </c>
      <c r="AM109" s="20">
        <f t="shared" si="21"/>
        <v>0</v>
      </c>
      <c r="AN109" s="215">
        <f t="shared" si="21"/>
        <v>0</v>
      </c>
      <c r="AO109" s="215">
        <f>IF(AO108&gt;0,(AO108*$C107),0)</f>
        <v>0</v>
      </c>
      <c r="AP109" s="22">
        <f>IF(AP108&gt;0,(AP108*$C107),0)</f>
        <v>0</v>
      </c>
    </row>
    <row r="110" spans="1:42" ht="15.75" thickBot="1">
      <c r="A110" s="39"/>
      <c r="B110" s="7"/>
      <c r="C110" s="10"/>
      <c r="D110" s="463"/>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5"/>
    </row>
    <row r="111" spans="1:42">
      <c r="A111" s="39"/>
      <c r="B111" s="4" t="s">
        <v>12</v>
      </c>
      <c r="C111" s="466" t="str">
        <f>Summary!B29</f>
        <v>A15</v>
      </c>
      <c r="D111" s="156" t="str">
        <f>Summary!C29</f>
        <v xml:space="preserve">Waste - Avoided Disposal Costs - Clyde Valley </v>
      </c>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6"/>
    </row>
    <row r="112" spans="1:42">
      <c r="A112" s="39"/>
      <c r="B112" s="7" t="s">
        <v>189</v>
      </c>
      <c r="C112" s="134" t="str">
        <f>'A15 Waste Avoid Disposal Non CV'!D47</f>
        <v>D - Moderate</v>
      </c>
      <c r="D112" s="176">
        <f>VLOOKUP(C112,'Confidence Factors'!$B$6:$D$9,3)</f>
        <v>0.55000000000000004</v>
      </c>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10"/>
    </row>
    <row r="113" spans="1:42">
      <c r="A113" s="39"/>
      <c r="B113" s="7" t="s">
        <v>30</v>
      </c>
      <c r="C113" s="128">
        <f>SUM(D113:AN113)</f>
        <v>48076.875000000007</v>
      </c>
      <c r="D113" s="177">
        <v>0</v>
      </c>
      <c r="E113" s="454">
        <f>'A12 Waste Avoided Abort Cost CV'!D91*'A12 Waste Avoided Abort Cost CV'!D96*'Calcs - Scen 4'!D112</f>
        <v>0</v>
      </c>
      <c r="F113" s="454">
        <f>'A13 Waste Avoid Advisor Non CV '!H88*'A13 Waste Avoid Advisor Non CV '!D89*'Calcs - Scen 4'!D112</f>
        <v>0</v>
      </c>
      <c r="G113" s="3">
        <v>0</v>
      </c>
      <c r="H113" s="3">
        <f>'A13 Waste Avoid Advisor Non CV '!J88*'A13 Waste Avoid Advisor Non CV '!D89*'Calcs - Scen 4'!D112</f>
        <v>0</v>
      </c>
      <c r="I113" s="3">
        <f>'A14 Waste Avoid Advisor CV '!D77*'A14 Waste Avoid Advisor CV '!D82*'Calcs - Scen 4'!D112</f>
        <v>0</v>
      </c>
      <c r="J113" s="3">
        <v>0</v>
      </c>
      <c r="K113" s="3">
        <v>0</v>
      </c>
      <c r="L113" s="3">
        <f>'A15 Waste Avoid Disposal Non CV'!D70*'A15 Waste Avoid Disposal Non CV'!D75*'Calcs - Scen 4'!D112</f>
        <v>48076.875000000007</v>
      </c>
      <c r="M113" s="3">
        <v>0</v>
      </c>
      <c r="N113" s="3">
        <v>0</v>
      </c>
      <c r="O113" s="3">
        <v>0</v>
      </c>
      <c r="P113" s="3">
        <v>0</v>
      </c>
      <c r="Q113" s="3">
        <v>0</v>
      </c>
      <c r="R113" s="3">
        <v>0</v>
      </c>
      <c r="S113" s="3">
        <v>0</v>
      </c>
      <c r="T113" s="127">
        <v>0</v>
      </c>
      <c r="U113" s="3">
        <v>0</v>
      </c>
      <c r="V113" s="3">
        <v>0</v>
      </c>
      <c r="W113" s="3">
        <v>0</v>
      </c>
      <c r="X113" s="3">
        <v>0</v>
      </c>
      <c r="Y113" s="3">
        <v>0</v>
      </c>
      <c r="Z113" s="3">
        <v>0</v>
      </c>
      <c r="AA113" s="3">
        <v>0</v>
      </c>
      <c r="AB113" s="3">
        <v>0</v>
      </c>
      <c r="AC113" s="3">
        <v>0</v>
      </c>
      <c r="AD113" s="3">
        <v>0</v>
      </c>
      <c r="AE113" s="3">
        <v>0</v>
      </c>
      <c r="AF113" s="3">
        <v>0</v>
      </c>
      <c r="AG113" s="3">
        <v>0</v>
      </c>
      <c r="AH113" s="3">
        <v>0</v>
      </c>
      <c r="AI113" s="3">
        <v>0</v>
      </c>
      <c r="AJ113" s="3">
        <v>0</v>
      </c>
      <c r="AK113" s="3">
        <v>0</v>
      </c>
      <c r="AL113" s="3">
        <v>0</v>
      </c>
      <c r="AM113" s="3">
        <v>0</v>
      </c>
      <c r="AN113" s="213">
        <v>0</v>
      </c>
      <c r="AO113" s="213">
        <v>0</v>
      </c>
      <c r="AP113" s="9">
        <v>0</v>
      </c>
    </row>
    <row r="114" spans="1:42">
      <c r="A114" s="39"/>
      <c r="B114" s="7" t="s">
        <v>31</v>
      </c>
      <c r="C114" s="129">
        <f>NPV($C$7,F113:AO113)+D113+E113</f>
        <v>37787.989167925902</v>
      </c>
      <c r="D114" s="7"/>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10"/>
    </row>
    <row r="115" spans="1:42">
      <c r="A115" s="39"/>
      <c r="B115" s="7" t="s">
        <v>4</v>
      </c>
      <c r="C115" s="130" t="str">
        <f>IF(SUM(D115:AN115)&gt;1,"CHECK"," ")</f>
        <v xml:space="preserve"> </v>
      </c>
      <c r="D115" s="178">
        <v>0</v>
      </c>
      <c r="E115" s="15">
        <f>1/3</f>
        <v>0.33333333333333331</v>
      </c>
      <c r="F115" s="15">
        <v>0.33300000000000002</v>
      </c>
      <c r="G115" s="15">
        <v>0.33300000000000002</v>
      </c>
      <c r="H115" s="15"/>
      <c r="I115" s="15"/>
      <c r="J115" s="15"/>
      <c r="K115" s="15"/>
      <c r="L115" s="15"/>
      <c r="M115" s="15"/>
      <c r="N115" s="15"/>
      <c r="O115" s="15"/>
      <c r="P115" s="15"/>
      <c r="Q115" s="15"/>
      <c r="R115" s="15"/>
      <c r="S115" s="15"/>
      <c r="T115" s="125"/>
      <c r="U115" s="15"/>
      <c r="V115" s="15"/>
      <c r="W115" s="15"/>
      <c r="X115" s="15"/>
      <c r="Y115" s="15"/>
      <c r="Z115" s="15"/>
      <c r="AA115" s="15"/>
      <c r="AB115" s="15"/>
      <c r="AC115" s="15"/>
      <c r="AD115" s="15"/>
      <c r="AE115" s="15"/>
      <c r="AF115" s="15"/>
      <c r="AG115" s="15"/>
      <c r="AH115" s="15"/>
      <c r="AI115" s="15"/>
      <c r="AJ115" s="15"/>
      <c r="AK115" s="15"/>
      <c r="AL115" s="15"/>
      <c r="AM115" s="15"/>
      <c r="AN115" s="146"/>
      <c r="AO115" s="146"/>
      <c r="AP115" s="16"/>
    </row>
    <row r="116" spans="1:42" ht="15.75" thickBot="1">
      <c r="A116" s="39"/>
      <c r="B116" s="7"/>
      <c r="C116" s="10"/>
      <c r="D116" s="179">
        <f>IF(D115&gt;0,(D115*$C114),0)</f>
        <v>0</v>
      </c>
      <c r="E116" s="20">
        <f t="shared" ref="E116:R116" si="22">IF(E115&gt;0,(E115*$C114),0)</f>
        <v>12595.996389308633</v>
      </c>
      <c r="F116" s="20">
        <f t="shared" si="22"/>
        <v>12583.400392919326</v>
      </c>
      <c r="G116" s="20">
        <f t="shared" si="22"/>
        <v>12583.400392919326</v>
      </c>
      <c r="H116" s="20">
        <f t="shared" si="22"/>
        <v>0</v>
      </c>
      <c r="I116" s="20">
        <f t="shared" si="22"/>
        <v>0</v>
      </c>
      <c r="J116" s="20">
        <f t="shared" si="22"/>
        <v>0</v>
      </c>
      <c r="K116" s="20">
        <f t="shared" si="22"/>
        <v>0</v>
      </c>
      <c r="L116" s="20">
        <f t="shared" si="22"/>
        <v>0</v>
      </c>
      <c r="M116" s="20">
        <f t="shared" si="22"/>
        <v>0</v>
      </c>
      <c r="N116" s="20">
        <f t="shared" si="22"/>
        <v>0</v>
      </c>
      <c r="O116" s="20">
        <f t="shared" si="22"/>
        <v>0</v>
      </c>
      <c r="P116" s="20">
        <f t="shared" si="22"/>
        <v>0</v>
      </c>
      <c r="Q116" s="20">
        <f t="shared" si="22"/>
        <v>0</v>
      </c>
      <c r="R116" s="20">
        <f t="shared" si="22"/>
        <v>0</v>
      </c>
      <c r="S116" s="20">
        <f>IF(S115&gt;0,(S115*$C114),0)</f>
        <v>0</v>
      </c>
      <c r="T116" s="126">
        <f t="shared" ref="T116:AN116" si="23">IF(T115&gt;0,(T115*$C114),0)</f>
        <v>0</v>
      </c>
      <c r="U116" s="20">
        <f t="shared" si="23"/>
        <v>0</v>
      </c>
      <c r="V116" s="20">
        <f t="shared" si="23"/>
        <v>0</v>
      </c>
      <c r="W116" s="20">
        <f t="shared" si="23"/>
        <v>0</v>
      </c>
      <c r="X116" s="20">
        <f t="shared" si="23"/>
        <v>0</v>
      </c>
      <c r="Y116" s="20">
        <f t="shared" si="23"/>
        <v>0</v>
      </c>
      <c r="Z116" s="20">
        <f t="shared" si="23"/>
        <v>0</v>
      </c>
      <c r="AA116" s="20">
        <f t="shared" si="23"/>
        <v>0</v>
      </c>
      <c r="AB116" s="20">
        <f t="shared" si="23"/>
        <v>0</v>
      </c>
      <c r="AC116" s="20">
        <f t="shared" si="23"/>
        <v>0</v>
      </c>
      <c r="AD116" s="20">
        <f t="shared" si="23"/>
        <v>0</v>
      </c>
      <c r="AE116" s="20">
        <f t="shared" si="23"/>
        <v>0</v>
      </c>
      <c r="AF116" s="20">
        <f t="shared" si="23"/>
        <v>0</v>
      </c>
      <c r="AG116" s="20">
        <f t="shared" si="23"/>
        <v>0</v>
      </c>
      <c r="AH116" s="20">
        <f t="shared" si="23"/>
        <v>0</v>
      </c>
      <c r="AI116" s="20">
        <f t="shared" si="23"/>
        <v>0</v>
      </c>
      <c r="AJ116" s="20">
        <f t="shared" si="23"/>
        <v>0</v>
      </c>
      <c r="AK116" s="20">
        <f t="shared" si="23"/>
        <v>0</v>
      </c>
      <c r="AL116" s="20">
        <f t="shared" si="23"/>
        <v>0</v>
      </c>
      <c r="AM116" s="20">
        <f t="shared" si="23"/>
        <v>0</v>
      </c>
      <c r="AN116" s="215">
        <f t="shared" si="23"/>
        <v>0</v>
      </c>
      <c r="AO116" s="215">
        <f>IF(AO115&gt;0,(AO115*$C114),0)</f>
        <v>0</v>
      </c>
      <c r="AP116" s="22">
        <f>IF(AP115&gt;0,(AP115*$C114),0)</f>
        <v>0</v>
      </c>
    </row>
    <row r="117" spans="1:42" ht="15.75" thickBot="1">
      <c r="A117" s="39"/>
      <c r="B117" s="7"/>
      <c r="C117" s="10"/>
      <c r="D117" s="463"/>
      <c r="E117" s="464"/>
      <c r="F117" s="464"/>
      <c r="G117" s="464"/>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5"/>
    </row>
    <row r="118" spans="1:42">
      <c r="A118" s="39"/>
      <c r="B118" s="4" t="s">
        <v>12</v>
      </c>
      <c r="C118" s="466" t="str">
        <f>Summary!B30</f>
        <v>A16</v>
      </c>
      <c r="D118" s="156" t="str">
        <f>Summary!C30</f>
        <v>Waste - Food Treatment Support</v>
      </c>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6"/>
    </row>
    <row r="119" spans="1:42">
      <c r="A119" s="39"/>
      <c r="B119" s="7" t="s">
        <v>189</v>
      </c>
      <c r="C119" s="134" t="str">
        <f>'A16 Waste Food Treatment Suppor'!D47</f>
        <v>A - High</v>
      </c>
      <c r="D119" s="176">
        <f>VLOOKUP(C119,'Confidence Factors'!$B$6:$D$9,3)</f>
        <v>1</v>
      </c>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10"/>
    </row>
    <row r="120" spans="1:42">
      <c r="A120" s="39"/>
      <c r="B120" s="7" t="s">
        <v>30</v>
      </c>
      <c r="C120" s="128">
        <f>SUM(D120:AN120)</f>
        <v>12000</v>
      </c>
      <c r="D120" s="177">
        <v>0</v>
      </c>
      <c r="E120" s="454">
        <f>'A16 Waste Food Treatment Suppor'!D70*'A16 Waste Food Treatment Suppor'!D75*'Calcs - Scen 4'!D119</f>
        <v>12000</v>
      </c>
      <c r="F120" s="454"/>
      <c r="G120" s="454"/>
      <c r="H120" s="454"/>
      <c r="I120" s="454"/>
      <c r="J120" s="454"/>
      <c r="K120" s="454"/>
      <c r="L120" s="454"/>
      <c r="M120" s="454"/>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row>
    <row r="121" spans="1:42">
      <c r="A121" s="39"/>
      <c r="B121" s="7" t="s">
        <v>31</v>
      </c>
      <c r="C121" s="129">
        <f>NPV($C$7,F120:AO120)+D120+E120</f>
        <v>12000</v>
      </c>
      <c r="D121" s="7"/>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10"/>
    </row>
    <row r="122" spans="1:42">
      <c r="A122" s="39"/>
      <c r="B122" s="7" t="s">
        <v>4</v>
      </c>
      <c r="C122" s="130" t="str">
        <f>IF(SUM(D122:AN122)&gt;1,"CHECK"," ")</f>
        <v xml:space="preserve"> </v>
      </c>
      <c r="D122" s="178">
        <v>0</v>
      </c>
      <c r="E122" s="15">
        <v>1</v>
      </c>
      <c r="F122" s="15"/>
      <c r="G122" s="15"/>
      <c r="H122" s="15"/>
      <c r="I122" s="15"/>
      <c r="J122" s="15"/>
      <c r="K122" s="15"/>
      <c r="L122" s="15"/>
      <c r="M122" s="15"/>
      <c r="N122" s="15"/>
      <c r="O122" s="15"/>
      <c r="P122" s="15"/>
      <c r="Q122" s="15"/>
      <c r="R122" s="15"/>
      <c r="S122" s="15"/>
      <c r="T122" s="125"/>
      <c r="U122" s="15"/>
      <c r="V122" s="15"/>
      <c r="W122" s="15"/>
      <c r="X122" s="15"/>
      <c r="Y122" s="15"/>
      <c r="Z122" s="15"/>
      <c r="AA122" s="15"/>
      <c r="AB122" s="15"/>
      <c r="AC122" s="15"/>
      <c r="AD122" s="15"/>
      <c r="AE122" s="15"/>
      <c r="AF122" s="15"/>
      <c r="AG122" s="15"/>
      <c r="AH122" s="15"/>
      <c r="AI122" s="15"/>
      <c r="AJ122" s="15"/>
      <c r="AK122" s="15"/>
      <c r="AL122" s="15"/>
      <c r="AM122" s="15"/>
      <c r="AN122" s="146"/>
      <c r="AO122" s="146"/>
      <c r="AP122" s="16"/>
    </row>
    <row r="123" spans="1:42" ht="15.75" thickBot="1">
      <c r="A123" s="39"/>
      <c r="B123" s="7"/>
      <c r="C123" s="10"/>
      <c r="D123" s="179">
        <f>IF(D122&gt;0,(D122*$C121),0)</f>
        <v>0</v>
      </c>
      <c r="E123" s="20">
        <f t="shared" ref="E123:R123" si="24">IF(E122&gt;0,(E122*$C121),0)</f>
        <v>12000</v>
      </c>
      <c r="F123" s="20">
        <f t="shared" si="24"/>
        <v>0</v>
      </c>
      <c r="G123" s="20">
        <f t="shared" si="24"/>
        <v>0</v>
      </c>
      <c r="H123" s="20">
        <f t="shared" si="24"/>
        <v>0</v>
      </c>
      <c r="I123" s="20">
        <f t="shared" si="24"/>
        <v>0</v>
      </c>
      <c r="J123" s="20">
        <f t="shared" si="24"/>
        <v>0</v>
      </c>
      <c r="K123" s="20">
        <f t="shared" si="24"/>
        <v>0</v>
      </c>
      <c r="L123" s="20">
        <f t="shared" si="24"/>
        <v>0</v>
      </c>
      <c r="M123" s="20">
        <f t="shared" si="24"/>
        <v>0</v>
      </c>
      <c r="N123" s="20">
        <f t="shared" si="24"/>
        <v>0</v>
      </c>
      <c r="O123" s="20">
        <f t="shared" si="24"/>
        <v>0</v>
      </c>
      <c r="P123" s="20">
        <f t="shared" si="24"/>
        <v>0</v>
      </c>
      <c r="Q123" s="20">
        <f t="shared" si="24"/>
        <v>0</v>
      </c>
      <c r="R123" s="20">
        <f t="shared" si="24"/>
        <v>0</v>
      </c>
      <c r="S123" s="20">
        <f>IF(S122&gt;0,(S122*$C121),0)</f>
        <v>0</v>
      </c>
      <c r="T123" s="126">
        <f t="shared" ref="T123:AN123" si="25">IF(T122&gt;0,(T122*$C121),0)</f>
        <v>0</v>
      </c>
      <c r="U123" s="20">
        <f t="shared" si="25"/>
        <v>0</v>
      </c>
      <c r="V123" s="20">
        <f t="shared" si="25"/>
        <v>0</v>
      </c>
      <c r="W123" s="20">
        <f t="shared" si="25"/>
        <v>0</v>
      </c>
      <c r="X123" s="20">
        <f t="shared" si="25"/>
        <v>0</v>
      </c>
      <c r="Y123" s="20">
        <f t="shared" si="25"/>
        <v>0</v>
      </c>
      <c r="Z123" s="20">
        <f t="shared" si="25"/>
        <v>0</v>
      </c>
      <c r="AA123" s="20">
        <f t="shared" si="25"/>
        <v>0</v>
      </c>
      <c r="AB123" s="20">
        <f t="shared" si="25"/>
        <v>0</v>
      </c>
      <c r="AC123" s="20">
        <f t="shared" si="25"/>
        <v>0</v>
      </c>
      <c r="AD123" s="20">
        <f t="shared" si="25"/>
        <v>0</v>
      </c>
      <c r="AE123" s="20">
        <f t="shared" si="25"/>
        <v>0</v>
      </c>
      <c r="AF123" s="20">
        <f t="shared" si="25"/>
        <v>0</v>
      </c>
      <c r="AG123" s="20">
        <f t="shared" si="25"/>
        <v>0</v>
      </c>
      <c r="AH123" s="20">
        <f t="shared" si="25"/>
        <v>0</v>
      </c>
      <c r="AI123" s="20">
        <f t="shared" si="25"/>
        <v>0</v>
      </c>
      <c r="AJ123" s="20">
        <f t="shared" si="25"/>
        <v>0</v>
      </c>
      <c r="AK123" s="20">
        <f t="shared" si="25"/>
        <v>0</v>
      </c>
      <c r="AL123" s="20">
        <f t="shared" si="25"/>
        <v>0</v>
      </c>
      <c r="AM123" s="20">
        <f t="shared" si="25"/>
        <v>0</v>
      </c>
      <c r="AN123" s="215">
        <f t="shared" si="25"/>
        <v>0</v>
      </c>
      <c r="AO123" s="215">
        <f>IF(AO122&gt;0,(AO122*$C121),0)</f>
        <v>0</v>
      </c>
      <c r="AP123" s="22">
        <f>IF(AP122&gt;0,(AP122*$C121),0)</f>
        <v>0</v>
      </c>
    </row>
    <row r="124" spans="1:42" ht="15.75" thickBot="1">
      <c r="A124" s="39"/>
      <c r="B124" s="7"/>
      <c r="C124" s="10"/>
      <c r="D124" s="463"/>
      <c r="E124" s="464"/>
      <c r="F124" s="464"/>
      <c r="G124" s="464"/>
      <c r="H124" s="464"/>
      <c r="I124" s="464"/>
      <c r="J124" s="464"/>
      <c r="K124" s="464"/>
      <c r="L124" s="464"/>
      <c r="M124" s="464"/>
      <c r="N124" s="464"/>
      <c r="O124" s="464"/>
      <c r="P124" s="464"/>
      <c r="Q124" s="464"/>
      <c r="R124" s="464"/>
      <c r="S124" s="464"/>
      <c r="T124" s="464"/>
      <c r="U124" s="464"/>
      <c r="V124" s="464"/>
      <c r="W124" s="464"/>
      <c r="X124" s="464"/>
      <c r="Y124" s="464"/>
      <c r="Z124" s="464"/>
      <c r="AA124" s="464"/>
      <c r="AB124" s="464"/>
      <c r="AC124" s="464"/>
      <c r="AD124" s="464"/>
      <c r="AE124" s="464"/>
      <c r="AF124" s="464"/>
      <c r="AG124" s="464"/>
      <c r="AH124" s="464"/>
      <c r="AI124" s="464"/>
      <c r="AJ124" s="464"/>
      <c r="AK124" s="464"/>
      <c r="AL124" s="464"/>
      <c r="AM124" s="464"/>
      <c r="AN124" s="464"/>
      <c r="AO124" s="464"/>
      <c r="AP124" s="465"/>
    </row>
    <row r="125" spans="1:42">
      <c r="A125" s="39"/>
      <c r="B125" s="4" t="s">
        <v>12</v>
      </c>
      <c r="C125" s="466" t="str">
        <f>Summary!B31</f>
        <v>A17</v>
      </c>
      <c r="D125" s="156" t="str">
        <f>Summary!C31</f>
        <v>Waste - Avoided Future Contract Variations</v>
      </c>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6"/>
    </row>
    <row r="126" spans="1:42">
      <c r="A126" s="39"/>
      <c r="B126" s="7" t="s">
        <v>189</v>
      </c>
      <c r="C126" s="134" t="str">
        <f>'A17 Wst Avoid Future Variations'!D47</f>
        <v>D - Moderate</v>
      </c>
      <c r="D126" s="176">
        <f>VLOOKUP(C126,'Confidence Factors'!$B$6:$D$9,3)</f>
        <v>0.55000000000000004</v>
      </c>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10"/>
    </row>
    <row r="127" spans="1:42">
      <c r="A127" s="39"/>
      <c r="B127" s="7" t="s">
        <v>30</v>
      </c>
      <c r="C127" s="128">
        <f>SUM(D127:AN127)</f>
        <v>387750.00000000006</v>
      </c>
      <c r="D127" s="177">
        <v>0</v>
      </c>
      <c r="E127" s="454">
        <f>'A12 Waste Avoided Abort Cost CV'!D105*'A12 Waste Avoided Abort Cost CV'!D110*'Calcs - Scen 4'!D126</f>
        <v>0</v>
      </c>
      <c r="F127" s="454">
        <f>'A13 Waste Avoid Advisor Non CV '!H102*'A13 Waste Avoid Advisor Non CV '!D103*'Calcs - Scen 4'!D126</f>
        <v>0</v>
      </c>
      <c r="G127" s="3">
        <v>0</v>
      </c>
      <c r="H127" s="3">
        <f>'A13 Waste Avoid Advisor Non CV '!J102*'A13 Waste Avoid Advisor Non CV '!D103*'Calcs - Scen 4'!D126</f>
        <v>0</v>
      </c>
      <c r="I127" s="3">
        <f>'A16 Waste Food Treatment Suppor'!H82*'A16 Waste Food Treatment Suppor'!D82*'Calcs - Scen 4'!D126</f>
        <v>0</v>
      </c>
      <c r="J127" s="3">
        <f>'A16 Waste Food Treatment Suppor'!I82*'A16 Waste Food Treatment Suppor'!D82*'Calcs - Scen 4'!D126</f>
        <v>0</v>
      </c>
      <c r="K127" s="3">
        <f>'A16 Waste Food Treatment Suppor'!J82*'A16 Waste Food Treatment Suppor'!D82*'Calcs - Scen 4'!D126</f>
        <v>0</v>
      </c>
      <c r="L127" s="3">
        <f>'A17 Wst Avoid Future Variations'!I$73*'A17 Wst Avoid Future Variations'!$D75*'Calcs - Scen 4'!$D126</f>
        <v>129250.00000000001</v>
      </c>
      <c r="M127" s="3">
        <f>'A17 Wst Avoid Future Variations'!J$73*'A17 Wst Avoid Future Variations'!$D75*'Calcs - Scen 4'!$D126</f>
        <v>129250.00000000001</v>
      </c>
      <c r="N127" s="3">
        <f>'A17 Wst Avoid Future Variations'!K$73*'A17 Wst Avoid Future Variations'!$D75*'Calcs - Scen 4'!$D126</f>
        <v>129250.00000000001</v>
      </c>
      <c r="O127" s="3">
        <v>0</v>
      </c>
      <c r="P127" s="3">
        <v>0</v>
      </c>
      <c r="Q127" s="3">
        <v>0</v>
      </c>
      <c r="R127" s="3">
        <v>0</v>
      </c>
      <c r="S127" s="3">
        <v>0</v>
      </c>
      <c r="T127" s="3">
        <v>0</v>
      </c>
      <c r="U127" s="3">
        <v>0</v>
      </c>
      <c r="V127" s="3">
        <v>0</v>
      </c>
      <c r="W127" s="3">
        <v>0</v>
      </c>
      <c r="X127" s="3">
        <v>0</v>
      </c>
      <c r="Y127" s="3">
        <v>0</v>
      </c>
      <c r="Z127" s="3">
        <v>0</v>
      </c>
      <c r="AA127" s="3">
        <v>0</v>
      </c>
      <c r="AB127" s="3">
        <v>0</v>
      </c>
      <c r="AC127" s="3">
        <v>0</v>
      </c>
      <c r="AD127" s="3">
        <v>0</v>
      </c>
      <c r="AE127" s="3">
        <v>0</v>
      </c>
      <c r="AF127" s="3">
        <v>0</v>
      </c>
      <c r="AG127" s="3">
        <v>0</v>
      </c>
      <c r="AH127" s="3">
        <v>0</v>
      </c>
      <c r="AI127" s="3">
        <v>0</v>
      </c>
      <c r="AJ127" s="3">
        <v>0</v>
      </c>
      <c r="AK127" s="3">
        <v>0</v>
      </c>
      <c r="AL127" s="3">
        <v>0</v>
      </c>
      <c r="AM127" s="3">
        <v>0</v>
      </c>
      <c r="AN127" s="3">
        <v>0</v>
      </c>
      <c r="AO127" s="3">
        <v>0</v>
      </c>
      <c r="AP127" s="3">
        <v>0</v>
      </c>
    </row>
    <row r="128" spans="1:42">
      <c r="A128" s="39"/>
      <c r="B128" s="7" t="s">
        <v>31</v>
      </c>
      <c r="C128" s="129">
        <f>NPV($C$7,F127:AO127)+D127+E127</f>
        <v>294578.00346484169</v>
      </c>
      <c r="D128" s="7"/>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10"/>
    </row>
    <row r="129" spans="1:42">
      <c r="A129" s="39"/>
      <c r="B129" s="7" t="s">
        <v>4</v>
      </c>
      <c r="C129" s="130" t="str">
        <f>IF(SUM(D129:AN129)&gt;1,"CHECK"," ")</f>
        <v xml:space="preserve"> </v>
      </c>
      <c r="D129" s="178">
        <f>1/3</f>
        <v>0.33333333333333331</v>
      </c>
      <c r="E129" s="178">
        <f t="shared" ref="E129:F129" si="26">1/3</f>
        <v>0.33333333333333331</v>
      </c>
      <c r="F129" s="178">
        <f t="shared" si="26"/>
        <v>0.33333333333333331</v>
      </c>
      <c r="G129" s="15"/>
      <c r="H129" s="15"/>
      <c r="I129" s="15"/>
      <c r="J129" s="15"/>
      <c r="K129" s="15"/>
      <c r="L129" s="15"/>
      <c r="M129" s="15"/>
      <c r="N129" s="15"/>
      <c r="O129" s="15"/>
      <c r="P129" s="15"/>
      <c r="Q129" s="15"/>
      <c r="R129" s="15"/>
      <c r="S129" s="15"/>
      <c r="T129" s="125"/>
      <c r="U129" s="15"/>
      <c r="V129" s="15"/>
      <c r="W129" s="15"/>
      <c r="X129" s="15"/>
      <c r="Y129" s="15"/>
      <c r="Z129" s="15"/>
      <c r="AA129" s="15"/>
      <c r="AB129" s="15"/>
      <c r="AC129" s="15"/>
      <c r="AD129" s="15"/>
      <c r="AE129" s="15"/>
      <c r="AF129" s="15"/>
      <c r="AG129" s="15"/>
      <c r="AH129" s="15"/>
      <c r="AI129" s="15"/>
      <c r="AJ129" s="15"/>
      <c r="AK129" s="15"/>
      <c r="AL129" s="15"/>
      <c r="AM129" s="15"/>
      <c r="AN129" s="146"/>
      <c r="AO129" s="146"/>
      <c r="AP129" s="16"/>
    </row>
    <row r="130" spans="1:42" ht="15.75" thickBot="1">
      <c r="A130" s="39"/>
      <c r="B130" s="7"/>
      <c r="C130" s="10"/>
      <c r="D130" s="179">
        <f>IF(D129&gt;0,(D129*$C128),0)</f>
        <v>98192.667821613897</v>
      </c>
      <c r="E130" s="20">
        <f t="shared" ref="E130:R130" si="27">IF(E129&gt;0,(E129*$C128),0)</f>
        <v>98192.667821613897</v>
      </c>
      <c r="F130" s="20">
        <f t="shared" si="27"/>
        <v>98192.667821613897</v>
      </c>
      <c r="G130" s="20">
        <f t="shared" si="27"/>
        <v>0</v>
      </c>
      <c r="H130" s="20">
        <f t="shared" si="27"/>
        <v>0</v>
      </c>
      <c r="I130" s="20">
        <f t="shared" si="27"/>
        <v>0</v>
      </c>
      <c r="J130" s="20">
        <f t="shared" si="27"/>
        <v>0</v>
      </c>
      <c r="K130" s="20">
        <f t="shared" si="27"/>
        <v>0</v>
      </c>
      <c r="L130" s="20">
        <f t="shared" si="27"/>
        <v>0</v>
      </c>
      <c r="M130" s="20">
        <f t="shared" si="27"/>
        <v>0</v>
      </c>
      <c r="N130" s="20">
        <f t="shared" si="27"/>
        <v>0</v>
      </c>
      <c r="O130" s="20">
        <f t="shared" si="27"/>
        <v>0</v>
      </c>
      <c r="P130" s="20">
        <f t="shared" si="27"/>
        <v>0</v>
      </c>
      <c r="Q130" s="20">
        <f t="shared" si="27"/>
        <v>0</v>
      </c>
      <c r="R130" s="20">
        <f t="shared" si="27"/>
        <v>0</v>
      </c>
      <c r="S130" s="20">
        <f>IF(S129&gt;0,(S129*$C128),0)</f>
        <v>0</v>
      </c>
      <c r="T130" s="126">
        <f t="shared" ref="T130:AN130" si="28">IF(T129&gt;0,(T129*$C128),0)</f>
        <v>0</v>
      </c>
      <c r="U130" s="20">
        <f t="shared" si="28"/>
        <v>0</v>
      </c>
      <c r="V130" s="20">
        <f t="shared" si="28"/>
        <v>0</v>
      </c>
      <c r="W130" s="20">
        <f t="shared" si="28"/>
        <v>0</v>
      </c>
      <c r="X130" s="20">
        <f t="shared" si="28"/>
        <v>0</v>
      </c>
      <c r="Y130" s="20">
        <f t="shared" si="28"/>
        <v>0</v>
      </c>
      <c r="Z130" s="20">
        <f t="shared" si="28"/>
        <v>0</v>
      </c>
      <c r="AA130" s="20">
        <f t="shared" si="28"/>
        <v>0</v>
      </c>
      <c r="AB130" s="20">
        <f t="shared" si="28"/>
        <v>0</v>
      </c>
      <c r="AC130" s="20">
        <f t="shared" si="28"/>
        <v>0</v>
      </c>
      <c r="AD130" s="20">
        <f t="shared" si="28"/>
        <v>0</v>
      </c>
      <c r="AE130" s="20">
        <f t="shared" si="28"/>
        <v>0</v>
      </c>
      <c r="AF130" s="20">
        <f t="shared" si="28"/>
        <v>0</v>
      </c>
      <c r="AG130" s="20">
        <f t="shared" si="28"/>
        <v>0</v>
      </c>
      <c r="AH130" s="20">
        <f t="shared" si="28"/>
        <v>0</v>
      </c>
      <c r="AI130" s="20">
        <f t="shared" si="28"/>
        <v>0</v>
      </c>
      <c r="AJ130" s="20">
        <f t="shared" si="28"/>
        <v>0</v>
      </c>
      <c r="AK130" s="20">
        <f t="shared" si="28"/>
        <v>0</v>
      </c>
      <c r="AL130" s="20">
        <f t="shared" si="28"/>
        <v>0</v>
      </c>
      <c r="AM130" s="20">
        <f t="shared" si="28"/>
        <v>0</v>
      </c>
      <c r="AN130" s="215">
        <f t="shared" si="28"/>
        <v>0</v>
      </c>
      <c r="AO130" s="215">
        <f>IF(AO129&gt;0,(AO129*$C128),0)</f>
        <v>0</v>
      </c>
      <c r="AP130" s="22">
        <f>IF(AP129&gt;0,(AP129*$C128),0)</f>
        <v>0</v>
      </c>
    </row>
    <row r="131" spans="1:42" ht="15.75" thickBot="1">
      <c r="A131" s="39"/>
      <c r="B131" s="7"/>
      <c r="C131" s="10"/>
      <c r="D131" s="463"/>
      <c r="E131" s="464"/>
      <c r="F131" s="464"/>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5"/>
    </row>
    <row r="132" spans="1:42">
      <c r="A132" s="39"/>
      <c r="B132" s="4" t="s">
        <v>12</v>
      </c>
      <c r="C132" s="466" t="str">
        <f>Summary!B32</f>
        <v>A18</v>
      </c>
      <c r="D132" s="156" t="str">
        <f>Summary!C32</f>
        <v>Avoided Consultancy Costs - NPD Contract</v>
      </c>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6"/>
    </row>
    <row r="133" spans="1:42">
      <c r="A133" s="39"/>
      <c r="B133" s="7" t="s">
        <v>189</v>
      </c>
      <c r="C133" s="134" t="str">
        <f>'A18 NPD Contract-Avoid Consulta'!D47</f>
        <v>A - High</v>
      </c>
      <c r="D133" s="176">
        <f>VLOOKUP(C133,'Confidence Factors'!$B$6:$D$9,3)</f>
        <v>1</v>
      </c>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10"/>
    </row>
    <row r="134" spans="1:42">
      <c r="A134" s="39"/>
      <c r="B134" s="7" t="s">
        <v>30</v>
      </c>
      <c r="C134" s="128">
        <f>SUM(D134:AN134)</f>
        <v>74000</v>
      </c>
      <c r="D134" s="177">
        <v>0</v>
      </c>
      <c r="E134" s="454">
        <f>'A18 NPD Contract-Avoid Consulta'!D70*'A18 NPD Contract-Avoid Consulta'!D75*'Calcs - Scen 4'!D133</f>
        <v>74000</v>
      </c>
      <c r="F134" s="454">
        <f>'A13 Waste Avoid Advisor Non CV '!H109*'A13 Waste Avoid Advisor Non CV '!D110*'Calcs - Scen 4'!D133</f>
        <v>0</v>
      </c>
      <c r="G134" s="3">
        <v>0</v>
      </c>
      <c r="H134" s="3">
        <f>'A13 Waste Avoid Advisor Non CV '!J109*'A13 Waste Avoid Advisor Non CV '!D110*'Calcs - Scen 4'!D133</f>
        <v>0</v>
      </c>
      <c r="I134" s="3">
        <f>'A16 Waste Food Treatment Suppor'!H89*'A16 Waste Food Treatment Suppor'!D89*'Calcs - Scen 4'!D133</f>
        <v>0</v>
      </c>
      <c r="J134" s="3">
        <f>'A16 Waste Food Treatment Suppor'!I89*'A16 Waste Food Treatment Suppor'!D89*'Calcs - Scen 4'!D133</f>
        <v>0</v>
      </c>
      <c r="K134" s="3">
        <f>'A16 Waste Food Treatment Suppor'!J89*'A16 Waste Food Treatment Suppor'!D89*'Calcs - Scen 4'!D133</f>
        <v>0</v>
      </c>
      <c r="L134" s="3">
        <f>'A17 Wst Avoid Future Variations'!I80*'A17 Wst Avoid Future Variations'!D82*'Calcs - Scen 4'!D133</f>
        <v>0</v>
      </c>
      <c r="M134" s="3">
        <f>'A17 Wst Avoid Future Variations'!J80*'A17 Wst Avoid Future Variations'!D82*'Calcs - Scen 4'!D133</f>
        <v>0</v>
      </c>
      <c r="N134" s="3">
        <f>'A17 Wst Avoid Future Variations'!K80*'Calcs - Scen 4'!D133</f>
        <v>0</v>
      </c>
      <c r="O134" s="3">
        <f>'A17 Wst Avoid Future Variations'!L80*'A17 Wst Avoid Future Variations'!D82*'Calcs - Scen 4'!D133</f>
        <v>0</v>
      </c>
      <c r="P134" s="3">
        <f>'A17 Wst Avoid Future Variations'!M80*'A17 Wst Avoid Future Variations'!D82*'Calcs - Scen 4'!D133</f>
        <v>0</v>
      </c>
      <c r="Q134" s="3">
        <f>'A17 Wst Avoid Future Variations'!N80*'A17 Wst Avoid Future Variations'!D82*'Calcs - Scen 4'!D133</f>
        <v>0</v>
      </c>
      <c r="R134" s="3">
        <f>'A17 Wst Avoid Future Variations'!O80*'A17 Wst Avoid Future Variations'!D82*'Calcs - Scen 4'!D133</f>
        <v>0</v>
      </c>
      <c r="S134" s="3">
        <f>'A17 Wst Avoid Future Variations'!P80*'A17 Wst Avoid Future Variations'!D82*'Calcs - Scen 4'!D133</f>
        <v>0</v>
      </c>
      <c r="T134" s="127">
        <f>'A17 Wst Avoid Future Variations'!Q80*'A17 Wst Avoid Future Variations'!D82*'Calcs - Scen 4'!D133</f>
        <v>0</v>
      </c>
      <c r="U134" s="3">
        <f>'A17 Wst Avoid Future Variations'!R80*'A17 Wst Avoid Future Variations'!D82*'Calcs - Scen 4'!D133</f>
        <v>0</v>
      </c>
      <c r="V134" s="3">
        <f>'A17 Wst Avoid Future Variations'!S80*'A17 Wst Avoid Future Variations'!D82*'Calcs - Scen 4'!D133</f>
        <v>0</v>
      </c>
      <c r="W134" s="3">
        <f>'A17 Wst Avoid Future Variations'!T80*'A17 Wst Avoid Future Variations'!D82*'Calcs - Scen 4'!D133</f>
        <v>0</v>
      </c>
      <c r="X134" s="3">
        <f>'A17 Wst Avoid Future Variations'!U80*'A17 Wst Avoid Future Variations'!D82*'Calcs - Scen 4'!D133</f>
        <v>0</v>
      </c>
      <c r="Y134" s="3">
        <f>'A17 Wst Avoid Future Variations'!V80*'A17 Wst Avoid Future Variations'!D82*'Calcs - Scen 4'!D133</f>
        <v>0</v>
      </c>
      <c r="Z134" s="3">
        <f>'A17 Wst Avoid Future Variations'!W80*'A17 Wst Avoid Future Variations'!D82*'Calcs - Scen 4'!D133</f>
        <v>0</v>
      </c>
      <c r="AA134" s="3">
        <f>'A17 Wst Avoid Future Variations'!X80*'A17 Wst Avoid Future Variations'!D82*'Calcs - Scen 4'!D133</f>
        <v>0</v>
      </c>
      <c r="AB134" s="3">
        <f>'A17 Wst Avoid Future Variations'!Y80*'A17 Wst Avoid Future Variations'!D82*'Calcs - Scen 4'!D133</f>
        <v>0</v>
      </c>
      <c r="AC134" s="3">
        <f>'A17 Wst Avoid Future Variations'!Z80*'A17 Wst Avoid Future Variations'!D82*'Calcs - Scen 4'!D133</f>
        <v>0</v>
      </c>
      <c r="AD134" s="3">
        <f>'A17 Wst Avoid Future Variations'!AA80*'A17 Wst Avoid Future Variations'!D82*'Calcs - Scen 4'!D133</f>
        <v>0</v>
      </c>
      <c r="AE134" s="3">
        <f>'A17 Wst Avoid Future Variations'!AB80*'A17 Wst Avoid Future Variations'!D82*'Calcs - Scen 4'!D133</f>
        <v>0</v>
      </c>
      <c r="AF134" s="3">
        <v>0</v>
      </c>
      <c r="AG134" s="3">
        <v>0</v>
      </c>
      <c r="AH134" s="3">
        <v>0</v>
      </c>
      <c r="AI134" s="3">
        <v>0</v>
      </c>
      <c r="AJ134" s="3">
        <v>0</v>
      </c>
      <c r="AK134" s="3">
        <v>0</v>
      </c>
      <c r="AL134" s="3">
        <v>0</v>
      </c>
      <c r="AM134" s="3">
        <v>0</v>
      </c>
      <c r="AN134" s="213">
        <v>0</v>
      </c>
      <c r="AO134" s="213">
        <v>0</v>
      </c>
      <c r="AP134" s="9">
        <v>0</v>
      </c>
    </row>
    <row r="135" spans="1:42">
      <c r="A135" s="39"/>
      <c r="B135" s="7" t="s">
        <v>31</v>
      </c>
      <c r="C135" s="129">
        <f>NPV($C$7,F134:AO134)+D134+E134</f>
        <v>74000</v>
      </c>
      <c r="D135" s="7"/>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10"/>
    </row>
    <row r="136" spans="1:42">
      <c r="A136" s="39"/>
      <c r="B136" s="7" t="s">
        <v>4</v>
      </c>
      <c r="C136" s="130" t="str">
        <f>IF(SUM(D136:AN136)&gt;1,"CHECK"," ")</f>
        <v xml:space="preserve"> </v>
      </c>
      <c r="D136" s="178">
        <v>0</v>
      </c>
      <c r="E136" s="15">
        <v>1</v>
      </c>
      <c r="F136" s="15"/>
      <c r="G136" s="15"/>
      <c r="H136" s="15"/>
      <c r="I136" s="15"/>
      <c r="J136" s="15"/>
      <c r="K136" s="15"/>
      <c r="L136" s="15"/>
      <c r="M136" s="15"/>
      <c r="N136" s="15"/>
      <c r="O136" s="15"/>
      <c r="P136" s="15"/>
      <c r="Q136" s="15"/>
      <c r="R136" s="15"/>
      <c r="S136" s="15"/>
      <c r="T136" s="125"/>
      <c r="U136" s="15"/>
      <c r="V136" s="15"/>
      <c r="W136" s="15"/>
      <c r="X136" s="15"/>
      <c r="Y136" s="15"/>
      <c r="Z136" s="15"/>
      <c r="AA136" s="15"/>
      <c r="AB136" s="15"/>
      <c r="AC136" s="15"/>
      <c r="AD136" s="15"/>
      <c r="AE136" s="15"/>
      <c r="AF136" s="15"/>
      <c r="AG136" s="15"/>
      <c r="AH136" s="15"/>
      <c r="AI136" s="15"/>
      <c r="AJ136" s="15"/>
      <c r="AK136" s="15"/>
      <c r="AL136" s="15"/>
      <c r="AM136" s="15"/>
      <c r="AN136" s="146"/>
      <c r="AO136" s="146"/>
      <c r="AP136" s="16"/>
    </row>
    <row r="137" spans="1:42" ht="15.75" thickBot="1">
      <c r="A137" s="39"/>
      <c r="B137" s="7"/>
      <c r="C137" s="10"/>
      <c r="D137" s="179">
        <f>IF(D136&gt;0,(D136*$C135),0)</f>
        <v>0</v>
      </c>
      <c r="E137" s="20">
        <f t="shared" ref="E137:R137" si="29">IF(E136&gt;0,(E136*$C135),0)</f>
        <v>74000</v>
      </c>
      <c r="F137" s="20">
        <f t="shared" si="29"/>
        <v>0</v>
      </c>
      <c r="G137" s="20">
        <f t="shared" si="29"/>
        <v>0</v>
      </c>
      <c r="H137" s="20">
        <f t="shared" si="29"/>
        <v>0</v>
      </c>
      <c r="I137" s="20">
        <f t="shared" si="29"/>
        <v>0</v>
      </c>
      <c r="J137" s="20">
        <f t="shared" si="29"/>
        <v>0</v>
      </c>
      <c r="K137" s="20">
        <f t="shared" si="29"/>
        <v>0</v>
      </c>
      <c r="L137" s="20">
        <f t="shared" si="29"/>
        <v>0</v>
      </c>
      <c r="M137" s="20">
        <f t="shared" si="29"/>
        <v>0</v>
      </c>
      <c r="N137" s="20">
        <f t="shared" si="29"/>
        <v>0</v>
      </c>
      <c r="O137" s="20">
        <f t="shared" si="29"/>
        <v>0</v>
      </c>
      <c r="P137" s="20">
        <f t="shared" si="29"/>
        <v>0</v>
      </c>
      <c r="Q137" s="20">
        <f t="shared" si="29"/>
        <v>0</v>
      </c>
      <c r="R137" s="20">
        <f t="shared" si="29"/>
        <v>0</v>
      </c>
      <c r="S137" s="20">
        <f>IF(S136&gt;0,(S136*$C135),0)</f>
        <v>0</v>
      </c>
      <c r="T137" s="126">
        <f t="shared" ref="T137:AN137" si="30">IF(T136&gt;0,(T136*$C135),0)</f>
        <v>0</v>
      </c>
      <c r="U137" s="20">
        <f t="shared" si="30"/>
        <v>0</v>
      </c>
      <c r="V137" s="20">
        <f t="shared" si="30"/>
        <v>0</v>
      </c>
      <c r="W137" s="20">
        <f t="shared" si="30"/>
        <v>0</v>
      </c>
      <c r="X137" s="20">
        <f t="shared" si="30"/>
        <v>0</v>
      </c>
      <c r="Y137" s="20">
        <f t="shared" si="30"/>
        <v>0</v>
      </c>
      <c r="Z137" s="20">
        <f t="shared" si="30"/>
        <v>0</v>
      </c>
      <c r="AA137" s="20">
        <f t="shared" si="30"/>
        <v>0</v>
      </c>
      <c r="AB137" s="20">
        <f t="shared" si="30"/>
        <v>0</v>
      </c>
      <c r="AC137" s="20">
        <f t="shared" si="30"/>
        <v>0</v>
      </c>
      <c r="AD137" s="20">
        <f t="shared" si="30"/>
        <v>0</v>
      </c>
      <c r="AE137" s="20">
        <f t="shared" si="30"/>
        <v>0</v>
      </c>
      <c r="AF137" s="20">
        <f t="shared" si="30"/>
        <v>0</v>
      </c>
      <c r="AG137" s="20">
        <f t="shared" si="30"/>
        <v>0</v>
      </c>
      <c r="AH137" s="20">
        <f t="shared" si="30"/>
        <v>0</v>
      </c>
      <c r="AI137" s="20">
        <f t="shared" si="30"/>
        <v>0</v>
      </c>
      <c r="AJ137" s="20">
        <f t="shared" si="30"/>
        <v>0</v>
      </c>
      <c r="AK137" s="20">
        <f t="shared" si="30"/>
        <v>0</v>
      </c>
      <c r="AL137" s="20">
        <f t="shared" si="30"/>
        <v>0</v>
      </c>
      <c r="AM137" s="20">
        <f t="shared" si="30"/>
        <v>0</v>
      </c>
      <c r="AN137" s="215">
        <f t="shared" si="30"/>
        <v>0</v>
      </c>
      <c r="AO137" s="215">
        <f>IF(AO136&gt;0,(AO136*$C135),0)</f>
        <v>0</v>
      </c>
      <c r="AP137" s="22">
        <f>IF(AP136&gt;0,(AP136*$C135),0)</f>
        <v>0</v>
      </c>
    </row>
    <row r="138" spans="1:42" ht="15.75" thickBot="1">
      <c r="A138" s="39"/>
      <c r="B138" s="7"/>
      <c r="C138" s="10"/>
      <c r="D138" s="463"/>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5"/>
    </row>
    <row r="139" spans="1:42">
      <c r="A139" s="39"/>
      <c r="B139" s="4" t="s">
        <v>12</v>
      </c>
      <c r="C139" s="466" t="str">
        <f>Summary!B33</f>
        <v>A19</v>
      </c>
      <c r="D139" s="156" t="str">
        <f>Summary!C33</f>
        <v>hub - Consultancy Costs Avoided</v>
      </c>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6"/>
    </row>
    <row r="140" spans="1:42">
      <c r="A140" s="39"/>
      <c r="B140" s="7" t="s">
        <v>189</v>
      </c>
      <c r="C140" s="134" t="str">
        <f>'A19 hub consultancy avoided'!D47</f>
        <v>B - Very Good</v>
      </c>
      <c r="D140" s="176">
        <f>VLOOKUP(C140,'Confidence Factors'!$B$6:$D$9,3)</f>
        <v>0.9</v>
      </c>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10"/>
    </row>
    <row r="141" spans="1:42">
      <c r="A141" s="39"/>
      <c r="B141" s="7" t="s">
        <v>30</v>
      </c>
      <c r="C141" s="128">
        <f>SUM(D141:AN141)</f>
        <v>125334</v>
      </c>
      <c r="D141" s="177">
        <v>0</v>
      </c>
      <c r="E141" s="454">
        <f>'A18 NPD Contract-Avoid Consulta'!D77*'A18 NPD Contract-Avoid Consulta'!D82*'Calcs - Scen 4'!D140</f>
        <v>0</v>
      </c>
      <c r="F141" s="454">
        <f>422000*'A19 hub consultancy avoided'!D75*'Calcs - Scen 4'!D140</f>
        <v>125334</v>
      </c>
      <c r="G141" s="3">
        <v>0</v>
      </c>
      <c r="H141" s="3">
        <f>'A13 Waste Avoid Advisor Non CV '!J116*'A13 Waste Avoid Advisor Non CV '!D117*'Calcs - Scen 4'!D140</f>
        <v>0</v>
      </c>
      <c r="I141" s="3">
        <f>'A16 Waste Food Treatment Suppor'!H96*'A16 Waste Food Treatment Suppor'!D96*'Calcs - Scen 4'!D140</f>
        <v>0</v>
      </c>
      <c r="J141" s="3">
        <f>'A16 Waste Food Treatment Suppor'!I96*'A16 Waste Food Treatment Suppor'!D96*'Calcs - Scen 4'!D140</f>
        <v>0</v>
      </c>
      <c r="K141" s="3">
        <f>'A16 Waste Food Treatment Suppor'!J96*'A16 Waste Food Treatment Suppor'!D96*'Calcs - Scen 4'!D140</f>
        <v>0</v>
      </c>
      <c r="L141" s="3">
        <f>'A17 Wst Avoid Future Variations'!I87*'A17 Wst Avoid Future Variations'!D89*'Calcs - Scen 4'!D140</f>
        <v>0</v>
      </c>
      <c r="M141" s="3">
        <f>'A17 Wst Avoid Future Variations'!J87*'A17 Wst Avoid Future Variations'!D89*'Calcs - Scen 4'!D140</f>
        <v>0</v>
      </c>
      <c r="N141" s="3">
        <f>'A17 Wst Avoid Future Variations'!K87*'Calcs - Scen 4'!D140</f>
        <v>0</v>
      </c>
      <c r="O141" s="3">
        <f>'A17 Wst Avoid Future Variations'!L87*'A17 Wst Avoid Future Variations'!D89*'Calcs - Scen 4'!D140</f>
        <v>0</v>
      </c>
      <c r="P141" s="3">
        <f>'A17 Wst Avoid Future Variations'!M87*'A17 Wst Avoid Future Variations'!D89*'Calcs - Scen 4'!D140</f>
        <v>0</v>
      </c>
      <c r="Q141" s="3">
        <f>'A17 Wst Avoid Future Variations'!N87*'A17 Wst Avoid Future Variations'!D89*'Calcs - Scen 4'!D140</f>
        <v>0</v>
      </c>
      <c r="R141" s="3">
        <f>'A17 Wst Avoid Future Variations'!O87*'A17 Wst Avoid Future Variations'!D89*'Calcs - Scen 4'!D140</f>
        <v>0</v>
      </c>
      <c r="S141" s="3">
        <f>'A17 Wst Avoid Future Variations'!P87*'A17 Wst Avoid Future Variations'!D89*'Calcs - Scen 4'!D140</f>
        <v>0</v>
      </c>
      <c r="T141" s="127">
        <f>'A17 Wst Avoid Future Variations'!Q87*'A17 Wst Avoid Future Variations'!D89*'Calcs - Scen 4'!D140</f>
        <v>0</v>
      </c>
      <c r="U141" s="3">
        <f>'A17 Wst Avoid Future Variations'!R87*'A17 Wst Avoid Future Variations'!D89*'Calcs - Scen 4'!D140</f>
        <v>0</v>
      </c>
      <c r="V141" s="3">
        <f>'A17 Wst Avoid Future Variations'!S87*'A17 Wst Avoid Future Variations'!D89*'Calcs - Scen 4'!D140</f>
        <v>0</v>
      </c>
      <c r="W141" s="3">
        <f>'A17 Wst Avoid Future Variations'!T87*'A17 Wst Avoid Future Variations'!D89*'Calcs - Scen 4'!D140</f>
        <v>0</v>
      </c>
      <c r="X141" s="3">
        <f>'A17 Wst Avoid Future Variations'!U87*'A17 Wst Avoid Future Variations'!D89*'Calcs - Scen 4'!D140</f>
        <v>0</v>
      </c>
      <c r="Y141" s="3">
        <f>'A17 Wst Avoid Future Variations'!V87*'A17 Wst Avoid Future Variations'!D89*'Calcs - Scen 4'!D140</f>
        <v>0</v>
      </c>
      <c r="Z141" s="3">
        <f>'A17 Wst Avoid Future Variations'!W87*'A17 Wst Avoid Future Variations'!D89*'Calcs - Scen 4'!D140</f>
        <v>0</v>
      </c>
      <c r="AA141" s="3">
        <f>'A17 Wst Avoid Future Variations'!X87*'A17 Wst Avoid Future Variations'!D89*'Calcs - Scen 4'!D140</f>
        <v>0</v>
      </c>
      <c r="AB141" s="3">
        <f>'A17 Wst Avoid Future Variations'!Y87*'A17 Wst Avoid Future Variations'!D89*'Calcs - Scen 4'!D140</f>
        <v>0</v>
      </c>
      <c r="AC141" s="3">
        <f>'A17 Wst Avoid Future Variations'!Z87*'A17 Wst Avoid Future Variations'!D89*'Calcs - Scen 4'!D140</f>
        <v>0</v>
      </c>
      <c r="AD141" s="3">
        <f>'A17 Wst Avoid Future Variations'!AA87*'A17 Wst Avoid Future Variations'!D89*'Calcs - Scen 4'!D140</f>
        <v>0</v>
      </c>
      <c r="AE141" s="3">
        <f>'A17 Wst Avoid Future Variations'!AB87*'A17 Wst Avoid Future Variations'!D89*'Calcs - Scen 4'!D140</f>
        <v>0</v>
      </c>
      <c r="AF141" s="3">
        <v>0</v>
      </c>
      <c r="AG141" s="3">
        <v>0</v>
      </c>
      <c r="AH141" s="3">
        <v>0</v>
      </c>
      <c r="AI141" s="3">
        <v>0</v>
      </c>
      <c r="AJ141" s="3">
        <v>0</v>
      </c>
      <c r="AK141" s="3">
        <v>0</v>
      </c>
      <c r="AL141" s="3">
        <v>0</v>
      </c>
      <c r="AM141" s="3">
        <v>0</v>
      </c>
      <c r="AN141" s="213">
        <v>0</v>
      </c>
      <c r="AO141" s="213">
        <v>0</v>
      </c>
      <c r="AP141" s="9">
        <v>0</v>
      </c>
    </row>
    <row r="142" spans="1:42">
      <c r="A142" s="39"/>
      <c r="B142" s="7" t="s">
        <v>31</v>
      </c>
      <c r="C142" s="129">
        <f>NPV($C$7,F141:AO141)+D141+E141</f>
        <v>121095.65217391305</v>
      </c>
      <c r="D142" s="7"/>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10"/>
    </row>
    <row r="143" spans="1:42">
      <c r="A143" s="39"/>
      <c r="B143" s="7" t="s">
        <v>4</v>
      </c>
      <c r="C143" s="130" t="str">
        <f>IF(SUM(D143:AN143)&gt;1,"CHECK"," ")</f>
        <v xml:space="preserve"> </v>
      </c>
      <c r="D143" s="178">
        <v>0</v>
      </c>
      <c r="E143" s="15">
        <v>1</v>
      </c>
      <c r="F143" s="15"/>
      <c r="G143" s="15"/>
      <c r="H143" s="15"/>
      <c r="I143" s="15"/>
      <c r="J143" s="15"/>
      <c r="K143" s="15"/>
      <c r="L143" s="15"/>
      <c r="M143" s="15"/>
      <c r="N143" s="15"/>
      <c r="O143" s="15"/>
      <c r="P143" s="15"/>
      <c r="Q143" s="15"/>
      <c r="R143" s="15"/>
      <c r="S143" s="15"/>
      <c r="T143" s="125"/>
      <c r="U143" s="15"/>
      <c r="V143" s="15"/>
      <c r="W143" s="15"/>
      <c r="X143" s="15"/>
      <c r="Y143" s="15"/>
      <c r="Z143" s="15"/>
      <c r="AA143" s="15"/>
      <c r="AB143" s="15"/>
      <c r="AC143" s="15"/>
      <c r="AD143" s="15"/>
      <c r="AE143" s="15"/>
      <c r="AF143" s="15"/>
      <c r="AG143" s="15"/>
      <c r="AH143" s="15"/>
      <c r="AI143" s="15"/>
      <c r="AJ143" s="15"/>
      <c r="AK143" s="15"/>
      <c r="AL143" s="15"/>
      <c r="AM143" s="15"/>
      <c r="AN143" s="146"/>
      <c r="AO143" s="146"/>
      <c r="AP143" s="16"/>
    </row>
    <row r="144" spans="1:42" ht="15.75" thickBot="1">
      <c r="A144" s="39"/>
      <c r="B144" s="7"/>
      <c r="C144" s="10"/>
      <c r="D144" s="179">
        <f>IF(D143&gt;0,(D143*$C142),0)</f>
        <v>0</v>
      </c>
      <c r="E144" s="20">
        <f t="shared" ref="E144:R144" si="31">IF(E143&gt;0,(E143*$C142),0)</f>
        <v>121095.65217391305</v>
      </c>
      <c r="F144" s="20">
        <f t="shared" si="31"/>
        <v>0</v>
      </c>
      <c r="G144" s="20">
        <f t="shared" si="31"/>
        <v>0</v>
      </c>
      <c r="H144" s="20">
        <f t="shared" si="31"/>
        <v>0</v>
      </c>
      <c r="I144" s="20">
        <f t="shared" si="31"/>
        <v>0</v>
      </c>
      <c r="J144" s="20">
        <f t="shared" si="31"/>
        <v>0</v>
      </c>
      <c r="K144" s="20">
        <f t="shared" si="31"/>
        <v>0</v>
      </c>
      <c r="L144" s="20">
        <f t="shared" si="31"/>
        <v>0</v>
      </c>
      <c r="M144" s="20">
        <f t="shared" si="31"/>
        <v>0</v>
      </c>
      <c r="N144" s="20">
        <f t="shared" si="31"/>
        <v>0</v>
      </c>
      <c r="O144" s="20">
        <f t="shared" si="31"/>
        <v>0</v>
      </c>
      <c r="P144" s="20">
        <f t="shared" si="31"/>
        <v>0</v>
      </c>
      <c r="Q144" s="20">
        <f t="shared" si="31"/>
        <v>0</v>
      </c>
      <c r="R144" s="20">
        <f t="shared" si="31"/>
        <v>0</v>
      </c>
      <c r="S144" s="20">
        <f>IF(S143&gt;0,(S143*$C142),0)</f>
        <v>0</v>
      </c>
      <c r="T144" s="126">
        <f t="shared" ref="T144:AN144" si="32">IF(T143&gt;0,(T143*$C142),0)</f>
        <v>0</v>
      </c>
      <c r="U144" s="20">
        <f t="shared" si="32"/>
        <v>0</v>
      </c>
      <c r="V144" s="20">
        <f t="shared" si="32"/>
        <v>0</v>
      </c>
      <c r="W144" s="20">
        <f t="shared" si="32"/>
        <v>0</v>
      </c>
      <c r="X144" s="20">
        <f t="shared" si="32"/>
        <v>0</v>
      </c>
      <c r="Y144" s="20">
        <f t="shared" si="32"/>
        <v>0</v>
      </c>
      <c r="Z144" s="20">
        <f t="shared" si="32"/>
        <v>0</v>
      </c>
      <c r="AA144" s="20">
        <f t="shared" si="32"/>
        <v>0</v>
      </c>
      <c r="AB144" s="20">
        <f t="shared" si="32"/>
        <v>0</v>
      </c>
      <c r="AC144" s="20">
        <f t="shared" si="32"/>
        <v>0</v>
      </c>
      <c r="AD144" s="20">
        <f t="shared" si="32"/>
        <v>0</v>
      </c>
      <c r="AE144" s="20">
        <f t="shared" si="32"/>
        <v>0</v>
      </c>
      <c r="AF144" s="20">
        <f t="shared" si="32"/>
        <v>0</v>
      </c>
      <c r="AG144" s="20">
        <f t="shared" si="32"/>
        <v>0</v>
      </c>
      <c r="AH144" s="20">
        <f t="shared" si="32"/>
        <v>0</v>
      </c>
      <c r="AI144" s="20">
        <f t="shared" si="32"/>
        <v>0</v>
      </c>
      <c r="AJ144" s="20">
        <f t="shared" si="32"/>
        <v>0</v>
      </c>
      <c r="AK144" s="20">
        <f t="shared" si="32"/>
        <v>0</v>
      </c>
      <c r="AL144" s="20">
        <f t="shared" si="32"/>
        <v>0</v>
      </c>
      <c r="AM144" s="20">
        <f t="shared" si="32"/>
        <v>0</v>
      </c>
      <c r="AN144" s="215">
        <f t="shared" si="32"/>
        <v>0</v>
      </c>
      <c r="AO144" s="215">
        <f>IF(AO143&gt;0,(AO143*$C142),0)</f>
        <v>0</v>
      </c>
      <c r="AP144" s="22">
        <f>IF(AP143&gt;0,(AP143*$C142),0)</f>
        <v>0</v>
      </c>
    </row>
    <row r="145" spans="1:42" ht="15.75" thickBot="1">
      <c r="A145" s="39"/>
      <c r="B145" s="7"/>
      <c r="C145" s="10"/>
      <c r="D145" s="463"/>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4"/>
      <c r="AP145" s="465"/>
    </row>
    <row r="146" spans="1:42">
      <c r="A146" s="39"/>
      <c r="B146" s="4" t="s">
        <v>12</v>
      </c>
      <c r="C146" s="466" t="str">
        <f>Summary!B34</f>
        <v>A20</v>
      </c>
      <c r="D146" s="156" t="str">
        <f>Summary!C34</f>
        <v>hub performance management - avoided costs</v>
      </c>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6"/>
    </row>
    <row r="147" spans="1:42">
      <c r="A147" s="39"/>
      <c r="B147" s="7" t="s">
        <v>189</v>
      </c>
      <c r="C147" s="134" t="str">
        <f>'A20 hub performance mngt'!D47</f>
        <v>B - Very Good</v>
      </c>
      <c r="D147" s="176">
        <f>VLOOKUP(C147,'Confidence Factors'!$B$6:$D$9,3)</f>
        <v>0.9</v>
      </c>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10"/>
    </row>
    <row r="148" spans="1:42">
      <c r="A148" s="39"/>
      <c r="B148" s="7" t="s">
        <v>30</v>
      </c>
      <c r="C148" s="128">
        <f>SUM(D148:AN148)</f>
        <v>51210</v>
      </c>
      <c r="D148" s="177">
        <v>0</v>
      </c>
      <c r="E148" s="454">
        <f>'A18 NPD Contract-Avoid Consulta'!D84*'A18 NPD Contract-Avoid Consulta'!D89*'Calcs - Scen 4'!D147</f>
        <v>0</v>
      </c>
      <c r="F148" s="454">
        <f>(('A20 hub performance mngt'!$D70)/3)*'A20 hub performance mngt'!$D75*'Calcs - Scen 4'!$D147</f>
        <v>17070</v>
      </c>
      <c r="G148" s="454">
        <f>(('A20 hub performance mngt'!$D70)/3)*'A20 hub performance mngt'!$D75*'Calcs - Scen 4'!$D147</f>
        <v>17070</v>
      </c>
      <c r="H148" s="454">
        <f>(('A20 hub performance mngt'!$D70)/3)*'A20 hub performance mngt'!$D75*'Calcs - Scen 4'!$D147</f>
        <v>17070</v>
      </c>
      <c r="I148" s="3">
        <f>'A16 Waste Food Treatment Suppor'!H103*'A16 Waste Food Treatment Suppor'!D103*'Calcs - Scen 4'!D147</f>
        <v>0</v>
      </c>
      <c r="J148" s="3">
        <f>'A16 Waste Food Treatment Suppor'!I103*'A16 Waste Food Treatment Suppor'!D103*'Calcs - Scen 4'!D147</f>
        <v>0</v>
      </c>
      <c r="K148" s="3">
        <f>'A16 Waste Food Treatment Suppor'!J103*'A16 Waste Food Treatment Suppor'!D103*'Calcs - Scen 4'!D147</f>
        <v>0</v>
      </c>
      <c r="L148" s="3">
        <f>'A17 Wst Avoid Future Variations'!I94*'A17 Wst Avoid Future Variations'!D96*'Calcs - Scen 4'!D147</f>
        <v>0</v>
      </c>
      <c r="M148" s="3">
        <f>'A17 Wst Avoid Future Variations'!J94*'A17 Wst Avoid Future Variations'!D96*'Calcs - Scen 4'!D147</f>
        <v>0</v>
      </c>
      <c r="N148" s="3">
        <f>'A17 Wst Avoid Future Variations'!K94*'Calcs - Scen 4'!D147</f>
        <v>0</v>
      </c>
      <c r="O148" s="3">
        <f>'A17 Wst Avoid Future Variations'!L94*'A17 Wst Avoid Future Variations'!D96*'Calcs - Scen 4'!D147</f>
        <v>0</v>
      </c>
      <c r="P148" s="3">
        <f>'A17 Wst Avoid Future Variations'!M94*'A17 Wst Avoid Future Variations'!D96*'Calcs - Scen 4'!D147</f>
        <v>0</v>
      </c>
      <c r="Q148" s="3">
        <f>'A17 Wst Avoid Future Variations'!N94*'A17 Wst Avoid Future Variations'!D96*'Calcs - Scen 4'!D147</f>
        <v>0</v>
      </c>
      <c r="R148" s="3">
        <f>'A17 Wst Avoid Future Variations'!O94*'A17 Wst Avoid Future Variations'!D96*'Calcs - Scen 4'!D147</f>
        <v>0</v>
      </c>
      <c r="S148" s="3">
        <f>'A17 Wst Avoid Future Variations'!P94*'A17 Wst Avoid Future Variations'!D96*'Calcs - Scen 4'!D147</f>
        <v>0</v>
      </c>
      <c r="T148" s="127">
        <f>'A17 Wst Avoid Future Variations'!Q94*'A17 Wst Avoid Future Variations'!D96*'Calcs - Scen 4'!D147</f>
        <v>0</v>
      </c>
      <c r="U148" s="3">
        <f>'A17 Wst Avoid Future Variations'!R94*'A17 Wst Avoid Future Variations'!D96*'Calcs - Scen 4'!D147</f>
        <v>0</v>
      </c>
      <c r="V148" s="3">
        <f>'A17 Wst Avoid Future Variations'!S94*'A17 Wst Avoid Future Variations'!D96*'Calcs - Scen 4'!D147</f>
        <v>0</v>
      </c>
      <c r="W148" s="3">
        <f>'A17 Wst Avoid Future Variations'!T94*'A17 Wst Avoid Future Variations'!D96*'Calcs - Scen 4'!D147</f>
        <v>0</v>
      </c>
      <c r="X148" s="3">
        <f>'A17 Wst Avoid Future Variations'!U94*'A17 Wst Avoid Future Variations'!D96*'Calcs - Scen 4'!D147</f>
        <v>0</v>
      </c>
      <c r="Y148" s="3">
        <f>'A17 Wst Avoid Future Variations'!V94*'A17 Wst Avoid Future Variations'!D96*'Calcs - Scen 4'!D147</f>
        <v>0</v>
      </c>
      <c r="Z148" s="3">
        <f>'A17 Wst Avoid Future Variations'!W94*'A17 Wst Avoid Future Variations'!D96*'Calcs - Scen 4'!D147</f>
        <v>0</v>
      </c>
      <c r="AA148" s="3">
        <f>'A17 Wst Avoid Future Variations'!X94*'A17 Wst Avoid Future Variations'!D96*'Calcs - Scen 4'!D147</f>
        <v>0</v>
      </c>
      <c r="AB148" s="3">
        <f>'A17 Wst Avoid Future Variations'!Y94*'A17 Wst Avoid Future Variations'!D96*'Calcs - Scen 4'!D147</f>
        <v>0</v>
      </c>
      <c r="AC148" s="3">
        <f>'A17 Wst Avoid Future Variations'!Z94*'A17 Wst Avoid Future Variations'!D96*'Calcs - Scen 4'!D147</f>
        <v>0</v>
      </c>
      <c r="AD148" s="3">
        <f>'A17 Wst Avoid Future Variations'!AA94*'A17 Wst Avoid Future Variations'!D96*'Calcs - Scen 4'!D147</f>
        <v>0</v>
      </c>
      <c r="AE148" s="3">
        <f>'A17 Wst Avoid Future Variations'!AB94*'A17 Wst Avoid Future Variations'!D96*'Calcs - Scen 4'!D147</f>
        <v>0</v>
      </c>
      <c r="AF148" s="3">
        <v>0</v>
      </c>
      <c r="AG148" s="3">
        <v>0</v>
      </c>
      <c r="AH148" s="3">
        <v>0</v>
      </c>
      <c r="AI148" s="3">
        <v>0</v>
      </c>
      <c r="AJ148" s="3">
        <v>0</v>
      </c>
      <c r="AK148" s="3">
        <v>0</v>
      </c>
      <c r="AL148" s="3">
        <v>0</v>
      </c>
      <c r="AM148" s="3">
        <v>0</v>
      </c>
      <c r="AN148" s="213">
        <v>0</v>
      </c>
      <c r="AO148" s="213">
        <v>0</v>
      </c>
      <c r="AP148" s="9">
        <v>0</v>
      </c>
    </row>
    <row r="149" spans="1:42">
      <c r="A149" s="39"/>
      <c r="B149" s="7" t="s">
        <v>31</v>
      </c>
      <c r="C149" s="129">
        <f>NPV($C$7,F148:AO148)+D148+E148</f>
        <v>47823.943264196052</v>
      </c>
      <c r="D149" s="7"/>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10"/>
    </row>
    <row r="150" spans="1:42">
      <c r="A150" s="39"/>
      <c r="B150" s="7" t="s">
        <v>4</v>
      </c>
      <c r="C150" s="130" t="str">
        <f>IF(SUM(D150:AN150)&gt;1,"CHECK"," ")</f>
        <v xml:space="preserve"> </v>
      </c>
      <c r="D150" s="178">
        <v>0</v>
      </c>
      <c r="E150" s="15">
        <v>1</v>
      </c>
      <c r="F150" s="15"/>
      <c r="G150" s="15"/>
      <c r="H150" s="15"/>
      <c r="I150" s="15"/>
      <c r="J150" s="15"/>
      <c r="K150" s="15"/>
      <c r="L150" s="15"/>
      <c r="M150" s="15"/>
      <c r="N150" s="15"/>
      <c r="O150" s="15"/>
      <c r="P150" s="15"/>
      <c r="Q150" s="15"/>
      <c r="R150" s="15"/>
      <c r="S150" s="15"/>
      <c r="T150" s="125"/>
      <c r="U150" s="15"/>
      <c r="V150" s="15"/>
      <c r="W150" s="15"/>
      <c r="X150" s="15"/>
      <c r="Y150" s="15"/>
      <c r="Z150" s="15"/>
      <c r="AA150" s="15"/>
      <c r="AB150" s="15"/>
      <c r="AC150" s="15"/>
      <c r="AD150" s="15"/>
      <c r="AE150" s="15"/>
      <c r="AF150" s="15"/>
      <c r="AG150" s="15"/>
      <c r="AH150" s="15"/>
      <c r="AI150" s="15"/>
      <c r="AJ150" s="15"/>
      <c r="AK150" s="15"/>
      <c r="AL150" s="15"/>
      <c r="AM150" s="15"/>
      <c r="AN150" s="146"/>
      <c r="AO150" s="146"/>
      <c r="AP150" s="16"/>
    </row>
    <row r="151" spans="1:42" ht="15.75" thickBot="1">
      <c r="A151" s="39"/>
      <c r="B151" s="7"/>
      <c r="C151" s="10"/>
      <c r="D151" s="179">
        <f>IF(D150&gt;0,(D150*$C149),0)</f>
        <v>0</v>
      </c>
      <c r="E151" s="20">
        <f t="shared" ref="E151:R151" si="33">IF(E150&gt;0,(E150*$C149),0)</f>
        <v>47823.943264196052</v>
      </c>
      <c r="F151" s="20">
        <f t="shared" si="33"/>
        <v>0</v>
      </c>
      <c r="G151" s="20">
        <f t="shared" si="33"/>
        <v>0</v>
      </c>
      <c r="H151" s="20">
        <f t="shared" si="33"/>
        <v>0</v>
      </c>
      <c r="I151" s="20">
        <f t="shared" si="33"/>
        <v>0</v>
      </c>
      <c r="J151" s="20">
        <f t="shared" si="33"/>
        <v>0</v>
      </c>
      <c r="K151" s="20">
        <f t="shared" si="33"/>
        <v>0</v>
      </c>
      <c r="L151" s="20">
        <f t="shared" si="33"/>
        <v>0</v>
      </c>
      <c r="M151" s="20">
        <f t="shared" si="33"/>
        <v>0</v>
      </c>
      <c r="N151" s="20">
        <f t="shared" si="33"/>
        <v>0</v>
      </c>
      <c r="O151" s="20">
        <f t="shared" si="33"/>
        <v>0</v>
      </c>
      <c r="P151" s="20">
        <f t="shared" si="33"/>
        <v>0</v>
      </c>
      <c r="Q151" s="20">
        <f t="shared" si="33"/>
        <v>0</v>
      </c>
      <c r="R151" s="20">
        <f t="shared" si="33"/>
        <v>0</v>
      </c>
      <c r="S151" s="20">
        <f>IF(S150&gt;0,(S150*$C149),0)</f>
        <v>0</v>
      </c>
      <c r="T151" s="126">
        <f t="shared" ref="T151:AN151" si="34">IF(T150&gt;0,(T150*$C149),0)</f>
        <v>0</v>
      </c>
      <c r="U151" s="20">
        <f t="shared" si="34"/>
        <v>0</v>
      </c>
      <c r="V151" s="20">
        <f t="shared" si="34"/>
        <v>0</v>
      </c>
      <c r="W151" s="20">
        <f t="shared" si="34"/>
        <v>0</v>
      </c>
      <c r="X151" s="20">
        <f t="shared" si="34"/>
        <v>0</v>
      </c>
      <c r="Y151" s="20">
        <f t="shared" si="34"/>
        <v>0</v>
      </c>
      <c r="Z151" s="20">
        <f t="shared" si="34"/>
        <v>0</v>
      </c>
      <c r="AA151" s="20">
        <f t="shared" si="34"/>
        <v>0</v>
      </c>
      <c r="AB151" s="20">
        <f t="shared" si="34"/>
        <v>0</v>
      </c>
      <c r="AC151" s="20">
        <f t="shared" si="34"/>
        <v>0</v>
      </c>
      <c r="AD151" s="20">
        <f t="shared" si="34"/>
        <v>0</v>
      </c>
      <c r="AE151" s="20">
        <f t="shared" si="34"/>
        <v>0</v>
      </c>
      <c r="AF151" s="20">
        <f t="shared" si="34"/>
        <v>0</v>
      </c>
      <c r="AG151" s="20">
        <f t="shared" si="34"/>
        <v>0</v>
      </c>
      <c r="AH151" s="20">
        <f t="shared" si="34"/>
        <v>0</v>
      </c>
      <c r="AI151" s="20">
        <f t="shared" si="34"/>
        <v>0</v>
      </c>
      <c r="AJ151" s="20">
        <f t="shared" si="34"/>
        <v>0</v>
      </c>
      <c r="AK151" s="20">
        <f t="shared" si="34"/>
        <v>0</v>
      </c>
      <c r="AL151" s="20">
        <f t="shared" si="34"/>
        <v>0</v>
      </c>
      <c r="AM151" s="20">
        <f t="shared" si="34"/>
        <v>0</v>
      </c>
      <c r="AN151" s="215">
        <f t="shared" si="34"/>
        <v>0</v>
      </c>
      <c r="AO151" s="215">
        <f>IF(AO150&gt;0,(AO150*$C149),0)</f>
        <v>0</v>
      </c>
      <c r="AP151" s="22">
        <f>IF(AP150&gt;0,(AP150*$C149),0)</f>
        <v>0</v>
      </c>
    </row>
    <row r="152" spans="1:42" ht="15.75" thickBot="1">
      <c r="A152" s="39"/>
      <c r="B152" s="7"/>
      <c r="C152" s="10"/>
      <c r="D152" s="463"/>
      <c r="E152" s="464"/>
      <c r="F152" s="464"/>
      <c r="G152" s="464"/>
      <c r="H152" s="464"/>
      <c r="I152" s="464"/>
      <c r="J152" s="464"/>
      <c r="K152" s="464"/>
      <c r="L152" s="464"/>
      <c r="M152" s="464"/>
      <c r="N152" s="464"/>
      <c r="O152" s="464"/>
      <c r="P152" s="464"/>
      <c r="Q152" s="464"/>
      <c r="R152" s="464"/>
      <c r="S152" s="464"/>
      <c r="T152" s="464"/>
      <c r="U152" s="464"/>
      <c r="V152" s="464"/>
      <c r="W152" s="464"/>
      <c r="X152" s="464"/>
      <c r="Y152" s="464"/>
      <c r="Z152" s="464"/>
      <c r="AA152" s="464"/>
      <c r="AB152" s="464"/>
      <c r="AC152" s="464"/>
      <c r="AD152" s="464"/>
      <c r="AE152" s="464"/>
      <c r="AF152" s="464"/>
      <c r="AG152" s="464"/>
      <c r="AH152" s="464"/>
      <c r="AI152" s="464"/>
      <c r="AJ152" s="464"/>
      <c r="AK152" s="464"/>
      <c r="AL152" s="464"/>
      <c r="AM152" s="464"/>
      <c r="AN152" s="464"/>
      <c r="AO152" s="464"/>
      <c r="AP152" s="465"/>
    </row>
    <row r="153" spans="1:42">
      <c r="A153" s="39"/>
      <c r="B153" s="4" t="s">
        <v>12</v>
      </c>
      <c r="C153" s="466" t="str">
        <f>Summary!B35</f>
        <v>A21</v>
      </c>
      <c r="D153" s="156" t="str">
        <f>Summary!C35</f>
        <v>Asset Management - Avoided Cost of Pilot Development Work (Consultancy Costs Avoided)</v>
      </c>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6"/>
    </row>
    <row r="154" spans="1:42">
      <c r="A154" s="39"/>
      <c r="B154" s="7" t="s">
        <v>189</v>
      </c>
      <c r="C154" s="134" t="str">
        <f>'A21 Asset Mgt Avoided Dev Work'!D47</f>
        <v>A - High</v>
      </c>
      <c r="D154" s="176">
        <f>VLOOKUP(C154,'Confidence Factors'!$B$6:$D$9,3)</f>
        <v>1</v>
      </c>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10"/>
    </row>
    <row r="155" spans="1:42">
      <c r="A155" s="39"/>
      <c r="B155" s="7" t="s">
        <v>30</v>
      </c>
      <c r="C155" s="128">
        <f>SUM(D155:AN155)</f>
        <v>134000</v>
      </c>
      <c r="D155" s="177">
        <v>0</v>
      </c>
      <c r="E155" s="454">
        <f>'A21 Asset Mgt Avoided Dev Work'!D70*'A21 Asset Mgt Avoided Dev Work'!D75*'Calcs - Scen 4'!D154</f>
        <v>134000</v>
      </c>
      <c r="F155" s="454">
        <f>(('A20 hub performance mngt'!$D77)/3)*'A20 hub performance mngt'!$D82*'Calcs - Scen 4'!$D154</f>
        <v>0</v>
      </c>
      <c r="G155" s="454">
        <f>(('A20 hub performance mngt'!$D77)/3)*'A20 hub performance mngt'!$D82*'Calcs - Scen 4'!$D154</f>
        <v>0</v>
      </c>
      <c r="H155" s="454">
        <f>(('A20 hub performance mngt'!$D77)/3)*'A20 hub performance mngt'!$D82*'Calcs - Scen 4'!$D154</f>
        <v>0</v>
      </c>
      <c r="I155" s="3">
        <f>'A16 Waste Food Treatment Suppor'!H110*'A16 Waste Food Treatment Suppor'!D110*'Calcs - Scen 4'!D154</f>
        <v>0</v>
      </c>
      <c r="J155" s="3">
        <f>'A16 Waste Food Treatment Suppor'!I110*'A16 Waste Food Treatment Suppor'!D110*'Calcs - Scen 4'!D154</f>
        <v>0</v>
      </c>
      <c r="K155" s="3">
        <f>'A16 Waste Food Treatment Suppor'!J110*'A16 Waste Food Treatment Suppor'!D110*'Calcs - Scen 4'!D154</f>
        <v>0</v>
      </c>
      <c r="L155" s="3">
        <f>'A17 Wst Avoid Future Variations'!I101*'A17 Wst Avoid Future Variations'!D103*'Calcs - Scen 4'!D154</f>
        <v>0</v>
      </c>
      <c r="M155" s="3">
        <f>'A17 Wst Avoid Future Variations'!J101*'A17 Wst Avoid Future Variations'!D103*'Calcs - Scen 4'!D154</f>
        <v>0</v>
      </c>
      <c r="N155" s="3">
        <f>'A17 Wst Avoid Future Variations'!K101*'Calcs - Scen 4'!D154</f>
        <v>0</v>
      </c>
      <c r="O155" s="3">
        <f>'A17 Wst Avoid Future Variations'!L101*'A17 Wst Avoid Future Variations'!D103*'Calcs - Scen 4'!D154</f>
        <v>0</v>
      </c>
      <c r="P155" s="3">
        <f>'A17 Wst Avoid Future Variations'!M101*'A17 Wst Avoid Future Variations'!D103*'Calcs - Scen 4'!D154</f>
        <v>0</v>
      </c>
      <c r="Q155" s="3">
        <f>'A17 Wst Avoid Future Variations'!N101*'A17 Wst Avoid Future Variations'!D103*'Calcs - Scen 4'!D154</f>
        <v>0</v>
      </c>
      <c r="R155" s="3">
        <f>'A17 Wst Avoid Future Variations'!O101*'A17 Wst Avoid Future Variations'!D103*'Calcs - Scen 4'!D154</f>
        <v>0</v>
      </c>
      <c r="S155" s="3">
        <f>'A17 Wst Avoid Future Variations'!P101*'A17 Wst Avoid Future Variations'!D103*'Calcs - Scen 4'!D154</f>
        <v>0</v>
      </c>
      <c r="T155" s="127">
        <f>'A17 Wst Avoid Future Variations'!Q101*'A17 Wst Avoid Future Variations'!D103*'Calcs - Scen 4'!D154</f>
        <v>0</v>
      </c>
      <c r="U155" s="3">
        <f>'A17 Wst Avoid Future Variations'!R101*'A17 Wst Avoid Future Variations'!D103*'Calcs - Scen 4'!D154</f>
        <v>0</v>
      </c>
      <c r="V155" s="3">
        <f>'A17 Wst Avoid Future Variations'!S101*'A17 Wst Avoid Future Variations'!D103*'Calcs - Scen 4'!D154</f>
        <v>0</v>
      </c>
      <c r="W155" s="3">
        <f>'A17 Wst Avoid Future Variations'!T101*'A17 Wst Avoid Future Variations'!D103*'Calcs - Scen 4'!D154</f>
        <v>0</v>
      </c>
      <c r="X155" s="3">
        <f>'A17 Wst Avoid Future Variations'!U101*'A17 Wst Avoid Future Variations'!D103*'Calcs - Scen 4'!D154</f>
        <v>0</v>
      </c>
      <c r="Y155" s="3">
        <f>'A17 Wst Avoid Future Variations'!V101*'A17 Wst Avoid Future Variations'!D103*'Calcs - Scen 4'!D154</f>
        <v>0</v>
      </c>
      <c r="Z155" s="3">
        <f>'A17 Wst Avoid Future Variations'!W101*'A17 Wst Avoid Future Variations'!D103*'Calcs - Scen 4'!D154</f>
        <v>0</v>
      </c>
      <c r="AA155" s="3">
        <f>'A17 Wst Avoid Future Variations'!X101*'A17 Wst Avoid Future Variations'!D103*'Calcs - Scen 4'!D154</f>
        <v>0</v>
      </c>
      <c r="AB155" s="3">
        <f>'A17 Wst Avoid Future Variations'!Y101*'A17 Wst Avoid Future Variations'!D103*'Calcs - Scen 4'!D154</f>
        <v>0</v>
      </c>
      <c r="AC155" s="3">
        <f>'A17 Wst Avoid Future Variations'!Z101*'A17 Wst Avoid Future Variations'!D103*'Calcs - Scen 4'!D154</f>
        <v>0</v>
      </c>
      <c r="AD155" s="3">
        <f>'A17 Wst Avoid Future Variations'!AA101*'A17 Wst Avoid Future Variations'!D103*'Calcs - Scen 4'!D154</f>
        <v>0</v>
      </c>
      <c r="AE155" s="3">
        <f>'A17 Wst Avoid Future Variations'!AB101*'A17 Wst Avoid Future Variations'!D103*'Calcs - Scen 4'!D154</f>
        <v>0</v>
      </c>
      <c r="AF155" s="3">
        <v>0</v>
      </c>
      <c r="AG155" s="3">
        <v>0</v>
      </c>
      <c r="AH155" s="3">
        <v>0</v>
      </c>
      <c r="AI155" s="3">
        <v>0</v>
      </c>
      <c r="AJ155" s="3">
        <v>0</v>
      </c>
      <c r="AK155" s="3">
        <v>0</v>
      </c>
      <c r="AL155" s="3">
        <v>0</v>
      </c>
      <c r="AM155" s="3">
        <v>0</v>
      </c>
      <c r="AN155" s="213">
        <v>0</v>
      </c>
      <c r="AO155" s="213">
        <v>0</v>
      </c>
      <c r="AP155" s="9">
        <v>0</v>
      </c>
    </row>
    <row r="156" spans="1:42">
      <c r="A156" s="39"/>
      <c r="B156" s="7" t="s">
        <v>31</v>
      </c>
      <c r="C156" s="129">
        <f>NPV($C$7,F155:AO155)+D155+E155</f>
        <v>134000</v>
      </c>
      <c r="D156" s="7"/>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10"/>
    </row>
    <row r="157" spans="1:42">
      <c r="A157" s="39"/>
      <c r="B157" s="7" t="s">
        <v>4</v>
      </c>
      <c r="C157" s="130" t="str">
        <f>IF(SUM(D157:AN157)&gt;1,"CHECK"," ")</f>
        <v xml:space="preserve"> </v>
      </c>
      <c r="D157" s="178">
        <v>0</v>
      </c>
      <c r="E157" s="15">
        <v>1</v>
      </c>
      <c r="F157" s="15"/>
      <c r="G157" s="15"/>
      <c r="H157" s="15"/>
      <c r="I157" s="15"/>
      <c r="J157" s="15"/>
      <c r="K157" s="15"/>
      <c r="L157" s="15"/>
      <c r="M157" s="15"/>
      <c r="N157" s="15"/>
      <c r="O157" s="15"/>
      <c r="P157" s="15"/>
      <c r="Q157" s="15"/>
      <c r="R157" s="15"/>
      <c r="S157" s="15"/>
      <c r="T157" s="125"/>
      <c r="U157" s="15"/>
      <c r="V157" s="15"/>
      <c r="W157" s="15"/>
      <c r="X157" s="15"/>
      <c r="Y157" s="15"/>
      <c r="Z157" s="15"/>
      <c r="AA157" s="15"/>
      <c r="AB157" s="15"/>
      <c r="AC157" s="15"/>
      <c r="AD157" s="15"/>
      <c r="AE157" s="15"/>
      <c r="AF157" s="15"/>
      <c r="AG157" s="15"/>
      <c r="AH157" s="15"/>
      <c r="AI157" s="15"/>
      <c r="AJ157" s="15"/>
      <c r="AK157" s="15"/>
      <c r="AL157" s="15"/>
      <c r="AM157" s="15"/>
      <c r="AN157" s="146"/>
      <c r="AO157" s="146"/>
      <c r="AP157" s="16"/>
    </row>
    <row r="158" spans="1:42" ht="15.75" thickBot="1">
      <c r="A158" s="39"/>
      <c r="B158" s="7"/>
      <c r="C158" s="10"/>
      <c r="D158" s="179">
        <f>IF(D157&gt;0,(D157*$C156),0)</f>
        <v>0</v>
      </c>
      <c r="E158" s="20">
        <f t="shared" ref="E158:R158" si="35">IF(E157&gt;0,(E157*$C156),0)</f>
        <v>134000</v>
      </c>
      <c r="F158" s="20">
        <f t="shared" si="35"/>
        <v>0</v>
      </c>
      <c r="G158" s="20">
        <f t="shared" si="35"/>
        <v>0</v>
      </c>
      <c r="H158" s="20">
        <f t="shared" si="35"/>
        <v>0</v>
      </c>
      <c r="I158" s="20">
        <f t="shared" si="35"/>
        <v>0</v>
      </c>
      <c r="J158" s="20">
        <f t="shared" si="35"/>
        <v>0</v>
      </c>
      <c r="K158" s="20">
        <f t="shared" si="35"/>
        <v>0</v>
      </c>
      <c r="L158" s="20">
        <f t="shared" si="35"/>
        <v>0</v>
      </c>
      <c r="M158" s="20">
        <f t="shared" si="35"/>
        <v>0</v>
      </c>
      <c r="N158" s="20">
        <f t="shared" si="35"/>
        <v>0</v>
      </c>
      <c r="O158" s="20">
        <f t="shared" si="35"/>
        <v>0</v>
      </c>
      <c r="P158" s="20">
        <f t="shared" si="35"/>
        <v>0</v>
      </c>
      <c r="Q158" s="20">
        <f t="shared" si="35"/>
        <v>0</v>
      </c>
      <c r="R158" s="20">
        <f t="shared" si="35"/>
        <v>0</v>
      </c>
      <c r="S158" s="20">
        <f>IF(S157&gt;0,(S157*$C156),0)</f>
        <v>0</v>
      </c>
      <c r="T158" s="126">
        <f t="shared" ref="T158:AN158" si="36">IF(T157&gt;0,(T157*$C156),0)</f>
        <v>0</v>
      </c>
      <c r="U158" s="20">
        <f t="shared" si="36"/>
        <v>0</v>
      </c>
      <c r="V158" s="20">
        <f t="shared" si="36"/>
        <v>0</v>
      </c>
      <c r="W158" s="20">
        <f t="shared" si="36"/>
        <v>0</v>
      </c>
      <c r="X158" s="20">
        <f t="shared" si="36"/>
        <v>0</v>
      </c>
      <c r="Y158" s="20">
        <f t="shared" si="36"/>
        <v>0</v>
      </c>
      <c r="Z158" s="20">
        <f t="shared" si="36"/>
        <v>0</v>
      </c>
      <c r="AA158" s="20">
        <f t="shared" si="36"/>
        <v>0</v>
      </c>
      <c r="AB158" s="20">
        <f t="shared" si="36"/>
        <v>0</v>
      </c>
      <c r="AC158" s="20">
        <f t="shared" si="36"/>
        <v>0</v>
      </c>
      <c r="AD158" s="20">
        <f t="shared" si="36"/>
        <v>0</v>
      </c>
      <c r="AE158" s="20">
        <f t="shared" si="36"/>
        <v>0</v>
      </c>
      <c r="AF158" s="20">
        <f t="shared" si="36"/>
        <v>0</v>
      </c>
      <c r="AG158" s="20">
        <f t="shared" si="36"/>
        <v>0</v>
      </c>
      <c r="AH158" s="20">
        <f t="shared" si="36"/>
        <v>0</v>
      </c>
      <c r="AI158" s="20">
        <f t="shared" si="36"/>
        <v>0</v>
      </c>
      <c r="AJ158" s="20">
        <f t="shared" si="36"/>
        <v>0</v>
      </c>
      <c r="AK158" s="20">
        <f t="shared" si="36"/>
        <v>0</v>
      </c>
      <c r="AL158" s="20">
        <f t="shared" si="36"/>
        <v>0</v>
      </c>
      <c r="AM158" s="20">
        <f t="shared" si="36"/>
        <v>0</v>
      </c>
      <c r="AN158" s="215">
        <f t="shared" si="36"/>
        <v>0</v>
      </c>
      <c r="AO158" s="215">
        <f>IF(AO157&gt;0,(AO157*$C156),0)</f>
        <v>0</v>
      </c>
      <c r="AP158" s="22">
        <f>IF(AP157&gt;0,(AP157*$C156),0)</f>
        <v>0</v>
      </c>
    </row>
    <row r="159" spans="1:42" ht="15.75" thickBot="1">
      <c r="A159" s="39"/>
      <c r="B159" s="7"/>
      <c r="C159" s="10"/>
      <c r="D159" s="463"/>
      <c r="E159" s="464"/>
      <c r="F159" s="464"/>
      <c r="G159" s="464"/>
      <c r="H159" s="464"/>
      <c r="I159" s="464"/>
      <c r="J159" s="464"/>
      <c r="K159" s="464"/>
      <c r="L159" s="464"/>
      <c r="M159" s="464"/>
      <c r="N159" s="464"/>
      <c r="O159" s="464"/>
      <c r="P159" s="464"/>
      <c r="Q159" s="464"/>
      <c r="R159" s="464"/>
      <c r="S159" s="464"/>
      <c r="T159" s="464"/>
      <c r="U159" s="464"/>
      <c r="V159" s="464"/>
      <c r="W159" s="464"/>
      <c r="X159" s="464"/>
      <c r="Y159" s="464"/>
      <c r="Z159" s="464"/>
      <c r="AA159" s="464"/>
      <c r="AB159" s="464"/>
      <c r="AC159" s="464"/>
      <c r="AD159" s="464"/>
      <c r="AE159" s="464"/>
      <c r="AF159" s="464"/>
      <c r="AG159" s="464"/>
      <c r="AH159" s="464"/>
      <c r="AI159" s="464"/>
      <c r="AJ159" s="464"/>
      <c r="AK159" s="464"/>
      <c r="AL159" s="464"/>
      <c r="AM159" s="464"/>
      <c r="AN159" s="464"/>
      <c r="AO159" s="464"/>
      <c r="AP159" s="465"/>
    </row>
    <row r="160" spans="1:42">
      <c r="A160" s="39"/>
      <c r="B160" s="4" t="s">
        <v>12</v>
      </c>
      <c r="C160" s="466" t="str">
        <f>Summary!B36</f>
        <v>A22</v>
      </c>
      <c r="D160" s="156" t="str">
        <f>Summary!C36</f>
        <v>Optimism Bias &amp; Contingency Management Review - Development Work</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6"/>
    </row>
    <row r="161" spans="1:42">
      <c r="A161" s="39"/>
      <c r="B161" s="7" t="s">
        <v>189</v>
      </c>
      <c r="C161" s="134" t="str">
        <f>'A22 Optimism Bias &amp; Contingency'!D47</f>
        <v>A - High</v>
      </c>
      <c r="D161" s="176">
        <f>VLOOKUP(C161,'Confidence Factors'!$B$6:$D$9,3)</f>
        <v>1</v>
      </c>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10"/>
    </row>
    <row r="162" spans="1:42">
      <c r="A162" s="39"/>
      <c r="B162" s="7" t="s">
        <v>30</v>
      </c>
      <c r="C162" s="128">
        <f>SUM(D162:AN162)</f>
        <v>100000</v>
      </c>
      <c r="D162" s="177">
        <v>0</v>
      </c>
      <c r="E162" s="454">
        <f>(('A22 Optimism Bias &amp; Contingency'!D70)/2)*'A22 Optimism Bias &amp; Contingency'!D75*'Calcs - Scen 4'!D161</f>
        <v>50000</v>
      </c>
      <c r="F162" s="454">
        <f>(('A22 Optimism Bias &amp; Contingency'!D70)/2)*'A22 Optimism Bias &amp; Contingency'!D75*'Calcs - Scen 4'!D161</f>
        <v>50000</v>
      </c>
      <c r="G162" s="454">
        <f>(('A20 hub performance mngt'!$D84)/3)*'A20 hub performance mngt'!$D89*'Calcs - Scen 4'!$D161</f>
        <v>0</v>
      </c>
      <c r="H162" s="454">
        <f>(('A20 hub performance mngt'!$D84)/3)*'A20 hub performance mngt'!$D89*'Calcs - Scen 4'!$D161</f>
        <v>0</v>
      </c>
      <c r="I162" s="3">
        <f>'A16 Waste Food Treatment Suppor'!H117*'A16 Waste Food Treatment Suppor'!D117*'Calcs - Scen 4'!D161</f>
        <v>0</v>
      </c>
      <c r="J162" s="3">
        <f>'A16 Waste Food Treatment Suppor'!I117*'A16 Waste Food Treatment Suppor'!D117*'Calcs - Scen 4'!D161</f>
        <v>0</v>
      </c>
      <c r="K162" s="3">
        <f>'A16 Waste Food Treatment Suppor'!J117*'A16 Waste Food Treatment Suppor'!D117*'Calcs - Scen 4'!D161</f>
        <v>0</v>
      </c>
      <c r="L162" s="3">
        <f>'A17 Wst Avoid Future Variations'!I108*'A17 Wst Avoid Future Variations'!D110*'Calcs - Scen 4'!D161</f>
        <v>0</v>
      </c>
      <c r="M162" s="3">
        <f>'A17 Wst Avoid Future Variations'!J108*'A17 Wst Avoid Future Variations'!D110*'Calcs - Scen 4'!D161</f>
        <v>0</v>
      </c>
      <c r="N162" s="3">
        <f>'A17 Wst Avoid Future Variations'!K108*'Calcs - Scen 4'!D161</f>
        <v>0</v>
      </c>
      <c r="O162" s="3">
        <f>'A17 Wst Avoid Future Variations'!L108*'A17 Wst Avoid Future Variations'!D110*'Calcs - Scen 4'!D161</f>
        <v>0</v>
      </c>
      <c r="P162" s="3">
        <f>'A17 Wst Avoid Future Variations'!M108*'A17 Wst Avoid Future Variations'!D110*'Calcs - Scen 4'!D161</f>
        <v>0</v>
      </c>
      <c r="Q162" s="3">
        <f>'A17 Wst Avoid Future Variations'!N108*'A17 Wst Avoid Future Variations'!D110*'Calcs - Scen 4'!D161</f>
        <v>0</v>
      </c>
      <c r="R162" s="3">
        <f>'A17 Wst Avoid Future Variations'!O108*'A17 Wst Avoid Future Variations'!D110*'Calcs - Scen 4'!D161</f>
        <v>0</v>
      </c>
      <c r="S162" s="3">
        <f>'A17 Wst Avoid Future Variations'!P108*'A17 Wst Avoid Future Variations'!D110*'Calcs - Scen 4'!D161</f>
        <v>0</v>
      </c>
      <c r="T162" s="127">
        <f>'A17 Wst Avoid Future Variations'!Q108*'A17 Wst Avoid Future Variations'!D110*'Calcs - Scen 4'!D161</f>
        <v>0</v>
      </c>
      <c r="U162" s="3">
        <f>'A17 Wst Avoid Future Variations'!R108*'A17 Wst Avoid Future Variations'!D110*'Calcs - Scen 4'!D161</f>
        <v>0</v>
      </c>
      <c r="V162" s="3">
        <f>'A17 Wst Avoid Future Variations'!S108*'A17 Wst Avoid Future Variations'!D110*'Calcs - Scen 4'!D161</f>
        <v>0</v>
      </c>
      <c r="W162" s="3">
        <f>'A17 Wst Avoid Future Variations'!T108*'A17 Wst Avoid Future Variations'!D110*'Calcs - Scen 4'!D161</f>
        <v>0</v>
      </c>
      <c r="X162" s="3">
        <f>'A17 Wst Avoid Future Variations'!U108*'A17 Wst Avoid Future Variations'!D110*'Calcs - Scen 4'!D161</f>
        <v>0</v>
      </c>
      <c r="Y162" s="3">
        <f>'A17 Wst Avoid Future Variations'!V108*'A17 Wst Avoid Future Variations'!D110*'Calcs - Scen 4'!D161</f>
        <v>0</v>
      </c>
      <c r="Z162" s="3">
        <f>'A17 Wst Avoid Future Variations'!W108*'A17 Wst Avoid Future Variations'!D110*'Calcs - Scen 4'!D161</f>
        <v>0</v>
      </c>
      <c r="AA162" s="3">
        <f>'A17 Wst Avoid Future Variations'!X108*'A17 Wst Avoid Future Variations'!D110*'Calcs - Scen 4'!D161</f>
        <v>0</v>
      </c>
      <c r="AB162" s="3">
        <f>'A17 Wst Avoid Future Variations'!Y108*'A17 Wst Avoid Future Variations'!D110*'Calcs - Scen 4'!D161</f>
        <v>0</v>
      </c>
      <c r="AC162" s="3">
        <f>'A17 Wst Avoid Future Variations'!Z108*'A17 Wst Avoid Future Variations'!D110*'Calcs - Scen 4'!D161</f>
        <v>0</v>
      </c>
      <c r="AD162" s="3">
        <f>'A17 Wst Avoid Future Variations'!AA108*'A17 Wst Avoid Future Variations'!D110*'Calcs - Scen 4'!D161</f>
        <v>0</v>
      </c>
      <c r="AE162" s="3">
        <f>'A17 Wst Avoid Future Variations'!AB108*'A17 Wst Avoid Future Variations'!D110*'Calcs - Scen 4'!D161</f>
        <v>0</v>
      </c>
      <c r="AF162" s="3">
        <v>0</v>
      </c>
      <c r="AG162" s="3">
        <v>0</v>
      </c>
      <c r="AH162" s="3">
        <v>0</v>
      </c>
      <c r="AI162" s="3">
        <v>0</v>
      </c>
      <c r="AJ162" s="3">
        <v>0</v>
      </c>
      <c r="AK162" s="3">
        <v>0</v>
      </c>
      <c r="AL162" s="3">
        <v>0</v>
      </c>
      <c r="AM162" s="3">
        <v>0</v>
      </c>
      <c r="AN162" s="213">
        <v>0</v>
      </c>
      <c r="AO162" s="213">
        <v>0</v>
      </c>
      <c r="AP162" s="9">
        <v>0</v>
      </c>
    </row>
    <row r="163" spans="1:42">
      <c r="A163" s="39"/>
      <c r="B163" s="7" t="s">
        <v>31</v>
      </c>
      <c r="C163" s="129">
        <f>NPV($C$7,F162:AO162)+D162+E162</f>
        <v>98309.178743961354</v>
      </c>
      <c r="D163" s="7"/>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10"/>
    </row>
    <row r="164" spans="1:42">
      <c r="A164" s="39"/>
      <c r="B164" s="7" t="s">
        <v>4</v>
      </c>
      <c r="C164" s="130" t="str">
        <f>IF(SUM(D164:AN164)&gt;1,"CHECK"," ")</f>
        <v xml:space="preserve"> </v>
      </c>
      <c r="D164" s="178">
        <v>0</v>
      </c>
      <c r="E164" s="15">
        <v>0.5</v>
      </c>
      <c r="F164" s="15">
        <v>0.5</v>
      </c>
      <c r="G164" s="15"/>
      <c r="H164" s="15"/>
      <c r="I164" s="15"/>
      <c r="J164" s="15"/>
      <c r="K164" s="15"/>
      <c r="L164" s="15"/>
      <c r="M164" s="15"/>
      <c r="N164" s="15"/>
      <c r="O164" s="15"/>
      <c r="P164" s="15"/>
      <c r="Q164" s="15"/>
      <c r="R164" s="15"/>
      <c r="S164" s="15"/>
      <c r="T164" s="125"/>
      <c r="U164" s="15"/>
      <c r="V164" s="15"/>
      <c r="W164" s="15"/>
      <c r="X164" s="15"/>
      <c r="Y164" s="15"/>
      <c r="Z164" s="15"/>
      <c r="AA164" s="15"/>
      <c r="AB164" s="15"/>
      <c r="AC164" s="15"/>
      <c r="AD164" s="15"/>
      <c r="AE164" s="15"/>
      <c r="AF164" s="15"/>
      <c r="AG164" s="15"/>
      <c r="AH164" s="15"/>
      <c r="AI164" s="15"/>
      <c r="AJ164" s="15"/>
      <c r="AK164" s="15"/>
      <c r="AL164" s="15"/>
      <c r="AM164" s="15"/>
      <c r="AN164" s="146"/>
      <c r="AO164" s="146"/>
      <c r="AP164" s="16"/>
    </row>
    <row r="165" spans="1:42" ht="15.75" thickBot="1">
      <c r="A165" s="39"/>
      <c r="B165" s="7"/>
      <c r="C165" s="10"/>
      <c r="D165" s="179">
        <f>IF(D164&gt;0,(D164*$C163),0)</f>
        <v>0</v>
      </c>
      <c r="E165" s="20">
        <f t="shared" ref="E165:R165" si="37">IF(E164&gt;0,(E164*$C163),0)</f>
        <v>49154.589371980677</v>
      </c>
      <c r="F165" s="20">
        <f t="shared" si="37"/>
        <v>49154.589371980677</v>
      </c>
      <c r="G165" s="20">
        <f t="shared" si="37"/>
        <v>0</v>
      </c>
      <c r="H165" s="20">
        <f t="shared" si="37"/>
        <v>0</v>
      </c>
      <c r="I165" s="20">
        <f t="shared" si="37"/>
        <v>0</v>
      </c>
      <c r="J165" s="20">
        <f t="shared" si="37"/>
        <v>0</v>
      </c>
      <c r="K165" s="20">
        <f t="shared" si="37"/>
        <v>0</v>
      </c>
      <c r="L165" s="20">
        <f t="shared" si="37"/>
        <v>0</v>
      </c>
      <c r="M165" s="20">
        <f t="shared" si="37"/>
        <v>0</v>
      </c>
      <c r="N165" s="20">
        <f t="shared" si="37"/>
        <v>0</v>
      </c>
      <c r="O165" s="20">
        <f t="shared" si="37"/>
        <v>0</v>
      </c>
      <c r="P165" s="20">
        <f t="shared" si="37"/>
        <v>0</v>
      </c>
      <c r="Q165" s="20">
        <f t="shared" si="37"/>
        <v>0</v>
      </c>
      <c r="R165" s="20">
        <f t="shared" si="37"/>
        <v>0</v>
      </c>
      <c r="S165" s="20">
        <f>IF(S164&gt;0,(S164*$C163),0)</f>
        <v>0</v>
      </c>
      <c r="T165" s="126">
        <f t="shared" ref="T165:AN165" si="38">IF(T164&gt;0,(T164*$C163),0)</f>
        <v>0</v>
      </c>
      <c r="U165" s="20">
        <f t="shared" si="38"/>
        <v>0</v>
      </c>
      <c r="V165" s="20">
        <f t="shared" si="38"/>
        <v>0</v>
      </c>
      <c r="W165" s="20">
        <f t="shared" si="38"/>
        <v>0</v>
      </c>
      <c r="X165" s="20">
        <f t="shared" si="38"/>
        <v>0</v>
      </c>
      <c r="Y165" s="20">
        <f t="shared" si="38"/>
        <v>0</v>
      </c>
      <c r="Z165" s="20">
        <f t="shared" si="38"/>
        <v>0</v>
      </c>
      <c r="AA165" s="20">
        <f t="shared" si="38"/>
        <v>0</v>
      </c>
      <c r="AB165" s="20">
        <f t="shared" si="38"/>
        <v>0</v>
      </c>
      <c r="AC165" s="20">
        <f t="shared" si="38"/>
        <v>0</v>
      </c>
      <c r="AD165" s="20">
        <f t="shared" si="38"/>
        <v>0</v>
      </c>
      <c r="AE165" s="20">
        <f t="shared" si="38"/>
        <v>0</v>
      </c>
      <c r="AF165" s="20">
        <f t="shared" si="38"/>
        <v>0</v>
      </c>
      <c r="AG165" s="20">
        <f t="shared" si="38"/>
        <v>0</v>
      </c>
      <c r="AH165" s="20">
        <f t="shared" si="38"/>
        <v>0</v>
      </c>
      <c r="AI165" s="20">
        <f t="shared" si="38"/>
        <v>0</v>
      </c>
      <c r="AJ165" s="20">
        <f t="shared" si="38"/>
        <v>0</v>
      </c>
      <c r="AK165" s="20">
        <f t="shared" si="38"/>
        <v>0</v>
      </c>
      <c r="AL165" s="20">
        <f t="shared" si="38"/>
        <v>0</v>
      </c>
      <c r="AM165" s="20">
        <f t="shared" si="38"/>
        <v>0</v>
      </c>
      <c r="AN165" s="215">
        <f t="shared" si="38"/>
        <v>0</v>
      </c>
      <c r="AO165" s="215">
        <f>IF(AO164&gt;0,(AO164*$C163),0)</f>
        <v>0</v>
      </c>
      <c r="AP165" s="22">
        <f>IF(AP164&gt;0,(AP164*$C163),0)</f>
        <v>0</v>
      </c>
    </row>
    <row r="166" spans="1:42" ht="15.75" thickBot="1">
      <c r="A166" s="39"/>
      <c r="B166" s="7"/>
      <c r="C166" s="10"/>
      <c r="D166" s="463"/>
      <c r="E166" s="464"/>
      <c r="F166" s="464"/>
      <c r="G166" s="464"/>
      <c r="H166" s="464"/>
      <c r="I166" s="464"/>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464"/>
      <c r="AK166" s="464"/>
      <c r="AL166" s="464"/>
      <c r="AM166" s="464"/>
      <c r="AN166" s="464"/>
      <c r="AO166" s="464"/>
      <c r="AP166" s="465"/>
    </row>
    <row r="167" spans="1:42">
      <c r="A167" s="39"/>
      <c r="B167" s="4" t="s">
        <v>12</v>
      </c>
      <c r="C167" s="133" t="str">
        <f>Summary!B37</f>
        <v>B1</v>
      </c>
      <c r="D167" s="156" t="str">
        <f>Summary!C37</f>
        <v xml:space="preserve">TIF - Development of Model </v>
      </c>
      <c r="E167" s="21"/>
      <c r="F167" s="21"/>
      <c r="G167" s="21"/>
      <c r="H167" s="21"/>
      <c r="I167" s="21"/>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6"/>
    </row>
    <row r="168" spans="1:42">
      <c r="A168" s="39"/>
      <c r="B168" s="7" t="s">
        <v>189</v>
      </c>
      <c r="C168" s="134" t="str">
        <f>'B1 TIF Develop'!D47</f>
        <v>C - Good</v>
      </c>
      <c r="D168" s="176">
        <f>VLOOKUP(C168,'Confidence Factors'!$B$6:$D$9,3)</f>
        <v>0.75</v>
      </c>
      <c r="E168" s="95"/>
      <c r="F168" s="95"/>
      <c r="G168" s="95"/>
      <c r="H168" s="95"/>
      <c r="I168" s="95"/>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10"/>
    </row>
    <row r="169" spans="1:42">
      <c r="A169" s="39"/>
      <c r="B169" s="7" t="s">
        <v>30</v>
      </c>
      <c r="C169" s="128">
        <f>SUM(D169:AN169)</f>
        <v>61355000</v>
      </c>
      <c r="D169" s="180">
        <v>0</v>
      </c>
      <c r="E169" s="19">
        <v>0</v>
      </c>
      <c r="F169" s="19">
        <f>14490000*D168*'B1 TIF Develop'!D75</f>
        <v>3622500</v>
      </c>
      <c r="G169" s="19">
        <f>19100000*D168*'B1 TIF Develop'!D75</f>
        <v>4775000</v>
      </c>
      <c r="H169" s="19">
        <f>49000000*D168*'B1 TIF Develop'!D75</f>
        <v>12250000</v>
      </c>
      <c r="I169" s="19">
        <f>73000000*D168*'B1 TIF Develop'!D75</f>
        <v>18250000</v>
      </c>
      <c r="J169" s="19">
        <f>24240000*D168*'B1 TIF Develop'!D75</f>
        <v>6060000</v>
      </c>
      <c r="K169" s="454">
        <f>13310000*D168*'B1 TIF Develop'!D75</f>
        <v>3327500</v>
      </c>
      <c r="L169" s="454">
        <f>31940000*D168*'B1 TIF Develop'!D75</f>
        <v>7985000</v>
      </c>
      <c r="M169" s="454">
        <f>19090000*D168*'B1 TIF Develop'!D75</f>
        <v>4772500</v>
      </c>
      <c r="N169" s="454">
        <f>1250000*D168*'B1 TIF Develop'!D75</f>
        <v>312500</v>
      </c>
      <c r="O169" s="3">
        <v>0</v>
      </c>
      <c r="P169" s="3">
        <v>0</v>
      </c>
      <c r="Q169" s="3">
        <v>0</v>
      </c>
      <c r="R169" s="3">
        <v>0</v>
      </c>
      <c r="S169" s="3">
        <v>0</v>
      </c>
      <c r="T169" s="127">
        <v>0</v>
      </c>
      <c r="U169" s="3">
        <v>0</v>
      </c>
      <c r="V169" s="3">
        <v>0</v>
      </c>
      <c r="W169" s="3">
        <v>0</v>
      </c>
      <c r="X169" s="3">
        <v>0</v>
      </c>
      <c r="Y169" s="3">
        <v>0</v>
      </c>
      <c r="Z169" s="3">
        <v>0</v>
      </c>
      <c r="AA169" s="3">
        <v>0</v>
      </c>
      <c r="AB169" s="3">
        <v>0</v>
      </c>
      <c r="AC169" s="3">
        <v>0</v>
      </c>
      <c r="AD169" s="3">
        <v>0</v>
      </c>
      <c r="AE169" s="3">
        <v>0</v>
      </c>
      <c r="AF169" s="3">
        <v>0</v>
      </c>
      <c r="AG169" s="3">
        <v>0</v>
      </c>
      <c r="AH169" s="3">
        <v>0</v>
      </c>
      <c r="AI169" s="3">
        <v>0</v>
      </c>
      <c r="AJ169" s="3">
        <v>0</v>
      </c>
      <c r="AK169" s="3">
        <v>0</v>
      </c>
      <c r="AL169" s="3">
        <v>0</v>
      </c>
      <c r="AM169" s="3">
        <v>0</v>
      </c>
      <c r="AN169" s="213">
        <v>0</v>
      </c>
      <c r="AO169" s="213">
        <v>0</v>
      </c>
      <c r="AP169" s="9">
        <v>0</v>
      </c>
    </row>
    <row r="170" spans="1:42">
      <c r="A170" s="39"/>
      <c r="B170" s="7" t="s">
        <v>31</v>
      </c>
      <c r="C170" s="129">
        <f>NPV($C$7,F169:AO169)+D169+E169</f>
        <v>52849133.581190094</v>
      </c>
      <c r="D170" s="7"/>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10"/>
    </row>
    <row r="171" spans="1:42">
      <c r="A171" s="39"/>
      <c r="B171" s="7" t="s">
        <v>4</v>
      </c>
      <c r="C171" s="130" t="str">
        <f>IF(SUM(D171:AN171)&gt;1,"CHECK"," ")</f>
        <v xml:space="preserve"> </v>
      </c>
      <c r="D171" s="178">
        <v>0.5</v>
      </c>
      <c r="E171" s="15">
        <v>0.3</v>
      </c>
      <c r="F171" s="15">
        <v>0.2</v>
      </c>
      <c r="G171" s="15"/>
      <c r="H171" s="15"/>
      <c r="I171" s="15"/>
      <c r="J171" s="15"/>
      <c r="K171" s="15"/>
      <c r="L171" s="15"/>
      <c r="M171" s="15"/>
      <c r="N171" s="15"/>
      <c r="O171" s="15"/>
      <c r="P171" s="15"/>
      <c r="Q171" s="15"/>
      <c r="R171" s="15"/>
      <c r="S171" s="15"/>
      <c r="T171" s="125"/>
      <c r="U171" s="15"/>
      <c r="V171" s="15"/>
      <c r="W171" s="15"/>
      <c r="X171" s="15"/>
      <c r="Y171" s="15"/>
      <c r="Z171" s="15"/>
      <c r="AA171" s="15"/>
      <c r="AB171" s="15"/>
      <c r="AC171" s="15"/>
      <c r="AD171" s="15"/>
      <c r="AE171" s="15"/>
      <c r="AF171" s="15"/>
      <c r="AG171" s="15"/>
      <c r="AH171" s="15"/>
      <c r="AI171" s="15"/>
      <c r="AJ171" s="15"/>
      <c r="AK171" s="15"/>
      <c r="AL171" s="15"/>
      <c r="AM171" s="15"/>
      <c r="AN171" s="146"/>
      <c r="AO171" s="146"/>
      <c r="AP171" s="16"/>
    </row>
    <row r="172" spans="1:42" ht="15.75" thickBot="1">
      <c r="A172" s="39"/>
      <c r="B172" s="11" t="s">
        <v>32</v>
      </c>
      <c r="C172" s="51"/>
      <c r="D172" s="179">
        <f>IF(D171&gt;0,(D171*$C170),0)</f>
        <v>26424566.790595047</v>
      </c>
      <c r="E172" s="20">
        <f t="shared" ref="E172:AN172" si="39">IF(E171&gt;0,(E171*$C170),0)</f>
        <v>15854740.074357027</v>
      </c>
      <c r="F172" s="20">
        <f t="shared" si="39"/>
        <v>10569826.71623802</v>
      </c>
      <c r="G172" s="20">
        <f t="shared" si="39"/>
        <v>0</v>
      </c>
      <c r="H172" s="20">
        <f t="shared" si="39"/>
        <v>0</v>
      </c>
      <c r="I172" s="20">
        <f t="shared" si="39"/>
        <v>0</v>
      </c>
      <c r="J172" s="20">
        <f t="shared" si="39"/>
        <v>0</v>
      </c>
      <c r="K172" s="20">
        <f t="shared" si="39"/>
        <v>0</v>
      </c>
      <c r="L172" s="20">
        <f t="shared" si="39"/>
        <v>0</v>
      </c>
      <c r="M172" s="20">
        <f t="shared" si="39"/>
        <v>0</v>
      </c>
      <c r="N172" s="20">
        <f t="shared" si="39"/>
        <v>0</v>
      </c>
      <c r="O172" s="20">
        <f t="shared" si="39"/>
        <v>0</v>
      </c>
      <c r="P172" s="20">
        <f t="shared" si="39"/>
        <v>0</v>
      </c>
      <c r="Q172" s="20">
        <f t="shared" si="39"/>
        <v>0</v>
      </c>
      <c r="R172" s="20">
        <f t="shared" si="39"/>
        <v>0</v>
      </c>
      <c r="S172" s="20">
        <f>IF(S171&gt;0,(S171*$C170),0)</f>
        <v>0</v>
      </c>
      <c r="T172" s="126">
        <f t="shared" si="39"/>
        <v>0</v>
      </c>
      <c r="U172" s="20">
        <f t="shared" si="39"/>
        <v>0</v>
      </c>
      <c r="V172" s="20">
        <f t="shared" si="39"/>
        <v>0</v>
      </c>
      <c r="W172" s="20">
        <f t="shared" si="39"/>
        <v>0</v>
      </c>
      <c r="X172" s="20">
        <f t="shared" si="39"/>
        <v>0</v>
      </c>
      <c r="Y172" s="20">
        <f t="shared" si="39"/>
        <v>0</v>
      </c>
      <c r="Z172" s="20">
        <f t="shared" si="39"/>
        <v>0</v>
      </c>
      <c r="AA172" s="20">
        <f t="shared" si="39"/>
        <v>0</v>
      </c>
      <c r="AB172" s="20">
        <f t="shared" si="39"/>
        <v>0</v>
      </c>
      <c r="AC172" s="20">
        <f t="shared" si="39"/>
        <v>0</v>
      </c>
      <c r="AD172" s="20">
        <f t="shared" si="39"/>
        <v>0</v>
      </c>
      <c r="AE172" s="20">
        <f t="shared" si="39"/>
        <v>0</v>
      </c>
      <c r="AF172" s="20">
        <f t="shared" si="39"/>
        <v>0</v>
      </c>
      <c r="AG172" s="20">
        <f t="shared" si="39"/>
        <v>0</v>
      </c>
      <c r="AH172" s="20">
        <f t="shared" si="39"/>
        <v>0</v>
      </c>
      <c r="AI172" s="20">
        <f t="shared" si="39"/>
        <v>0</v>
      </c>
      <c r="AJ172" s="20">
        <f t="shared" si="39"/>
        <v>0</v>
      </c>
      <c r="AK172" s="20">
        <f t="shared" si="39"/>
        <v>0</v>
      </c>
      <c r="AL172" s="20">
        <f t="shared" si="39"/>
        <v>0</v>
      </c>
      <c r="AM172" s="20">
        <f t="shared" si="39"/>
        <v>0</v>
      </c>
      <c r="AN172" s="215">
        <f t="shared" si="39"/>
        <v>0</v>
      </c>
      <c r="AO172" s="215">
        <f>IF(AO171&gt;0,(AO171*$C170),0)</f>
        <v>0</v>
      </c>
      <c r="AP172" s="22">
        <f>IF(AP171&gt;0,(AP171*$C170),0)</f>
        <v>0</v>
      </c>
    </row>
    <row r="173" spans="1:42" ht="15.75" thickBot="1">
      <c r="A173" s="39"/>
      <c r="B173" s="7"/>
      <c r="C173" s="10"/>
      <c r="D173" s="221"/>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222"/>
    </row>
    <row r="174" spans="1:42">
      <c r="A174" s="39"/>
      <c r="B174" s="4" t="s">
        <v>12</v>
      </c>
      <c r="C174" s="133" t="str">
        <f>Summary!B38</f>
        <v>B2</v>
      </c>
      <c r="D174" s="156" t="str">
        <f>Summary!C38</f>
        <v xml:space="preserve">NHT - Development of Model </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6"/>
    </row>
    <row r="175" spans="1:42">
      <c r="A175" s="39"/>
      <c r="B175" s="7" t="s">
        <v>189</v>
      </c>
      <c r="C175" s="134" t="str">
        <f>'B2 NHT Develop'!D47</f>
        <v>B - Very Good</v>
      </c>
      <c r="D175" s="176">
        <f>VLOOKUP(C175,'Confidence Factors'!$B$6:$D$9,3)</f>
        <v>0.9</v>
      </c>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10"/>
    </row>
    <row r="176" spans="1:42">
      <c r="A176" s="39"/>
      <c r="B176" s="7" t="s">
        <v>30</v>
      </c>
      <c r="C176" s="128">
        <f>SUM(D176:AN176)</f>
        <v>30294000</v>
      </c>
      <c r="D176" s="180">
        <v>0</v>
      </c>
      <c r="E176" s="19">
        <v>0</v>
      </c>
      <c r="F176" s="19">
        <f>4000000*'B2 NHT Develop'!D75*'Calcs - Scen 4'!D175</f>
        <v>1188000</v>
      </c>
      <c r="G176" s="19">
        <f>98000000*'B2 NHT Develop'!D75*'Calcs - Scen 4'!D175</f>
        <v>29106000</v>
      </c>
      <c r="H176" s="19">
        <f>'B2 NHT Develop'!K$71*'B2 NHT Develop'!$D75*'Calcs - Scen 4'!$D175</f>
        <v>0</v>
      </c>
      <c r="I176" s="19">
        <f>'B2 NHT Develop'!L$71*'B2 NHT Develop'!$D75*'Calcs - Scen 4'!$D175</f>
        <v>0</v>
      </c>
      <c r="J176" s="19">
        <f>'B2 NHT Develop'!M$71*'B2 NHT Develop'!$D75*'Calcs - Scen 4'!$D175</f>
        <v>0</v>
      </c>
      <c r="K176" s="19">
        <f>'B2 NHT Develop'!N$71*'B2 NHT Develop'!$D75*'Calcs - Scen 4'!$D175</f>
        <v>0</v>
      </c>
      <c r="L176" s="19">
        <f>'B2 NHT Develop'!O$71*'B2 NHT Develop'!$D75*'Calcs - Scen 4'!$D175</f>
        <v>0</v>
      </c>
      <c r="M176" s="19">
        <f>'B2 NHT Develop'!P$71*'B2 NHT Develop'!$D75*'Calcs - Scen 4'!$D175</f>
        <v>0</v>
      </c>
      <c r="N176" s="19">
        <f>'B2 NHT Develop'!Q$71*'B2 NHT Develop'!$D75*'Calcs - Scen 4'!$D175</f>
        <v>0</v>
      </c>
      <c r="O176" s="3">
        <v>0</v>
      </c>
      <c r="P176" s="3">
        <v>0</v>
      </c>
      <c r="Q176" s="3">
        <v>0</v>
      </c>
      <c r="R176" s="3">
        <v>0</v>
      </c>
      <c r="S176" s="3">
        <v>0</v>
      </c>
      <c r="T176" s="127">
        <v>0</v>
      </c>
      <c r="U176" s="3">
        <v>0</v>
      </c>
      <c r="V176" s="3">
        <v>0</v>
      </c>
      <c r="W176" s="3">
        <v>0</v>
      </c>
      <c r="X176" s="3">
        <v>0</v>
      </c>
      <c r="Y176" s="3">
        <v>0</v>
      </c>
      <c r="Z176" s="3">
        <v>0</v>
      </c>
      <c r="AA176" s="3">
        <v>0</v>
      </c>
      <c r="AB176" s="3">
        <v>0</v>
      </c>
      <c r="AC176" s="3">
        <v>0</v>
      </c>
      <c r="AD176" s="3">
        <v>0</v>
      </c>
      <c r="AE176" s="3">
        <v>0</v>
      </c>
      <c r="AF176" s="3">
        <v>0</v>
      </c>
      <c r="AG176" s="3">
        <v>0</v>
      </c>
      <c r="AH176" s="3">
        <v>0</v>
      </c>
      <c r="AI176" s="3">
        <v>0</v>
      </c>
      <c r="AJ176" s="3">
        <v>0</v>
      </c>
      <c r="AK176" s="3">
        <v>0</v>
      </c>
      <c r="AL176" s="3">
        <v>0</v>
      </c>
      <c r="AM176" s="3">
        <v>0</v>
      </c>
      <c r="AN176" s="213">
        <v>0</v>
      </c>
      <c r="AO176" s="213">
        <v>0</v>
      </c>
      <c r="AP176" s="9">
        <v>0</v>
      </c>
    </row>
    <row r="177" spans="1:42">
      <c r="A177" s="39"/>
      <c r="B177" s="7" t="s">
        <v>31</v>
      </c>
      <c r="C177" s="129">
        <f>NPV($C$7,F176:AO176)+D176+E176</f>
        <v>28318588.53182105</v>
      </c>
      <c r="D177" s="7"/>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10"/>
    </row>
    <row r="178" spans="1:42">
      <c r="A178" s="39"/>
      <c r="B178" s="7" t="s">
        <v>4</v>
      </c>
      <c r="C178" s="130" t="str">
        <f>IF(SUM(D178:AN178)&gt;1,"CHECK"," ")</f>
        <v xml:space="preserve"> </v>
      </c>
      <c r="D178" s="178">
        <v>0.2</v>
      </c>
      <c r="E178" s="15">
        <v>0.6</v>
      </c>
      <c r="F178" s="15">
        <v>0.2</v>
      </c>
      <c r="G178" s="15"/>
      <c r="H178" s="15"/>
      <c r="I178" s="15"/>
      <c r="J178" s="15"/>
      <c r="K178" s="15"/>
      <c r="L178" s="15"/>
      <c r="M178" s="15"/>
      <c r="N178" s="15"/>
      <c r="O178" s="15"/>
      <c r="P178" s="15"/>
      <c r="Q178" s="15"/>
      <c r="R178" s="15"/>
      <c r="S178" s="15"/>
      <c r="T178" s="125"/>
      <c r="U178" s="15"/>
      <c r="V178" s="15"/>
      <c r="W178" s="15"/>
      <c r="X178" s="15"/>
      <c r="Y178" s="15"/>
      <c r="Z178" s="15"/>
      <c r="AA178" s="15"/>
      <c r="AB178" s="15"/>
      <c r="AC178" s="15"/>
      <c r="AD178" s="15"/>
      <c r="AE178" s="15"/>
      <c r="AF178" s="15"/>
      <c r="AG178" s="15"/>
      <c r="AH178" s="15"/>
      <c r="AI178" s="15"/>
      <c r="AJ178" s="15"/>
      <c r="AK178" s="15"/>
      <c r="AL178" s="15"/>
      <c r="AM178" s="15"/>
      <c r="AN178" s="146"/>
      <c r="AO178" s="146"/>
      <c r="AP178" s="16"/>
    </row>
    <row r="179" spans="1:42" ht="15.75" thickBot="1">
      <c r="A179" s="39"/>
      <c r="B179" s="11" t="s">
        <v>32</v>
      </c>
      <c r="C179" s="51"/>
      <c r="D179" s="179">
        <f>IF(D178&gt;0,(D178*$C177),0)</f>
        <v>5663717.7063642107</v>
      </c>
      <c r="E179" s="20">
        <f t="shared" ref="E179:AN179" si="40">IF(E178&gt;0,(E178*$C177),0)</f>
        <v>16991153.119092628</v>
      </c>
      <c r="F179" s="20">
        <f t="shared" si="40"/>
        <v>5663717.7063642107</v>
      </c>
      <c r="G179" s="20">
        <f t="shared" si="40"/>
        <v>0</v>
      </c>
      <c r="H179" s="20">
        <f t="shared" si="40"/>
        <v>0</v>
      </c>
      <c r="I179" s="20">
        <f t="shared" si="40"/>
        <v>0</v>
      </c>
      <c r="J179" s="20">
        <f t="shared" si="40"/>
        <v>0</v>
      </c>
      <c r="K179" s="20">
        <f t="shared" si="40"/>
        <v>0</v>
      </c>
      <c r="L179" s="20">
        <f t="shared" si="40"/>
        <v>0</v>
      </c>
      <c r="M179" s="20">
        <f t="shared" si="40"/>
        <v>0</v>
      </c>
      <c r="N179" s="20">
        <f t="shared" si="40"/>
        <v>0</v>
      </c>
      <c r="O179" s="20">
        <f t="shared" si="40"/>
        <v>0</v>
      </c>
      <c r="P179" s="20">
        <f t="shared" si="40"/>
        <v>0</v>
      </c>
      <c r="Q179" s="20">
        <f t="shared" si="40"/>
        <v>0</v>
      </c>
      <c r="R179" s="20">
        <f t="shared" si="40"/>
        <v>0</v>
      </c>
      <c r="S179" s="20">
        <f>IF(S178&gt;0,(S178*$C177),0)</f>
        <v>0</v>
      </c>
      <c r="T179" s="126">
        <f t="shared" si="40"/>
        <v>0</v>
      </c>
      <c r="U179" s="20">
        <f t="shared" si="40"/>
        <v>0</v>
      </c>
      <c r="V179" s="20">
        <f t="shared" si="40"/>
        <v>0</v>
      </c>
      <c r="W179" s="20">
        <f t="shared" si="40"/>
        <v>0</v>
      </c>
      <c r="X179" s="20">
        <f t="shared" si="40"/>
        <v>0</v>
      </c>
      <c r="Y179" s="20">
        <f t="shared" si="40"/>
        <v>0</v>
      </c>
      <c r="Z179" s="20">
        <f t="shared" si="40"/>
        <v>0</v>
      </c>
      <c r="AA179" s="20">
        <f t="shared" si="40"/>
        <v>0</v>
      </c>
      <c r="AB179" s="20">
        <f t="shared" si="40"/>
        <v>0</v>
      </c>
      <c r="AC179" s="20">
        <f t="shared" si="40"/>
        <v>0</v>
      </c>
      <c r="AD179" s="20">
        <f t="shared" si="40"/>
        <v>0</v>
      </c>
      <c r="AE179" s="20">
        <f t="shared" si="40"/>
        <v>0</v>
      </c>
      <c r="AF179" s="20">
        <f t="shared" si="40"/>
        <v>0</v>
      </c>
      <c r="AG179" s="20">
        <f t="shared" si="40"/>
        <v>0</v>
      </c>
      <c r="AH179" s="20">
        <f t="shared" si="40"/>
        <v>0</v>
      </c>
      <c r="AI179" s="20">
        <f t="shared" si="40"/>
        <v>0</v>
      </c>
      <c r="AJ179" s="20">
        <f t="shared" si="40"/>
        <v>0</v>
      </c>
      <c r="AK179" s="20">
        <f t="shared" si="40"/>
        <v>0</v>
      </c>
      <c r="AL179" s="20">
        <f t="shared" si="40"/>
        <v>0</v>
      </c>
      <c r="AM179" s="20">
        <f t="shared" si="40"/>
        <v>0</v>
      </c>
      <c r="AN179" s="215">
        <f t="shared" si="40"/>
        <v>0</v>
      </c>
      <c r="AO179" s="215">
        <f>IF(AO178&gt;0,(AO178*$C177),0)</f>
        <v>0</v>
      </c>
      <c r="AP179" s="22">
        <f>IF(AP178&gt;0,(AP178*$C177),0)</f>
        <v>0</v>
      </c>
    </row>
    <row r="180" spans="1:42" ht="15.75" thickBot="1">
      <c r="A180" s="39"/>
      <c r="B180" s="7"/>
      <c r="C180" s="10"/>
      <c r="D180" s="221"/>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222"/>
    </row>
    <row r="181" spans="1:42">
      <c r="A181" s="39"/>
      <c r="B181" s="4" t="s">
        <v>12</v>
      </c>
      <c r="C181" s="133" t="str">
        <f>Summary!B39</f>
        <v>C1</v>
      </c>
      <c r="D181" s="156" t="str">
        <f>Summary!C39</f>
        <v>Western Isles and Orkney Schools Projects - Finance Structure</v>
      </c>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6"/>
    </row>
    <row r="182" spans="1:42">
      <c r="A182" s="39"/>
      <c r="B182" s="7" t="s">
        <v>189</v>
      </c>
      <c r="C182" s="134" t="str">
        <f>'C1 West &amp; Ork'!D47</f>
        <v>A - High</v>
      </c>
      <c r="D182" s="176">
        <f>VLOOKUP(C182,'Confidence Factors'!$B$6:$D$9,3)</f>
        <v>1</v>
      </c>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10"/>
    </row>
    <row r="183" spans="1:42">
      <c r="A183" s="39"/>
      <c r="B183" s="7" t="s">
        <v>30</v>
      </c>
      <c r="C183" s="128">
        <f>SUM(D183:AN183)</f>
        <v>64500000</v>
      </c>
      <c r="D183" s="177">
        <v>0</v>
      </c>
      <c r="E183" s="19">
        <v>0</v>
      </c>
      <c r="F183" s="19">
        <v>0</v>
      </c>
      <c r="G183" s="19">
        <f>(('C1 West &amp; Ork'!$D70)/30)*'C1 West &amp; Ork'!$D75*'Calcs - Scen 4'!$D182</f>
        <v>2150000</v>
      </c>
      <c r="H183" s="19">
        <f>(('C1 West &amp; Ork'!$D70)/30)*'C1 West &amp; Ork'!$D75*'Calcs - Scen 4'!$D182</f>
        <v>2150000</v>
      </c>
      <c r="I183" s="19">
        <f>(('C1 West &amp; Ork'!$D70)/30)*'C1 West &amp; Ork'!$D75*'Calcs - Scen 4'!$D182</f>
        <v>2150000</v>
      </c>
      <c r="J183" s="19">
        <f>(('C1 West &amp; Ork'!$D70)/30)*'C1 West &amp; Ork'!$D75*'Calcs - Scen 4'!$D182</f>
        <v>2150000</v>
      </c>
      <c r="K183" s="19">
        <f>(('C1 West &amp; Ork'!$D70)/30)*'C1 West &amp; Ork'!$D75*'Calcs - Scen 4'!$D182</f>
        <v>2150000</v>
      </c>
      <c r="L183" s="19">
        <f>(('C1 West &amp; Ork'!$D70)/30)*'C1 West &amp; Ork'!$D75*'Calcs - Scen 4'!$D182</f>
        <v>2150000</v>
      </c>
      <c r="M183" s="19">
        <f>(('C1 West &amp; Ork'!$D70)/30)*'C1 West &amp; Ork'!$D75*'Calcs - Scen 4'!$D182</f>
        <v>2150000</v>
      </c>
      <c r="N183" s="19">
        <f>(('C1 West &amp; Ork'!$D70)/30)*'C1 West &amp; Ork'!$D75*'Calcs - Scen 4'!$D182</f>
        <v>2150000</v>
      </c>
      <c r="O183" s="19">
        <f>(('C1 West &amp; Ork'!$D70)/30)*'C1 West &amp; Ork'!$D75*'Calcs - Scen 4'!$D182</f>
        <v>2150000</v>
      </c>
      <c r="P183" s="19">
        <f>(('C1 West &amp; Ork'!$D70)/30)*'C1 West &amp; Ork'!$D75*'Calcs - Scen 4'!$D182</f>
        <v>2150000</v>
      </c>
      <c r="Q183" s="19">
        <f>(('C1 West &amp; Ork'!$D70)/30)*'C1 West &amp; Ork'!$D75*'Calcs - Scen 4'!$D182</f>
        <v>2150000</v>
      </c>
      <c r="R183" s="19">
        <f>(('C1 West &amp; Ork'!$D70)/30)*'C1 West &amp; Ork'!$D75*'Calcs - Scen 4'!$D182</f>
        <v>2150000</v>
      </c>
      <c r="S183" s="19">
        <f>(('C1 West &amp; Ork'!$D70)/30)*'C1 West &amp; Ork'!$D75*'Calcs - Scen 4'!$D182</f>
        <v>2150000</v>
      </c>
      <c r="T183" s="19">
        <f>(('C1 West &amp; Ork'!$D70)/30)*'C1 West &amp; Ork'!$D75*'Calcs - Scen 4'!$D182</f>
        <v>2150000</v>
      </c>
      <c r="U183" s="19">
        <f>(('C1 West &amp; Ork'!$D70)/30)*'C1 West &amp; Ork'!$D75*'Calcs - Scen 4'!$D182</f>
        <v>2150000</v>
      </c>
      <c r="V183" s="19">
        <f>(('C1 West &amp; Ork'!$D70)/30)*'C1 West &amp; Ork'!$D75*'Calcs - Scen 4'!$D182</f>
        <v>2150000</v>
      </c>
      <c r="W183" s="19">
        <f>(('C1 West &amp; Ork'!$D70)/30)*'C1 West &amp; Ork'!$D75*'Calcs - Scen 4'!$D182</f>
        <v>2150000</v>
      </c>
      <c r="X183" s="19">
        <f>(('C1 West &amp; Ork'!$D70)/30)*'C1 West &amp; Ork'!$D75*'Calcs - Scen 4'!$D182</f>
        <v>2150000</v>
      </c>
      <c r="Y183" s="19">
        <f>(('C1 West &amp; Ork'!$D70)/30)*'C1 West &amp; Ork'!$D75*'Calcs - Scen 4'!$D182</f>
        <v>2150000</v>
      </c>
      <c r="Z183" s="19">
        <f>(('C1 West &amp; Ork'!$D70)/30)*'C1 West &amp; Ork'!$D75*'Calcs - Scen 4'!$D182</f>
        <v>2150000</v>
      </c>
      <c r="AA183" s="19">
        <f>(('C1 West &amp; Ork'!$D70)/30)*'C1 West &amp; Ork'!$D75*'Calcs - Scen 4'!$D182</f>
        <v>2150000</v>
      </c>
      <c r="AB183" s="19">
        <f>(('C1 West &amp; Ork'!$D70)/30)*'C1 West &amp; Ork'!$D75*'Calcs - Scen 4'!$D182</f>
        <v>2150000</v>
      </c>
      <c r="AC183" s="19">
        <f>(('C1 West &amp; Ork'!$D70)/30)*'C1 West &amp; Ork'!$D75*'Calcs - Scen 4'!$D182</f>
        <v>2150000</v>
      </c>
      <c r="AD183" s="19">
        <f>(('C1 West &amp; Ork'!$D70)/30)*'C1 West &amp; Ork'!$D75*'Calcs - Scen 4'!$D182</f>
        <v>2150000</v>
      </c>
      <c r="AE183" s="19">
        <f>(('C1 West &amp; Ork'!$D70)/30)*'C1 West &amp; Ork'!$D75*'Calcs - Scen 4'!$D182</f>
        <v>2150000</v>
      </c>
      <c r="AF183" s="19">
        <f>(('C1 West &amp; Ork'!$D70)/30)*'C1 West &amp; Ork'!$D75*'Calcs - Scen 4'!$D182</f>
        <v>2150000</v>
      </c>
      <c r="AG183" s="19">
        <f>(('C1 West &amp; Ork'!$D70)/30)*'C1 West &amp; Ork'!$D75*'Calcs - Scen 4'!$D182</f>
        <v>2150000</v>
      </c>
      <c r="AH183" s="19">
        <f>(('C1 West &amp; Ork'!$D70)/30)*'C1 West &amp; Ork'!$D75*'Calcs - Scen 4'!$D182</f>
        <v>2150000</v>
      </c>
      <c r="AI183" s="19">
        <f>(('C1 West &amp; Ork'!$D70)/30)*'C1 West &amp; Ork'!$D75*'Calcs - Scen 4'!$D182</f>
        <v>2150000</v>
      </c>
      <c r="AJ183" s="19">
        <f>(('C1 West &amp; Ork'!$D70)/30)*'C1 West &amp; Ork'!$D75*'Calcs - Scen 4'!$D182</f>
        <v>2150000</v>
      </c>
      <c r="AK183" s="19">
        <v>0</v>
      </c>
      <c r="AL183" s="19">
        <v>0</v>
      </c>
      <c r="AM183" s="19">
        <v>0</v>
      </c>
      <c r="AN183" s="216">
        <v>0</v>
      </c>
      <c r="AO183" s="216">
        <v>0</v>
      </c>
      <c r="AP183" s="23">
        <v>0</v>
      </c>
    </row>
    <row r="184" spans="1:42">
      <c r="A184" s="39"/>
      <c r="B184" s="7" t="s">
        <v>31</v>
      </c>
      <c r="C184" s="129">
        <f>NPV($C$7,F183:AO183)+D183+E183</f>
        <v>38205698.197516993</v>
      </c>
      <c r="D184" s="7"/>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10"/>
    </row>
    <row r="185" spans="1:42">
      <c r="A185" s="39"/>
      <c r="B185" s="7" t="s">
        <v>4</v>
      </c>
      <c r="C185" s="130" t="str">
        <f>IF(SUM(D185:AN185)&gt;1,"CHECK"," ")</f>
        <v xml:space="preserve"> </v>
      </c>
      <c r="D185" s="178">
        <v>0.2</v>
      </c>
      <c r="E185" s="15">
        <v>0.8</v>
      </c>
      <c r="F185" s="15"/>
      <c r="G185" s="15"/>
      <c r="H185" s="15"/>
      <c r="I185" s="15"/>
      <c r="J185" s="15"/>
      <c r="K185" s="15"/>
      <c r="L185" s="15"/>
      <c r="M185" s="15"/>
      <c r="N185" s="15"/>
      <c r="O185" s="15"/>
      <c r="P185" s="15"/>
      <c r="Q185" s="15"/>
      <c r="R185" s="15"/>
      <c r="S185" s="15"/>
      <c r="T185" s="125"/>
      <c r="U185" s="15"/>
      <c r="V185" s="15"/>
      <c r="W185" s="15"/>
      <c r="X185" s="15"/>
      <c r="Y185" s="15"/>
      <c r="Z185" s="15"/>
      <c r="AA185" s="15"/>
      <c r="AB185" s="15"/>
      <c r="AC185" s="15"/>
      <c r="AD185" s="15"/>
      <c r="AE185" s="15"/>
      <c r="AF185" s="15"/>
      <c r="AG185" s="15"/>
      <c r="AH185" s="15"/>
      <c r="AI185" s="15"/>
      <c r="AJ185" s="15"/>
      <c r="AK185" s="15"/>
      <c r="AL185" s="15"/>
      <c r="AM185" s="15"/>
      <c r="AN185" s="146"/>
      <c r="AO185" s="146"/>
      <c r="AP185" s="16"/>
    </row>
    <row r="186" spans="1:42" ht="15.75" thickBot="1">
      <c r="A186" s="39"/>
      <c r="B186" s="11" t="s">
        <v>32</v>
      </c>
      <c r="C186" s="51"/>
      <c r="D186" s="179">
        <f>IF(D185&gt;0,(D185*$C184),0)</f>
        <v>7641139.6395033989</v>
      </c>
      <c r="E186" s="20">
        <f t="shared" ref="E186:AN186" si="41">IF(E185&gt;0,(E185*$C184),0)</f>
        <v>30564558.558013596</v>
      </c>
      <c r="F186" s="20">
        <f t="shared" si="41"/>
        <v>0</v>
      </c>
      <c r="G186" s="20">
        <f t="shared" si="41"/>
        <v>0</v>
      </c>
      <c r="H186" s="20">
        <f t="shared" si="41"/>
        <v>0</v>
      </c>
      <c r="I186" s="20">
        <f t="shared" si="41"/>
        <v>0</v>
      </c>
      <c r="J186" s="20">
        <f t="shared" si="41"/>
        <v>0</v>
      </c>
      <c r="K186" s="20">
        <f t="shared" si="41"/>
        <v>0</v>
      </c>
      <c r="L186" s="20">
        <f t="shared" si="41"/>
        <v>0</v>
      </c>
      <c r="M186" s="20">
        <f t="shared" si="41"/>
        <v>0</v>
      </c>
      <c r="N186" s="20">
        <f t="shared" si="41"/>
        <v>0</v>
      </c>
      <c r="O186" s="20">
        <f t="shared" si="41"/>
        <v>0</v>
      </c>
      <c r="P186" s="20">
        <f t="shared" si="41"/>
        <v>0</v>
      </c>
      <c r="Q186" s="20">
        <f t="shared" si="41"/>
        <v>0</v>
      </c>
      <c r="R186" s="20">
        <f t="shared" si="41"/>
        <v>0</v>
      </c>
      <c r="S186" s="20">
        <f>IF(S185&gt;0,(S185*$C184),0)</f>
        <v>0</v>
      </c>
      <c r="T186" s="126">
        <f t="shared" si="41"/>
        <v>0</v>
      </c>
      <c r="U186" s="20">
        <f t="shared" si="41"/>
        <v>0</v>
      </c>
      <c r="V186" s="20">
        <f t="shared" si="41"/>
        <v>0</v>
      </c>
      <c r="W186" s="20">
        <f t="shared" si="41"/>
        <v>0</v>
      </c>
      <c r="X186" s="20">
        <f t="shared" si="41"/>
        <v>0</v>
      </c>
      <c r="Y186" s="20">
        <f t="shared" si="41"/>
        <v>0</v>
      </c>
      <c r="Z186" s="20">
        <f t="shared" si="41"/>
        <v>0</v>
      </c>
      <c r="AA186" s="20">
        <f t="shared" si="41"/>
        <v>0</v>
      </c>
      <c r="AB186" s="20">
        <f t="shared" si="41"/>
        <v>0</v>
      </c>
      <c r="AC186" s="20">
        <f t="shared" si="41"/>
        <v>0</v>
      </c>
      <c r="AD186" s="20">
        <f t="shared" si="41"/>
        <v>0</v>
      </c>
      <c r="AE186" s="20">
        <f t="shared" si="41"/>
        <v>0</v>
      </c>
      <c r="AF186" s="20">
        <f t="shared" si="41"/>
        <v>0</v>
      </c>
      <c r="AG186" s="20">
        <f t="shared" si="41"/>
        <v>0</v>
      </c>
      <c r="AH186" s="20">
        <f t="shared" si="41"/>
        <v>0</v>
      </c>
      <c r="AI186" s="20">
        <f t="shared" si="41"/>
        <v>0</v>
      </c>
      <c r="AJ186" s="20">
        <f t="shared" si="41"/>
        <v>0</v>
      </c>
      <c r="AK186" s="20">
        <f t="shared" si="41"/>
        <v>0</v>
      </c>
      <c r="AL186" s="20">
        <f t="shared" si="41"/>
        <v>0</v>
      </c>
      <c r="AM186" s="20">
        <f t="shared" si="41"/>
        <v>0</v>
      </c>
      <c r="AN186" s="215">
        <f t="shared" si="41"/>
        <v>0</v>
      </c>
      <c r="AO186" s="215">
        <f>IF(AO185&gt;0,(AO185*$C184),0)</f>
        <v>0</v>
      </c>
      <c r="AP186" s="22">
        <f>IF(AP185&gt;0,(AP185*$C184),0)</f>
        <v>0</v>
      </c>
    </row>
    <row r="187" spans="1:42" ht="15.75" thickBot="1">
      <c r="A187" s="39"/>
      <c r="B187" s="11"/>
      <c r="C187" s="51"/>
      <c r="D187" s="221"/>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222"/>
    </row>
    <row r="188" spans="1:42">
      <c r="A188" s="39"/>
      <c r="B188" s="4" t="s">
        <v>12</v>
      </c>
      <c r="C188" s="133" t="str">
        <f>Summary!B40</f>
        <v>C2</v>
      </c>
      <c r="D188" s="156" t="str">
        <f>Summary!C40</f>
        <v>Borders Rail - Lower Financing Costs (Nil Benefit)</v>
      </c>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6"/>
    </row>
    <row r="189" spans="1:42">
      <c r="A189" s="39"/>
      <c r="B189" s="7" t="s">
        <v>189</v>
      </c>
      <c r="C189" s="134" t="str">
        <f>'C2 Borders Rail Fin'!D47</f>
        <v>D - Moderate</v>
      </c>
      <c r="D189" s="176">
        <f>VLOOKUP(C189,'Confidence Factors'!$B$6:$D$9,3)</f>
        <v>0.55000000000000004</v>
      </c>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10"/>
    </row>
    <row r="190" spans="1:42">
      <c r="A190" s="39"/>
      <c r="B190" s="7" t="s">
        <v>30</v>
      </c>
      <c r="C190" s="128">
        <f>SUM(D190:AN190)</f>
        <v>0</v>
      </c>
      <c r="D190" s="180">
        <v>0</v>
      </c>
      <c r="E190" s="3">
        <v>0</v>
      </c>
      <c r="F190" s="3">
        <v>0</v>
      </c>
      <c r="G190" s="3">
        <v>0</v>
      </c>
      <c r="H190" s="3">
        <v>0</v>
      </c>
      <c r="I190" s="19">
        <f>(1500000-1500000)*'C2 Borders Rail Fin'!$D$75*$D$189</f>
        <v>0</v>
      </c>
      <c r="J190" s="19">
        <f>(('C2 Borders Rail Fin'!$D70)/30)*'C2 Borders Rail Fin'!$D75*'Calcs - Scen 4'!$D189</f>
        <v>0</v>
      </c>
      <c r="K190" s="19">
        <f>(('C2 Borders Rail Fin'!$D70)/30)*'C2 Borders Rail Fin'!$D75*'Calcs - Scen 4'!$D189</f>
        <v>0</v>
      </c>
      <c r="L190" s="19">
        <f>(('C2 Borders Rail Fin'!$D70)/30)*'C2 Borders Rail Fin'!$D75*'Calcs - Scen 4'!$D189</f>
        <v>0</v>
      </c>
      <c r="M190" s="19">
        <f>(('C2 Borders Rail Fin'!$D70)/30)*'C2 Borders Rail Fin'!$D75*'Calcs - Scen 4'!$D189</f>
        <v>0</v>
      </c>
      <c r="N190" s="19">
        <f>(('C2 Borders Rail Fin'!$D70)/30)*'C2 Borders Rail Fin'!$D75*'Calcs - Scen 4'!$D189</f>
        <v>0</v>
      </c>
      <c r="O190" s="19">
        <f>(('C2 Borders Rail Fin'!$D70)/30)*'C2 Borders Rail Fin'!$D75*'Calcs - Scen 4'!$D189</f>
        <v>0</v>
      </c>
      <c r="P190" s="19">
        <f>(('C2 Borders Rail Fin'!$D70)/30)*'C2 Borders Rail Fin'!$D75*'Calcs - Scen 4'!$D189</f>
        <v>0</v>
      </c>
      <c r="Q190" s="19">
        <f>(('C2 Borders Rail Fin'!$D70)/30)*'C2 Borders Rail Fin'!$D75*'Calcs - Scen 4'!$D189</f>
        <v>0</v>
      </c>
      <c r="R190" s="19">
        <f>(('C2 Borders Rail Fin'!$D70)/30)*'C2 Borders Rail Fin'!$D75*'Calcs - Scen 4'!$D189</f>
        <v>0</v>
      </c>
      <c r="S190" s="19">
        <f>(('C2 Borders Rail Fin'!$D70)/30)*'C2 Borders Rail Fin'!$D75*'Calcs - Scen 4'!$D189</f>
        <v>0</v>
      </c>
      <c r="T190" s="19">
        <f>(('C2 Borders Rail Fin'!$D70)/30)*'C2 Borders Rail Fin'!$D75*'Calcs - Scen 4'!$D189</f>
        <v>0</v>
      </c>
      <c r="U190" s="19">
        <f>(('C2 Borders Rail Fin'!$D70)/30)*'C2 Borders Rail Fin'!$D75*'Calcs - Scen 4'!$D189</f>
        <v>0</v>
      </c>
      <c r="V190" s="19">
        <f>(('C2 Borders Rail Fin'!$D70)/30)*'C2 Borders Rail Fin'!$D75*'Calcs - Scen 4'!$D189</f>
        <v>0</v>
      </c>
      <c r="W190" s="19">
        <f>(('C2 Borders Rail Fin'!$D70)/30)*'C2 Borders Rail Fin'!$D75*'Calcs - Scen 4'!$D189</f>
        <v>0</v>
      </c>
      <c r="X190" s="19">
        <f>(('C2 Borders Rail Fin'!$D70)/30)*'C2 Borders Rail Fin'!$D75*'Calcs - Scen 4'!$D189</f>
        <v>0</v>
      </c>
      <c r="Y190" s="19">
        <f>(('C2 Borders Rail Fin'!$D70)/30)*'C2 Borders Rail Fin'!$D75*'Calcs - Scen 4'!$D189</f>
        <v>0</v>
      </c>
      <c r="Z190" s="19">
        <f>(('C2 Borders Rail Fin'!$D70)/30)*'C2 Borders Rail Fin'!$D75*'Calcs - Scen 4'!$D189</f>
        <v>0</v>
      </c>
      <c r="AA190" s="19">
        <f>(('C2 Borders Rail Fin'!$D70)/30)*'C2 Borders Rail Fin'!$D75*'Calcs - Scen 4'!$D189</f>
        <v>0</v>
      </c>
      <c r="AB190" s="19">
        <f>(('C2 Borders Rail Fin'!$D70)/30)*'C2 Borders Rail Fin'!$D75*'Calcs - Scen 4'!$D189</f>
        <v>0</v>
      </c>
      <c r="AC190" s="19">
        <f>(('C2 Borders Rail Fin'!$D70)/30)*'C2 Borders Rail Fin'!$D75*'Calcs - Scen 4'!$D189</f>
        <v>0</v>
      </c>
      <c r="AD190" s="19">
        <f>(('C2 Borders Rail Fin'!$D70)/30)*'C2 Borders Rail Fin'!$D75*'Calcs - Scen 4'!$D189</f>
        <v>0</v>
      </c>
      <c r="AE190" s="19">
        <f>(('C2 Borders Rail Fin'!$D70)/30)*'C2 Borders Rail Fin'!$D75*'Calcs - Scen 4'!$D189</f>
        <v>0</v>
      </c>
      <c r="AF190" s="19">
        <f>(('C2 Borders Rail Fin'!$D70)/30)*'C2 Borders Rail Fin'!$D75*'Calcs - Scen 4'!$D189</f>
        <v>0</v>
      </c>
      <c r="AG190" s="19">
        <f>(('C2 Borders Rail Fin'!$D70)/30)*'C2 Borders Rail Fin'!$D75*'Calcs - Scen 4'!$D189</f>
        <v>0</v>
      </c>
      <c r="AH190" s="19">
        <f>(('C2 Borders Rail Fin'!$D70)/30)*'C2 Borders Rail Fin'!$D75*'Calcs - Scen 4'!$D189</f>
        <v>0</v>
      </c>
      <c r="AI190" s="19">
        <f>(('C2 Borders Rail Fin'!$D70)/30)*'C2 Borders Rail Fin'!$D75*'Calcs - Scen 4'!$D189</f>
        <v>0</v>
      </c>
      <c r="AJ190" s="19">
        <f>(('C2 Borders Rail Fin'!$D70)/30)*'C2 Borders Rail Fin'!$D75*'Calcs - Scen 4'!$D189</f>
        <v>0</v>
      </c>
      <c r="AK190" s="19">
        <f>(('C2 Borders Rail Fin'!$D70)/30)*'C2 Borders Rail Fin'!$D75*'Calcs - Scen 4'!$D189</f>
        <v>0</v>
      </c>
      <c r="AL190" s="19">
        <f>(('C2 Borders Rail Fin'!$D70)/30)*'C2 Borders Rail Fin'!$D75*'Calcs - Scen 4'!$D189</f>
        <v>0</v>
      </c>
      <c r="AM190" s="19">
        <f>(('C2 Borders Rail Fin'!$D70)/30)*'C2 Borders Rail Fin'!$D75*'Calcs - Scen 4'!$D189</f>
        <v>0</v>
      </c>
      <c r="AN190" s="213">
        <v>0</v>
      </c>
      <c r="AO190" s="213">
        <v>0</v>
      </c>
      <c r="AP190" s="9">
        <v>0</v>
      </c>
    </row>
    <row r="191" spans="1:42">
      <c r="A191" s="39"/>
      <c r="B191" s="7" t="s">
        <v>31</v>
      </c>
      <c r="C191" s="129">
        <f>NPV($C$7,F190:AO190)+D190+E190</f>
        <v>0</v>
      </c>
      <c r="D191" s="7"/>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10"/>
    </row>
    <row r="192" spans="1:42">
      <c r="A192" s="39"/>
      <c r="B192" s="7" t="s">
        <v>4</v>
      </c>
      <c r="C192" s="130" t="str">
        <f>IF(SUM(D192:AN192)&gt;1,"CHECK"," ")</f>
        <v xml:space="preserve"> </v>
      </c>
      <c r="D192" s="178">
        <v>0.2</v>
      </c>
      <c r="E192" s="15">
        <v>0.8</v>
      </c>
      <c r="F192" s="15"/>
      <c r="G192" s="15"/>
      <c r="H192" s="15"/>
      <c r="I192" s="15"/>
      <c r="J192" s="15"/>
      <c r="K192" s="15"/>
      <c r="L192" s="15"/>
      <c r="M192" s="15"/>
      <c r="N192" s="15"/>
      <c r="O192" s="15"/>
      <c r="P192" s="15"/>
      <c r="Q192" s="15"/>
      <c r="R192" s="15"/>
      <c r="S192" s="15"/>
      <c r="T192" s="125"/>
      <c r="U192" s="15"/>
      <c r="V192" s="15"/>
      <c r="W192" s="15"/>
      <c r="X192" s="15"/>
      <c r="Y192" s="15"/>
      <c r="Z192" s="15"/>
      <c r="AA192" s="15"/>
      <c r="AB192" s="15"/>
      <c r="AC192" s="15"/>
      <c r="AD192" s="15"/>
      <c r="AE192" s="15"/>
      <c r="AF192" s="15"/>
      <c r="AG192" s="15"/>
      <c r="AH192" s="15"/>
      <c r="AI192" s="15"/>
      <c r="AJ192" s="15"/>
      <c r="AK192" s="15"/>
      <c r="AL192" s="15"/>
      <c r="AM192" s="15"/>
      <c r="AN192" s="146"/>
      <c r="AO192" s="146"/>
      <c r="AP192" s="16"/>
    </row>
    <row r="193" spans="1:42" ht="15.75" thickBot="1">
      <c r="A193" s="39"/>
      <c r="B193" s="11" t="s">
        <v>32</v>
      </c>
      <c r="C193" s="51"/>
      <c r="D193" s="179">
        <f>IF(D192&gt;0,(D192*$C191),0)</f>
        <v>0</v>
      </c>
      <c r="E193" s="20">
        <f t="shared" ref="E193:AN193" si="42">IF(E192&gt;0,(E192*$C191),0)</f>
        <v>0</v>
      </c>
      <c r="F193" s="20">
        <f t="shared" si="42"/>
        <v>0</v>
      </c>
      <c r="G193" s="20">
        <f t="shared" si="42"/>
        <v>0</v>
      </c>
      <c r="H193" s="20">
        <f t="shared" si="42"/>
        <v>0</v>
      </c>
      <c r="I193" s="20">
        <f t="shared" si="42"/>
        <v>0</v>
      </c>
      <c r="J193" s="20">
        <f t="shared" si="42"/>
        <v>0</v>
      </c>
      <c r="K193" s="20">
        <f t="shared" si="42"/>
        <v>0</v>
      </c>
      <c r="L193" s="20">
        <f t="shared" si="42"/>
        <v>0</v>
      </c>
      <c r="M193" s="20">
        <f t="shared" si="42"/>
        <v>0</v>
      </c>
      <c r="N193" s="20">
        <f t="shared" si="42"/>
        <v>0</v>
      </c>
      <c r="O193" s="20">
        <f t="shared" si="42"/>
        <v>0</v>
      </c>
      <c r="P193" s="20">
        <f t="shared" si="42"/>
        <v>0</v>
      </c>
      <c r="Q193" s="20">
        <f t="shared" si="42"/>
        <v>0</v>
      </c>
      <c r="R193" s="20">
        <f t="shared" si="42"/>
        <v>0</v>
      </c>
      <c r="S193" s="20">
        <f>IF(S192&gt;0,(S192*$C191),0)</f>
        <v>0</v>
      </c>
      <c r="T193" s="126">
        <f t="shared" si="42"/>
        <v>0</v>
      </c>
      <c r="U193" s="20">
        <f t="shared" si="42"/>
        <v>0</v>
      </c>
      <c r="V193" s="20">
        <f t="shared" si="42"/>
        <v>0</v>
      </c>
      <c r="W193" s="20">
        <f t="shared" si="42"/>
        <v>0</v>
      </c>
      <c r="X193" s="20">
        <f t="shared" si="42"/>
        <v>0</v>
      </c>
      <c r="Y193" s="20">
        <f t="shared" si="42"/>
        <v>0</v>
      </c>
      <c r="Z193" s="20">
        <f t="shared" si="42"/>
        <v>0</v>
      </c>
      <c r="AA193" s="20">
        <f t="shared" si="42"/>
        <v>0</v>
      </c>
      <c r="AB193" s="20">
        <f t="shared" si="42"/>
        <v>0</v>
      </c>
      <c r="AC193" s="20">
        <f t="shared" si="42"/>
        <v>0</v>
      </c>
      <c r="AD193" s="20">
        <f t="shared" si="42"/>
        <v>0</v>
      </c>
      <c r="AE193" s="20">
        <f t="shared" si="42"/>
        <v>0</v>
      </c>
      <c r="AF193" s="20">
        <f t="shared" si="42"/>
        <v>0</v>
      </c>
      <c r="AG193" s="20">
        <f t="shared" si="42"/>
        <v>0</v>
      </c>
      <c r="AH193" s="20">
        <f t="shared" si="42"/>
        <v>0</v>
      </c>
      <c r="AI193" s="20">
        <f t="shared" si="42"/>
        <v>0</v>
      </c>
      <c r="AJ193" s="20">
        <f t="shared" si="42"/>
        <v>0</v>
      </c>
      <c r="AK193" s="20">
        <f t="shared" si="42"/>
        <v>0</v>
      </c>
      <c r="AL193" s="20">
        <f t="shared" si="42"/>
        <v>0</v>
      </c>
      <c r="AM193" s="20">
        <f t="shared" si="42"/>
        <v>0</v>
      </c>
      <c r="AN193" s="215">
        <f t="shared" si="42"/>
        <v>0</v>
      </c>
      <c r="AO193" s="215">
        <f>IF(AO192&gt;0,(AO192*$C191),0)</f>
        <v>0</v>
      </c>
      <c r="AP193" s="22">
        <f>IF(AP192&gt;0,(AP192*$C191),0)</f>
        <v>0</v>
      </c>
    </row>
    <row r="194" spans="1:42" ht="15.75" thickBot="1">
      <c r="A194" s="39"/>
      <c r="B194" s="7"/>
      <c r="C194" s="10"/>
      <c r="D194" s="221"/>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222"/>
    </row>
    <row r="195" spans="1:42">
      <c r="A195" s="39"/>
      <c r="B195" s="4" t="s">
        <v>12</v>
      </c>
      <c r="C195" s="133" t="str">
        <f>Summary!B41</f>
        <v>C3</v>
      </c>
      <c r="D195" s="156" t="str">
        <f>Summary!C41</f>
        <v>Borders Rail - Competition</v>
      </c>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6"/>
    </row>
    <row r="196" spans="1:42">
      <c r="A196" s="39"/>
      <c r="B196" s="7" t="s">
        <v>189</v>
      </c>
      <c r="C196" s="134" t="str">
        <f>'C3 Borders Rail Comp'!D47</f>
        <v>C - Good</v>
      </c>
      <c r="D196" s="176">
        <f>VLOOKUP(C196,'Confidence Factors'!$B$6:$D$9,3)</f>
        <v>0.75</v>
      </c>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10"/>
    </row>
    <row r="197" spans="1:42">
      <c r="A197" s="39"/>
      <c r="B197" s="7" t="s">
        <v>30</v>
      </c>
      <c r="C197" s="128">
        <f>SUM(D197:AN197)</f>
        <v>14625000</v>
      </c>
      <c r="D197" s="177">
        <v>0</v>
      </c>
      <c r="E197" s="19">
        <v>0</v>
      </c>
      <c r="F197" s="19">
        <v>0</v>
      </c>
      <c r="G197" s="19">
        <v>0</v>
      </c>
      <c r="H197" s="19">
        <v>0</v>
      </c>
      <c r="I197" s="19">
        <f>(('C3 Borders Rail Comp'!$D70)/30)*'C3 Borders Rail Comp'!$D75*'Calcs - Scen 4'!$D196</f>
        <v>487500</v>
      </c>
      <c r="J197" s="19">
        <f>(('C3 Borders Rail Comp'!$D70)/30)*'C3 Borders Rail Comp'!$D75*'Calcs - Scen 4'!$D196</f>
        <v>487500</v>
      </c>
      <c r="K197" s="19">
        <f>(('C3 Borders Rail Comp'!$D70)/30)*'C3 Borders Rail Comp'!$D75*'Calcs - Scen 4'!$D196</f>
        <v>487500</v>
      </c>
      <c r="L197" s="19">
        <f>(('C3 Borders Rail Comp'!$D70)/30)*'C3 Borders Rail Comp'!$D75*'Calcs - Scen 4'!$D196</f>
        <v>487500</v>
      </c>
      <c r="M197" s="19">
        <f>(('C3 Borders Rail Comp'!$D70)/30)*'C3 Borders Rail Comp'!$D75*'Calcs - Scen 4'!$D196</f>
        <v>487500</v>
      </c>
      <c r="N197" s="19">
        <f>(('C3 Borders Rail Comp'!$D70)/30)*'C3 Borders Rail Comp'!$D75*'Calcs - Scen 4'!$D196</f>
        <v>487500</v>
      </c>
      <c r="O197" s="19">
        <f>(('C3 Borders Rail Comp'!$D70)/30)*'C3 Borders Rail Comp'!$D75*'Calcs - Scen 4'!$D196</f>
        <v>487500</v>
      </c>
      <c r="P197" s="19">
        <f>(('C3 Borders Rail Comp'!$D70)/30)*'C3 Borders Rail Comp'!$D75*'Calcs - Scen 4'!$D196</f>
        <v>487500</v>
      </c>
      <c r="Q197" s="19">
        <f>(('C3 Borders Rail Comp'!$D70)/30)*'C3 Borders Rail Comp'!$D75*'Calcs - Scen 4'!$D196</f>
        <v>487500</v>
      </c>
      <c r="R197" s="19">
        <f>(('C3 Borders Rail Comp'!$D70)/30)*'C3 Borders Rail Comp'!$D75*'Calcs - Scen 4'!$D196</f>
        <v>487500</v>
      </c>
      <c r="S197" s="19">
        <f>(('C3 Borders Rail Comp'!$D70)/30)*'C3 Borders Rail Comp'!$D75*'Calcs - Scen 4'!$D196</f>
        <v>487500</v>
      </c>
      <c r="T197" s="19">
        <f>(('C3 Borders Rail Comp'!$D70)/30)*'C3 Borders Rail Comp'!$D75*'Calcs - Scen 4'!$D196</f>
        <v>487500</v>
      </c>
      <c r="U197" s="19">
        <f>(('C3 Borders Rail Comp'!$D70)/30)*'C3 Borders Rail Comp'!$D75*'Calcs - Scen 4'!$D196</f>
        <v>487500</v>
      </c>
      <c r="V197" s="19">
        <f>(('C3 Borders Rail Comp'!$D70)/30)*'C3 Borders Rail Comp'!$D75*'Calcs - Scen 4'!$D196</f>
        <v>487500</v>
      </c>
      <c r="W197" s="19">
        <f>(('C3 Borders Rail Comp'!$D70)/30)*'C3 Borders Rail Comp'!$D75*'Calcs - Scen 4'!$D196</f>
        <v>487500</v>
      </c>
      <c r="X197" s="19">
        <f>(('C3 Borders Rail Comp'!$D70)/30)*'C3 Borders Rail Comp'!$D75*'Calcs - Scen 4'!$D196</f>
        <v>487500</v>
      </c>
      <c r="Y197" s="19">
        <f>(('C3 Borders Rail Comp'!$D70)/30)*'C3 Borders Rail Comp'!$D75*'Calcs - Scen 4'!$D196</f>
        <v>487500</v>
      </c>
      <c r="Z197" s="19">
        <f>(('C3 Borders Rail Comp'!$D70)/30)*'C3 Borders Rail Comp'!$D75*'Calcs - Scen 4'!$D196</f>
        <v>487500</v>
      </c>
      <c r="AA197" s="19">
        <f>(('C3 Borders Rail Comp'!$D70)/30)*'C3 Borders Rail Comp'!$D75*'Calcs - Scen 4'!$D196</f>
        <v>487500</v>
      </c>
      <c r="AB197" s="19">
        <f>(('C3 Borders Rail Comp'!$D70)/30)*'C3 Borders Rail Comp'!$D75*'Calcs - Scen 4'!$D196</f>
        <v>487500</v>
      </c>
      <c r="AC197" s="19">
        <f>(('C3 Borders Rail Comp'!$D70)/30)*'C3 Borders Rail Comp'!$D75*'Calcs - Scen 4'!$D196</f>
        <v>487500</v>
      </c>
      <c r="AD197" s="19">
        <f>(('C3 Borders Rail Comp'!$D70)/30)*'C3 Borders Rail Comp'!$D75*'Calcs - Scen 4'!$D196</f>
        <v>487500</v>
      </c>
      <c r="AE197" s="19">
        <f>(('C3 Borders Rail Comp'!$D70)/30)*'C3 Borders Rail Comp'!$D75*'Calcs - Scen 4'!$D196</f>
        <v>487500</v>
      </c>
      <c r="AF197" s="19">
        <f>(('C3 Borders Rail Comp'!$D70)/30)*'C3 Borders Rail Comp'!$D75*'Calcs - Scen 4'!$D196</f>
        <v>487500</v>
      </c>
      <c r="AG197" s="19">
        <f>(('C3 Borders Rail Comp'!$D70)/30)*'C3 Borders Rail Comp'!$D75*'Calcs - Scen 4'!$D196</f>
        <v>487500</v>
      </c>
      <c r="AH197" s="19">
        <f>(('C3 Borders Rail Comp'!$D70)/30)*'C3 Borders Rail Comp'!$D75*'Calcs - Scen 4'!$D196</f>
        <v>487500</v>
      </c>
      <c r="AI197" s="19">
        <f>(('C3 Borders Rail Comp'!$D70)/30)*'C3 Borders Rail Comp'!$D75*'Calcs - Scen 4'!$D196</f>
        <v>487500</v>
      </c>
      <c r="AJ197" s="19">
        <f>(('C3 Borders Rail Comp'!$D70)/30)*'C3 Borders Rail Comp'!$D75*'Calcs - Scen 4'!$D196</f>
        <v>487500</v>
      </c>
      <c r="AK197" s="19">
        <f>(('C3 Borders Rail Comp'!$D70)/30)*'C3 Borders Rail Comp'!$D75*'Calcs - Scen 4'!$D196</f>
        <v>487500</v>
      </c>
      <c r="AL197" s="19">
        <f>(('C3 Borders Rail Comp'!$D70)/30)*'C3 Borders Rail Comp'!$D75*'Calcs - Scen 4'!$D196</f>
        <v>487500</v>
      </c>
      <c r="AM197" s="19">
        <v>0</v>
      </c>
      <c r="AN197" s="216">
        <v>0</v>
      </c>
      <c r="AO197" s="216">
        <v>0</v>
      </c>
      <c r="AP197" s="23">
        <v>0</v>
      </c>
    </row>
    <row r="198" spans="1:42">
      <c r="A198" s="39"/>
      <c r="B198" s="7" t="s">
        <v>31</v>
      </c>
      <c r="C198" s="129">
        <f>NPV($C$7,F197:AO197)+D197+E197</f>
        <v>8086928.4605331924</v>
      </c>
      <c r="D198" s="7"/>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10"/>
    </row>
    <row r="199" spans="1:42">
      <c r="A199" s="39"/>
      <c r="B199" s="7" t="s">
        <v>4</v>
      </c>
      <c r="C199" s="130" t="str">
        <f>IF(SUM(D199:AN199)&gt;1,"CHECK"," ")</f>
        <v xml:space="preserve"> </v>
      </c>
      <c r="D199" s="178">
        <v>1</v>
      </c>
      <c r="E199" s="15">
        <v>0</v>
      </c>
      <c r="F199" s="15"/>
      <c r="G199" s="15"/>
      <c r="H199" s="15"/>
      <c r="I199" s="15"/>
      <c r="J199" s="15"/>
      <c r="K199" s="15"/>
      <c r="L199" s="15"/>
      <c r="M199" s="15"/>
      <c r="N199" s="15"/>
      <c r="O199" s="15"/>
      <c r="P199" s="15"/>
      <c r="Q199" s="15"/>
      <c r="R199" s="15"/>
      <c r="S199" s="15"/>
      <c r="T199" s="125"/>
      <c r="U199" s="15"/>
      <c r="V199" s="15"/>
      <c r="W199" s="15"/>
      <c r="X199" s="15"/>
      <c r="Y199" s="15"/>
      <c r="Z199" s="15"/>
      <c r="AA199" s="15"/>
      <c r="AB199" s="15"/>
      <c r="AC199" s="15"/>
      <c r="AD199" s="15"/>
      <c r="AE199" s="15"/>
      <c r="AF199" s="15"/>
      <c r="AG199" s="15"/>
      <c r="AH199" s="15"/>
      <c r="AI199" s="15"/>
      <c r="AJ199" s="15"/>
      <c r="AK199" s="15"/>
      <c r="AL199" s="15"/>
      <c r="AM199" s="15"/>
      <c r="AN199" s="146"/>
      <c r="AO199" s="146"/>
      <c r="AP199" s="16"/>
    </row>
    <row r="200" spans="1:42" ht="15.75" thickBot="1">
      <c r="A200" s="39"/>
      <c r="B200" s="11" t="s">
        <v>32</v>
      </c>
      <c r="C200" s="51"/>
      <c r="D200" s="179">
        <f t="shared" ref="D200:AN200" si="43">IF(D199&gt;0,(D199*$C198),0)</f>
        <v>8086928.4605331924</v>
      </c>
      <c r="E200" s="20">
        <f t="shared" si="43"/>
        <v>0</v>
      </c>
      <c r="F200" s="20">
        <f t="shared" si="43"/>
        <v>0</v>
      </c>
      <c r="G200" s="20">
        <f t="shared" si="43"/>
        <v>0</v>
      </c>
      <c r="H200" s="20">
        <f t="shared" si="43"/>
        <v>0</v>
      </c>
      <c r="I200" s="20">
        <f t="shared" si="43"/>
        <v>0</v>
      </c>
      <c r="J200" s="20">
        <f t="shared" si="43"/>
        <v>0</v>
      </c>
      <c r="K200" s="20">
        <f t="shared" si="43"/>
        <v>0</v>
      </c>
      <c r="L200" s="20">
        <f t="shared" si="43"/>
        <v>0</v>
      </c>
      <c r="M200" s="20">
        <f t="shared" si="43"/>
        <v>0</v>
      </c>
      <c r="N200" s="20">
        <f t="shared" si="43"/>
        <v>0</v>
      </c>
      <c r="O200" s="20">
        <f t="shared" si="43"/>
        <v>0</v>
      </c>
      <c r="P200" s="20">
        <f t="shared" si="43"/>
        <v>0</v>
      </c>
      <c r="Q200" s="20">
        <f t="shared" si="43"/>
        <v>0</v>
      </c>
      <c r="R200" s="20">
        <f t="shared" si="43"/>
        <v>0</v>
      </c>
      <c r="S200" s="20">
        <f>IF(S199&gt;0,(S199*$C198),0)</f>
        <v>0</v>
      </c>
      <c r="T200" s="126">
        <f t="shared" si="43"/>
        <v>0</v>
      </c>
      <c r="U200" s="20">
        <f t="shared" si="43"/>
        <v>0</v>
      </c>
      <c r="V200" s="20">
        <f t="shared" si="43"/>
        <v>0</v>
      </c>
      <c r="W200" s="20">
        <f t="shared" si="43"/>
        <v>0</v>
      </c>
      <c r="X200" s="20">
        <f t="shared" si="43"/>
        <v>0</v>
      </c>
      <c r="Y200" s="20">
        <f t="shared" si="43"/>
        <v>0</v>
      </c>
      <c r="Z200" s="20">
        <f t="shared" si="43"/>
        <v>0</v>
      </c>
      <c r="AA200" s="20">
        <f t="shared" si="43"/>
        <v>0</v>
      </c>
      <c r="AB200" s="20">
        <f t="shared" si="43"/>
        <v>0</v>
      </c>
      <c r="AC200" s="20">
        <f t="shared" si="43"/>
        <v>0</v>
      </c>
      <c r="AD200" s="20">
        <f t="shared" si="43"/>
        <v>0</v>
      </c>
      <c r="AE200" s="20">
        <f t="shared" si="43"/>
        <v>0</v>
      </c>
      <c r="AF200" s="20">
        <f t="shared" si="43"/>
        <v>0</v>
      </c>
      <c r="AG200" s="20">
        <f t="shared" si="43"/>
        <v>0</v>
      </c>
      <c r="AH200" s="20">
        <f t="shared" si="43"/>
        <v>0</v>
      </c>
      <c r="AI200" s="20">
        <f t="shared" si="43"/>
        <v>0</v>
      </c>
      <c r="AJ200" s="20">
        <f t="shared" si="43"/>
        <v>0</v>
      </c>
      <c r="AK200" s="20">
        <f t="shared" si="43"/>
        <v>0</v>
      </c>
      <c r="AL200" s="20">
        <f t="shared" si="43"/>
        <v>0</v>
      </c>
      <c r="AM200" s="20">
        <f t="shared" si="43"/>
        <v>0</v>
      </c>
      <c r="AN200" s="215">
        <f t="shared" si="43"/>
        <v>0</v>
      </c>
      <c r="AO200" s="215">
        <f>IF(AO199&gt;0,(AO199*$C198),0)</f>
        <v>0</v>
      </c>
      <c r="AP200" s="22">
        <f>IF(AP199&gt;0,(AP199*$C198),0)</f>
        <v>0</v>
      </c>
    </row>
    <row r="201" spans="1:42" ht="15.75" thickBot="1">
      <c r="A201" s="39"/>
      <c r="B201" s="7"/>
      <c r="C201" s="10"/>
      <c r="D201" s="221"/>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222"/>
    </row>
    <row r="202" spans="1:42">
      <c r="A202" s="39"/>
      <c r="B202" s="4" t="s">
        <v>12</v>
      </c>
      <c r="C202" s="133" t="str">
        <f>Summary!B42</f>
        <v>C4</v>
      </c>
      <c r="D202" s="156" t="str">
        <f>Summary!C42</f>
        <v>Orkney Schools Projects -  Business Case Diligence</v>
      </c>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6"/>
    </row>
    <row r="203" spans="1:42">
      <c r="A203" s="39"/>
      <c r="B203" s="7" t="s">
        <v>189</v>
      </c>
      <c r="C203" s="134" t="str">
        <f>'C4 Orkney Schools Fin'!D47</f>
        <v>A - High</v>
      </c>
      <c r="D203" s="176">
        <f>VLOOKUP(C203,'Confidence Factors'!$B$6:$D$9,3)</f>
        <v>1</v>
      </c>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10"/>
    </row>
    <row r="204" spans="1:42">
      <c r="A204" s="39"/>
      <c r="B204" s="7" t="s">
        <v>30</v>
      </c>
      <c r="C204" s="128">
        <f>SUM(D204:AN204)</f>
        <v>1736000</v>
      </c>
      <c r="D204" s="177">
        <v>0</v>
      </c>
      <c r="E204" s="19"/>
      <c r="F204" s="19">
        <v>0</v>
      </c>
      <c r="G204" s="19">
        <v>0</v>
      </c>
      <c r="H204" s="19">
        <f>(('C4 Orkney Schools Fin'!$D70)/28)*'C4 Orkney Schools Fin'!$D75*'Calcs - Scen 4'!$D203</f>
        <v>62000</v>
      </c>
      <c r="I204" s="19">
        <f>(('C4 Orkney Schools Fin'!$D70)/28)*'C4 Orkney Schools Fin'!$D75*'Calcs - Scen 4'!$D203</f>
        <v>62000</v>
      </c>
      <c r="J204" s="19">
        <f>(('C4 Orkney Schools Fin'!$D70)/28)*'C4 Orkney Schools Fin'!$D75*'Calcs - Scen 4'!$D203</f>
        <v>62000</v>
      </c>
      <c r="K204" s="19">
        <f>(('C4 Orkney Schools Fin'!$D70)/28)*'C4 Orkney Schools Fin'!$D75*'Calcs - Scen 4'!$D203</f>
        <v>62000</v>
      </c>
      <c r="L204" s="19">
        <f>(('C4 Orkney Schools Fin'!$D70)/28)*'C4 Orkney Schools Fin'!$D75*'Calcs - Scen 4'!$D203</f>
        <v>62000</v>
      </c>
      <c r="M204" s="19">
        <f>(('C4 Orkney Schools Fin'!$D70)/28)*'C4 Orkney Schools Fin'!$D75*'Calcs - Scen 4'!$D203</f>
        <v>62000</v>
      </c>
      <c r="N204" s="19">
        <f>(('C4 Orkney Schools Fin'!$D70)/28)*'C4 Orkney Schools Fin'!$D75*'Calcs - Scen 4'!$D203</f>
        <v>62000</v>
      </c>
      <c r="O204" s="19">
        <f>(('C4 Orkney Schools Fin'!$D70)/28)*'C4 Orkney Schools Fin'!$D75*'Calcs - Scen 4'!$D203</f>
        <v>62000</v>
      </c>
      <c r="P204" s="19">
        <f>(('C4 Orkney Schools Fin'!$D70)/28)*'C4 Orkney Schools Fin'!$D75*'Calcs - Scen 4'!$D203</f>
        <v>62000</v>
      </c>
      <c r="Q204" s="19">
        <f>(('C4 Orkney Schools Fin'!$D70)/28)*'C4 Orkney Schools Fin'!$D75*'Calcs - Scen 4'!$D203</f>
        <v>62000</v>
      </c>
      <c r="R204" s="19">
        <f>(('C4 Orkney Schools Fin'!$D70)/28)*'C4 Orkney Schools Fin'!$D75*'Calcs - Scen 4'!$D203</f>
        <v>62000</v>
      </c>
      <c r="S204" s="19">
        <f>(('C4 Orkney Schools Fin'!$D70)/28)*'C4 Orkney Schools Fin'!$D75*'Calcs - Scen 4'!$D203</f>
        <v>62000</v>
      </c>
      <c r="T204" s="19">
        <f>(('C4 Orkney Schools Fin'!$D70)/28)*'C4 Orkney Schools Fin'!$D75*'Calcs - Scen 4'!$D203</f>
        <v>62000</v>
      </c>
      <c r="U204" s="19">
        <f>(('C4 Orkney Schools Fin'!$D70)/28)*'C4 Orkney Schools Fin'!$D75*'Calcs - Scen 4'!$D203</f>
        <v>62000</v>
      </c>
      <c r="V204" s="19">
        <f>(('C4 Orkney Schools Fin'!$D70)/28)*'C4 Orkney Schools Fin'!$D75*'Calcs - Scen 4'!$D203</f>
        <v>62000</v>
      </c>
      <c r="W204" s="19">
        <f>(('C4 Orkney Schools Fin'!$D70)/28)*'C4 Orkney Schools Fin'!$D75*'Calcs - Scen 4'!$D203</f>
        <v>62000</v>
      </c>
      <c r="X204" s="19">
        <f>(('C4 Orkney Schools Fin'!$D70)/28)*'C4 Orkney Schools Fin'!$D75*'Calcs - Scen 4'!$D203</f>
        <v>62000</v>
      </c>
      <c r="Y204" s="19">
        <f>(('C4 Orkney Schools Fin'!$D70)/28)*'C4 Orkney Schools Fin'!$D75*'Calcs - Scen 4'!$D203</f>
        <v>62000</v>
      </c>
      <c r="Z204" s="19">
        <f>(('C4 Orkney Schools Fin'!$D70)/28)*'C4 Orkney Schools Fin'!$D75*'Calcs - Scen 4'!$D203</f>
        <v>62000</v>
      </c>
      <c r="AA204" s="19">
        <f>(('C4 Orkney Schools Fin'!$D70)/28)*'C4 Orkney Schools Fin'!$D75*'Calcs - Scen 4'!$D203</f>
        <v>62000</v>
      </c>
      <c r="AB204" s="19">
        <f>(('C4 Orkney Schools Fin'!$D70)/28)*'C4 Orkney Schools Fin'!$D75*'Calcs - Scen 4'!$D203</f>
        <v>62000</v>
      </c>
      <c r="AC204" s="19">
        <f>(('C4 Orkney Schools Fin'!$D70)/28)*'C4 Orkney Schools Fin'!$D75*'Calcs - Scen 4'!$D203</f>
        <v>62000</v>
      </c>
      <c r="AD204" s="19">
        <f>(('C4 Orkney Schools Fin'!$D70)/28)*'C4 Orkney Schools Fin'!$D75*'Calcs - Scen 4'!$D203</f>
        <v>62000</v>
      </c>
      <c r="AE204" s="19">
        <f>(('C4 Orkney Schools Fin'!$D70)/28)*'C4 Orkney Schools Fin'!$D75*'Calcs - Scen 4'!$D203</f>
        <v>62000</v>
      </c>
      <c r="AF204" s="19">
        <f>(('C4 Orkney Schools Fin'!$D70)/28)*'C4 Orkney Schools Fin'!$D75*'Calcs - Scen 4'!$D203</f>
        <v>62000</v>
      </c>
      <c r="AG204" s="19">
        <f>(('C4 Orkney Schools Fin'!$D70)/28)*'C4 Orkney Schools Fin'!$D75*'Calcs - Scen 4'!$D203</f>
        <v>62000</v>
      </c>
      <c r="AH204" s="19">
        <f>(('C4 Orkney Schools Fin'!$D70)/28)*'C4 Orkney Schools Fin'!$D75*'Calcs - Scen 4'!$D203</f>
        <v>62000</v>
      </c>
      <c r="AI204" s="19">
        <f>(('C4 Orkney Schools Fin'!$D70)/28)*'C4 Orkney Schools Fin'!$D75*'Calcs - Scen 4'!$D203</f>
        <v>62000</v>
      </c>
      <c r="AJ204" s="19">
        <v>0</v>
      </c>
      <c r="AK204" s="19">
        <v>0</v>
      </c>
      <c r="AL204" s="19">
        <v>0</v>
      </c>
      <c r="AM204" s="19">
        <v>0</v>
      </c>
      <c r="AN204" s="216">
        <v>0</v>
      </c>
      <c r="AO204" s="216">
        <v>0</v>
      </c>
      <c r="AP204" s="23">
        <v>0</v>
      </c>
    </row>
    <row r="205" spans="1:42">
      <c r="A205" s="39"/>
      <c r="B205" s="7" t="s">
        <v>31</v>
      </c>
      <c r="C205" s="129">
        <f>NPV($C$7,F204:AO204)+D204+E204</f>
        <v>1022525.7704392668</v>
      </c>
      <c r="D205" s="7"/>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10"/>
    </row>
    <row r="206" spans="1:42">
      <c r="A206" s="39"/>
      <c r="B206" s="7" t="s">
        <v>4</v>
      </c>
      <c r="C206" s="130" t="str">
        <f>IF(SUM(D206:AN206)&gt;1,"CHECK"," ")</f>
        <v xml:space="preserve"> </v>
      </c>
      <c r="D206" s="178">
        <v>0</v>
      </c>
      <c r="E206" s="15">
        <v>1</v>
      </c>
      <c r="F206" s="15"/>
      <c r="G206" s="15"/>
      <c r="H206" s="15"/>
      <c r="I206" s="15"/>
      <c r="J206" s="15"/>
      <c r="K206" s="15"/>
      <c r="L206" s="15"/>
      <c r="M206" s="15"/>
      <c r="N206" s="15"/>
      <c r="O206" s="15"/>
      <c r="P206" s="15"/>
      <c r="Q206" s="15"/>
      <c r="R206" s="15"/>
      <c r="S206" s="15"/>
      <c r="T206" s="125"/>
      <c r="U206" s="15"/>
      <c r="V206" s="15"/>
      <c r="W206" s="15"/>
      <c r="X206" s="15"/>
      <c r="Y206" s="15"/>
      <c r="Z206" s="15"/>
      <c r="AA206" s="15"/>
      <c r="AB206" s="15"/>
      <c r="AC206" s="15"/>
      <c r="AD206" s="15"/>
      <c r="AE206" s="15"/>
      <c r="AF206" s="15"/>
      <c r="AG206" s="15"/>
      <c r="AH206" s="15"/>
      <c r="AI206" s="15"/>
      <c r="AJ206" s="15"/>
      <c r="AK206" s="15"/>
      <c r="AL206" s="15"/>
      <c r="AM206" s="15"/>
      <c r="AN206" s="146"/>
      <c r="AO206" s="146"/>
      <c r="AP206" s="16"/>
    </row>
    <row r="207" spans="1:42" ht="15.75" thickBot="1">
      <c r="A207" s="39"/>
      <c r="B207" s="11" t="s">
        <v>32</v>
      </c>
      <c r="C207" s="51"/>
      <c r="D207" s="179">
        <f t="shared" ref="D207:R207" si="44">IF(D206&gt;0,(D206*$C205),0)</f>
        <v>0</v>
      </c>
      <c r="E207" s="20">
        <f t="shared" si="44"/>
        <v>1022525.7704392668</v>
      </c>
      <c r="F207" s="20">
        <f t="shared" si="44"/>
        <v>0</v>
      </c>
      <c r="G207" s="20">
        <f t="shared" si="44"/>
        <v>0</v>
      </c>
      <c r="H207" s="20">
        <f t="shared" si="44"/>
        <v>0</v>
      </c>
      <c r="I207" s="20">
        <f t="shared" si="44"/>
        <v>0</v>
      </c>
      <c r="J207" s="20">
        <f t="shared" si="44"/>
        <v>0</v>
      </c>
      <c r="K207" s="20">
        <f t="shared" si="44"/>
        <v>0</v>
      </c>
      <c r="L207" s="20">
        <f t="shared" si="44"/>
        <v>0</v>
      </c>
      <c r="M207" s="20">
        <f t="shared" si="44"/>
        <v>0</v>
      </c>
      <c r="N207" s="20">
        <f t="shared" si="44"/>
        <v>0</v>
      </c>
      <c r="O207" s="20">
        <f t="shared" si="44"/>
        <v>0</v>
      </c>
      <c r="P207" s="20">
        <f t="shared" si="44"/>
        <v>0</v>
      </c>
      <c r="Q207" s="20">
        <f t="shared" si="44"/>
        <v>0</v>
      </c>
      <c r="R207" s="20">
        <f t="shared" si="44"/>
        <v>0</v>
      </c>
      <c r="S207" s="20">
        <f>IF(S206&gt;0,(S206*$C205),0)</f>
        <v>0</v>
      </c>
      <c r="T207" s="126">
        <f t="shared" ref="T207:AN207" si="45">IF(T206&gt;0,(T206*$C205),0)</f>
        <v>0</v>
      </c>
      <c r="U207" s="20">
        <f t="shared" si="45"/>
        <v>0</v>
      </c>
      <c r="V207" s="20">
        <f t="shared" si="45"/>
        <v>0</v>
      </c>
      <c r="W207" s="20">
        <f t="shared" si="45"/>
        <v>0</v>
      </c>
      <c r="X207" s="20">
        <f t="shared" si="45"/>
        <v>0</v>
      </c>
      <c r="Y207" s="20">
        <f t="shared" si="45"/>
        <v>0</v>
      </c>
      <c r="Z207" s="20">
        <f t="shared" si="45"/>
        <v>0</v>
      </c>
      <c r="AA207" s="20">
        <f t="shared" si="45"/>
        <v>0</v>
      </c>
      <c r="AB207" s="20">
        <f t="shared" si="45"/>
        <v>0</v>
      </c>
      <c r="AC207" s="20">
        <f t="shared" si="45"/>
        <v>0</v>
      </c>
      <c r="AD207" s="20">
        <f t="shared" si="45"/>
        <v>0</v>
      </c>
      <c r="AE207" s="20">
        <f t="shared" si="45"/>
        <v>0</v>
      </c>
      <c r="AF207" s="20">
        <f t="shared" si="45"/>
        <v>0</v>
      </c>
      <c r="AG207" s="20">
        <f t="shared" si="45"/>
        <v>0</v>
      </c>
      <c r="AH207" s="20">
        <f t="shared" si="45"/>
        <v>0</v>
      </c>
      <c r="AI207" s="20">
        <f t="shared" si="45"/>
        <v>0</v>
      </c>
      <c r="AJ207" s="20">
        <f t="shared" si="45"/>
        <v>0</v>
      </c>
      <c r="AK207" s="20">
        <f t="shared" si="45"/>
        <v>0</v>
      </c>
      <c r="AL207" s="20">
        <f t="shared" si="45"/>
        <v>0</v>
      </c>
      <c r="AM207" s="20">
        <f t="shared" si="45"/>
        <v>0</v>
      </c>
      <c r="AN207" s="215">
        <f t="shared" si="45"/>
        <v>0</v>
      </c>
      <c r="AO207" s="215">
        <f>IF(AO206&gt;0,(AO206*$C205),0)</f>
        <v>0</v>
      </c>
      <c r="AP207" s="22">
        <f>IF(AP206&gt;0,(AP206*$C205),0)</f>
        <v>0</v>
      </c>
    </row>
    <row r="208" spans="1:42" ht="15.75" thickBot="1">
      <c r="A208" s="39"/>
      <c r="B208" s="7"/>
      <c r="C208" s="10"/>
      <c r="D208" s="221"/>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222"/>
    </row>
    <row r="209" spans="1:42">
      <c r="A209" s="39"/>
      <c r="B209" s="4" t="s">
        <v>12</v>
      </c>
      <c r="C209" s="133" t="str">
        <f>Summary!B43</f>
        <v>C5</v>
      </c>
      <c r="D209" s="156" t="str">
        <f>Summary!C43</f>
        <v>RHSC/DCN Procurement Strategy and Increased Competition</v>
      </c>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6"/>
    </row>
    <row r="210" spans="1:42">
      <c r="A210" s="39"/>
      <c r="B210" s="7" t="s">
        <v>189</v>
      </c>
      <c r="C210" s="134" t="str">
        <f>'C5 RHSC DCN Comp'!D47</f>
        <v>C - Good</v>
      </c>
      <c r="D210" s="176">
        <f>VLOOKUP(C210,'Confidence Factors'!$B$6:$D$9,3)</f>
        <v>0.75</v>
      </c>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10"/>
    </row>
    <row r="211" spans="1:42">
      <c r="A211" s="39"/>
      <c r="B211" s="7" t="s">
        <v>30</v>
      </c>
      <c r="C211" s="128">
        <f>SUM(D211:AN211)</f>
        <v>9016874.9999999981</v>
      </c>
      <c r="D211" s="177">
        <v>0</v>
      </c>
      <c r="E211" s="19">
        <v>0</v>
      </c>
      <c r="F211" s="19">
        <v>0</v>
      </c>
      <c r="G211" s="19">
        <v>0</v>
      </c>
      <c r="H211" s="19">
        <v>0</v>
      </c>
      <c r="I211" s="19">
        <f>'C5 RHSC DCN Comp'!N$78*'C5 RHSC DCN Comp'!$D75*'Calcs - Scen 4'!$D210</f>
        <v>300562.49999999994</v>
      </c>
      <c r="J211" s="19">
        <f>'C5 RHSC DCN Comp'!O$78*'C5 RHSC DCN Comp'!$D75*'Calcs - Scen 4'!$D210</f>
        <v>300562.49999999994</v>
      </c>
      <c r="K211" s="19">
        <f>'C5 RHSC DCN Comp'!P$78*'C5 RHSC DCN Comp'!$D75*'Calcs - Scen 4'!$D210</f>
        <v>300562.49999999994</v>
      </c>
      <c r="L211" s="19">
        <f>'C5 RHSC DCN Comp'!Q$78*'C5 RHSC DCN Comp'!$D75*'Calcs - Scen 4'!$D210</f>
        <v>300562.49999999994</v>
      </c>
      <c r="M211" s="19">
        <f>'C5 RHSC DCN Comp'!R$78*'C5 RHSC DCN Comp'!$D75*'Calcs - Scen 4'!$D210</f>
        <v>300562.49999999994</v>
      </c>
      <c r="N211" s="19">
        <f>'C5 RHSC DCN Comp'!S$78*'C5 RHSC DCN Comp'!$D75*'Calcs - Scen 4'!$D210</f>
        <v>300562.49999999994</v>
      </c>
      <c r="O211" s="19">
        <f>'C5 RHSC DCN Comp'!T$78*'C5 RHSC DCN Comp'!$D75*'Calcs - Scen 4'!$D210</f>
        <v>300562.49999999994</v>
      </c>
      <c r="P211" s="19">
        <f>'C5 RHSC DCN Comp'!U$78*'C5 RHSC DCN Comp'!$D75*'Calcs - Scen 4'!$D210</f>
        <v>300562.49999999994</v>
      </c>
      <c r="Q211" s="19">
        <f>'C5 RHSC DCN Comp'!V$78*'C5 RHSC DCN Comp'!$D75*'Calcs - Scen 4'!$D210</f>
        <v>300562.5</v>
      </c>
      <c r="R211" s="19">
        <f>'C5 RHSC DCN Comp'!W$78*'C5 RHSC DCN Comp'!$D75*'Calcs - Scen 4'!$D210</f>
        <v>300562.49999999994</v>
      </c>
      <c r="S211" s="19">
        <f>'C5 RHSC DCN Comp'!X$78*'C5 RHSC DCN Comp'!$D75*'Calcs - Scen 4'!$D210</f>
        <v>300562.49999999994</v>
      </c>
      <c r="T211" s="19">
        <f>'C5 RHSC DCN Comp'!Y$78*'C5 RHSC DCN Comp'!$D75*'Calcs - Scen 4'!$D210</f>
        <v>300562.49999999994</v>
      </c>
      <c r="U211" s="19">
        <f>'C5 RHSC DCN Comp'!Z$78*'C5 RHSC DCN Comp'!$D75*'Calcs - Scen 4'!$D210</f>
        <v>300562.49999999994</v>
      </c>
      <c r="V211" s="19">
        <f>'C5 RHSC DCN Comp'!AA$78*'C5 RHSC DCN Comp'!$D75*'Calcs - Scen 4'!$D210</f>
        <v>300562.49999999994</v>
      </c>
      <c r="W211" s="19">
        <f>'C5 RHSC DCN Comp'!AB$78*'C5 RHSC DCN Comp'!$D75*'Calcs - Scen 4'!$D210</f>
        <v>300562.49999999994</v>
      </c>
      <c r="X211" s="19">
        <f>'C5 RHSC DCN Comp'!AC$78*'C5 RHSC DCN Comp'!$D75*'Calcs - Scen 4'!$D210</f>
        <v>300562.49999999994</v>
      </c>
      <c r="Y211" s="19">
        <f>'C5 RHSC DCN Comp'!AD$78*'C5 RHSC DCN Comp'!$D75*'Calcs - Scen 4'!$D210</f>
        <v>300562.49999999994</v>
      </c>
      <c r="Z211" s="19">
        <f>'C5 RHSC DCN Comp'!AE$78*'C5 RHSC DCN Comp'!$D75*'Calcs - Scen 4'!$D210</f>
        <v>300562.49999999994</v>
      </c>
      <c r="AA211" s="19">
        <f>'C5 RHSC DCN Comp'!AF$78*'C5 RHSC DCN Comp'!$D75*'Calcs - Scen 4'!$D210</f>
        <v>300562.49999999994</v>
      </c>
      <c r="AB211" s="19">
        <f>'C5 RHSC DCN Comp'!AG$78*'C5 RHSC DCN Comp'!$D75*'Calcs - Scen 4'!$D210</f>
        <v>300562.49999999994</v>
      </c>
      <c r="AC211" s="19">
        <f>'C5 RHSC DCN Comp'!AH$78*'C5 RHSC DCN Comp'!$D75*'Calcs - Scen 4'!$D210</f>
        <v>300562.49999999994</v>
      </c>
      <c r="AD211" s="19">
        <f>'C5 RHSC DCN Comp'!AI$78*'C5 RHSC DCN Comp'!$D75*'Calcs - Scen 4'!$D210</f>
        <v>300562.49999999994</v>
      </c>
      <c r="AE211" s="19">
        <f>'C5 RHSC DCN Comp'!AJ$78*'C5 RHSC DCN Comp'!$D75*'Calcs - Scen 4'!$D210</f>
        <v>300562.49999999994</v>
      </c>
      <c r="AF211" s="19">
        <f>'C5 RHSC DCN Comp'!AK$78*'C5 RHSC DCN Comp'!$D75*'Calcs - Scen 4'!$D210</f>
        <v>300562.49999999994</v>
      </c>
      <c r="AG211" s="19">
        <f>'C5 RHSC DCN Comp'!AL$78*'C5 RHSC DCN Comp'!$D75*'Calcs - Scen 4'!$D210</f>
        <v>300562.49999999994</v>
      </c>
      <c r="AH211" s="19">
        <f>'C5 RHSC DCN Comp'!AM$78*'C5 RHSC DCN Comp'!$D75*'Calcs - Scen 4'!$D210</f>
        <v>300562.49999999994</v>
      </c>
      <c r="AI211" s="19">
        <f>'C5 RHSC DCN Comp'!AN$78*'C5 RHSC DCN Comp'!$D75*'Calcs - Scen 4'!$D210</f>
        <v>300562.49999999994</v>
      </c>
      <c r="AJ211" s="19">
        <f>'C5 RHSC DCN Comp'!AO$78*'C5 RHSC DCN Comp'!$D75*'Calcs - Scen 4'!$D210</f>
        <v>300562.49999999994</v>
      </c>
      <c r="AK211" s="19">
        <f>'C5 RHSC DCN Comp'!AP$78*'C5 RHSC DCN Comp'!$D75*'Calcs - Scen 4'!$D210</f>
        <v>300562.49999999994</v>
      </c>
      <c r="AL211" s="19">
        <f>'C5 RHSC DCN Comp'!AQ$78*'C5 RHSC DCN Comp'!$D75*'Calcs - Scen 4'!$D210</f>
        <v>300562.49999999994</v>
      </c>
      <c r="AM211" s="19">
        <f>'C5 RHSC DCN Comp'!AR$78*'C5 RHSC DCN Comp'!$D75*'Calcs - Scen 4'!$D210</f>
        <v>0</v>
      </c>
      <c r="AN211" s="19">
        <f>'C5 RHSC DCN Comp'!AS$78*'C5 RHSC DCN Comp'!$D75*'Calcs - Scen 4'!$D210</f>
        <v>0</v>
      </c>
      <c r="AO211" s="216">
        <v>0</v>
      </c>
      <c r="AP211" s="23">
        <v>0</v>
      </c>
    </row>
    <row r="212" spans="1:42">
      <c r="A212" s="39"/>
      <c r="B212" s="7" t="s">
        <v>31</v>
      </c>
      <c r="C212" s="129">
        <f>NPV($C$7,F211:AO211)+D211+E211</f>
        <v>4985902.4316287339</v>
      </c>
      <c r="D212" s="7"/>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10"/>
    </row>
    <row r="213" spans="1:42">
      <c r="A213" s="39"/>
      <c r="B213" s="7" t="s">
        <v>4</v>
      </c>
      <c r="C213" s="130" t="str">
        <f>IF(SUM(D213:AN213)&gt;1,"CHECK"," ")</f>
        <v xml:space="preserve"> </v>
      </c>
      <c r="D213" s="178">
        <v>0</v>
      </c>
      <c r="E213" s="15">
        <v>0.25</v>
      </c>
      <c r="F213" s="15">
        <v>0.5</v>
      </c>
      <c r="G213" s="15">
        <v>0.25</v>
      </c>
      <c r="H213" s="15"/>
      <c r="I213" s="15"/>
      <c r="J213" s="15"/>
      <c r="K213" s="15"/>
      <c r="L213" s="15"/>
      <c r="M213" s="15"/>
      <c r="N213" s="15"/>
      <c r="O213" s="15"/>
      <c r="P213" s="15"/>
      <c r="Q213" s="15"/>
      <c r="R213" s="15"/>
      <c r="S213" s="15"/>
      <c r="T213" s="125"/>
      <c r="U213" s="15"/>
      <c r="V213" s="15"/>
      <c r="W213" s="15"/>
      <c r="X213" s="15"/>
      <c r="Y213" s="15"/>
      <c r="Z213" s="15"/>
      <c r="AA213" s="15"/>
      <c r="AB213" s="15"/>
      <c r="AC213" s="15"/>
      <c r="AD213" s="15"/>
      <c r="AE213" s="15"/>
      <c r="AF213" s="15"/>
      <c r="AG213" s="15"/>
      <c r="AH213" s="15"/>
      <c r="AI213" s="15"/>
      <c r="AJ213" s="15"/>
      <c r="AK213" s="15"/>
      <c r="AL213" s="15"/>
      <c r="AM213" s="15"/>
      <c r="AN213" s="146"/>
      <c r="AO213" s="146"/>
      <c r="AP213" s="16"/>
    </row>
    <row r="214" spans="1:42" ht="15.75" thickBot="1">
      <c r="A214" s="39"/>
      <c r="B214" s="11" t="s">
        <v>32</v>
      </c>
      <c r="C214" s="51"/>
      <c r="D214" s="179">
        <f t="shared" ref="D214:R214" si="46">IF(D213&gt;0,(D213*$C212),0)</f>
        <v>0</v>
      </c>
      <c r="E214" s="20">
        <f t="shared" si="46"/>
        <v>1246475.6079071835</v>
      </c>
      <c r="F214" s="20">
        <f t="shared" si="46"/>
        <v>2492951.2158143669</v>
      </c>
      <c r="G214" s="20">
        <f t="shared" si="46"/>
        <v>1246475.6079071835</v>
      </c>
      <c r="H214" s="20">
        <f t="shared" si="46"/>
        <v>0</v>
      </c>
      <c r="I214" s="20">
        <f t="shared" si="46"/>
        <v>0</v>
      </c>
      <c r="J214" s="20">
        <f t="shared" si="46"/>
        <v>0</v>
      </c>
      <c r="K214" s="20">
        <f t="shared" si="46"/>
        <v>0</v>
      </c>
      <c r="L214" s="20">
        <f t="shared" si="46"/>
        <v>0</v>
      </c>
      <c r="M214" s="20">
        <f t="shared" si="46"/>
        <v>0</v>
      </c>
      <c r="N214" s="20">
        <f t="shared" si="46"/>
        <v>0</v>
      </c>
      <c r="O214" s="20">
        <f t="shared" si="46"/>
        <v>0</v>
      </c>
      <c r="P214" s="20">
        <f t="shared" si="46"/>
        <v>0</v>
      </c>
      <c r="Q214" s="20">
        <f t="shared" si="46"/>
        <v>0</v>
      </c>
      <c r="R214" s="20">
        <f t="shared" si="46"/>
        <v>0</v>
      </c>
      <c r="S214" s="20">
        <f>IF(S213&gt;0,(S213*$C212),0)</f>
        <v>0</v>
      </c>
      <c r="T214" s="126">
        <f t="shared" ref="T214:AN214" si="47">IF(T213&gt;0,(T213*$C212),0)</f>
        <v>0</v>
      </c>
      <c r="U214" s="20">
        <f t="shared" si="47"/>
        <v>0</v>
      </c>
      <c r="V214" s="20">
        <f t="shared" si="47"/>
        <v>0</v>
      </c>
      <c r="W214" s="20">
        <f t="shared" si="47"/>
        <v>0</v>
      </c>
      <c r="X214" s="20">
        <f t="shared" si="47"/>
        <v>0</v>
      </c>
      <c r="Y214" s="20">
        <f t="shared" si="47"/>
        <v>0</v>
      </c>
      <c r="Z214" s="20">
        <f t="shared" si="47"/>
        <v>0</v>
      </c>
      <c r="AA214" s="20">
        <f t="shared" si="47"/>
        <v>0</v>
      </c>
      <c r="AB214" s="20">
        <f t="shared" si="47"/>
        <v>0</v>
      </c>
      <c r="AC214" s="20">
        <f t="shared" si="47"/>
        <v>0</v>
      </c>
      <c r="AD214" s="20">
        <f t="shared" si="47"/>
        <v>0</v>
      </c>
      <c r="AE214" s="20">
        <f t="shared" si="47"/>
        <v>0</v>
      </c>
      <c r="AF214" s="20">
        <f t="shared" si="47"/>
        <v>0</v>
      </c>
      <c r="AG214" s="20">
        <f t="shared" si="47"/>
        <v>0</v>
      </c>
      <c r="AH214" s="20">
        <f t="shared" si="47"/>
        <v>0</v>
      </c>
      <c r="AI214" s="20">
        <f t="shared" si="47"/>
        <v>0</v>
      </c>
      <c r="AJ214" s="20">
        <f t="shared" si="47"/>
        <v>0</v>
      </c>
      <c r="AK214" s="20">
        <f t="shared" si="47"/>
        <v>0</v>
      </c>
      <c r="AL214" s="20">
        <f t="shared" si="47"/>
        <v>0</v>
      </c>
      <c r="AM214" s="20">
        <f t="shared" si="47"/>
        <v>0</v>
      </c>
      <c r="AN214" s="215">
        <f t="shared" si="47"/>
        <v>0</v>
      </c>
      <c r="AO214" s="215">
        <f>IF(AO213&gt;0,(AO213*$C212),0)</f>
        <v>0</v>
      </c>
      <c r="AP214" s="22">
        <f>IF(AP213&gt;0,(AP213*$C212),0)</f>
        <v>0</v>
      </c>
    </row>
    <row r="215" spans="1:42" ht="15.75" thickBot="1">
      <c r="A215" s="39"/>
      <c r="B215" s="7"/>
      <c r="C215" s="10"/>
      <c r="D215" s="221"/>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222"/>
    </row>
    <row r="216" spans="1:42">
      <c r="A216" s="39"/>
      <c r="B216" s="4" t="s">
        <v>12</v>
      </c>
      <c r="C216" s="133" t="str">
        <f>Summary!B44</f>
        <v>C6</v>
      </c>
      <c r="D216" s="156" t="str">
        <f>Summary!C44</f>
        <v>NPD Contract - Saved Procurement Time</v>
      </c>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6"/>
    </row>
    <row r="217" spans="1:42">
      <c r="A217" s="39"/>
      <c r="B217" s="7" t="s">
        <v>189</v>
      </c>
      <c r="C217" s="134" t="str">
        <f>'C6 NPD Saved Proc Time'!D47</f>
        <v>D - Moderate</v>
      </c>
      <c r="D217" s="176">
        <f>VLOOKUP(C217,'Confidence Factors'!$B$6:$D$9,3)</f>
        <v>0.55000000000000004</v>
      </c>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10"/>
    </row>
    <row r="218" spans="1:42">
      <c r="A218" s="39"/>
      <c r="B218" s="7" t="s">
        <v>30</v>
      </c>
      <c r="C218" s="128">
        <f>SUM(D218:AN218)</f>
        <v>1557325</v>
      </c>
      <c r="D218" s="177">
        <v>0</v>
      </c>
      <c r="E218" s="19">
        <f>(('C5 RHSC DCN Comp'!$D77)*0.25)*'C5 RHSC DCN Comp'!$D82*'Calcs - Scen 4'!$D217</f>
        <v>0</v>
      </c>
      <c r="F218" s="516">
        <f>'C6 NPD Saved Proc Time'!L$79*'C6 NPD Saved Proc Time'!$D75*'Calcs - Scen 4'!$D217</f>
        <v>0</v>
      </c>
      <c r="G218" s="516">
        <f>(('C6 NPD Saved Proc Time'!M$75)*1000)*'C6 NPD Saved Proc Time'!$D75*'Calcs - Scen 4'!$D217</f>
        <v>192500.00000000003</v>
      </c>
      <c r="H218" s="516">
        <f>(('C6 NPD Saved Proc Time'!N$75)*1000)*'C6 NPD Saved Proc Time'!$D75*'Calcs - Scen 4'!$D217</f>
        <v>192500.00000000003</v>
      </c>
      <c r="I218" s="516">
        <f>(('C6 NPD Saved Proc Time'!O$75)*1000)*'C6 NPD Saved Proc Time'!$D75*'Calcs - Scen 4'!$D217</f>
        <v>340725</v>
      </c>
      <c r="J218" s="516">
        <f>(('C6 NPD Saved Proc Time'!P$75)*1000)*'C6 NPD Saved Proc Time'!$D75*'Calcs - Scen 4'!$D217</f>
        <v>103950.00000000001</v>
      </c>
      <c r="K218" s="516">
        <f>(('C6 NPD Saved Proc Time'!Q$75)*1000)*'C6 NPD Saved Proc Time'!$D75*'Calcs - Scen 4'!$D217</f>
        <v>181912.50000000003</v>
      </c>
      <c r="L218" s="516">
        <f>(('C6 NPD Saved Proc Time'!R$75)*1000)*'C6 NPD Saved Proc Time'!$D75*'Calcs - Scen 4'!$D217</f>
        <v>181912.50000000003</v>
      </c>
      <c r="M218" s="516">
        <f>(('C6 NPD Saved Proc Time'!S$75)*1000)*'C6 NPD Saved Proc Time'!$D75*'Calcs - Scen 4'!$D217</f>
        <v>181912.50000000003</v>
      </c>
      <c r="N218" s="516">
        <f>(('C6 NPD Saved Proc Time'!T$75)*1000)*'C6 NPD Saved Proc Time'!$D75*'Calcs - Scen 4'!$D217</f>
        <v>181912.50000000003</v>
      </c>
      <c r="O218" s="516">
        <v>0</v>
      </c>
      <c r="P218" s="516">
        <v>0</v>
      </c>
      <c r="Q218" s="516">
        <v>0</v>
      </c>
      <c r="R218" s="516">
        <v>0</v>
      </c>
      <c r="S218" s="516">
        <v>0</v>
      </c>
      <c r="T218" s="516">
        <v>0</v>
      </c>
      <c r="U218" s="516">
        <v>0</v>
      </c>
      <c r="V218" s="516">
        <v>0</v>
      </c>
      <c r="W218" s="516">
        <v>0</v>
      </c>
      <c r="X218" s="516">
        <v>0</v>
      </c>
      <c r="Y218" s="516">
        <v>0</v>
      </c>
      <c r="Z218" s="516">
        <v>0</v>
      </c>
      <c r="AA218" s="516">
        <v>0</v>
      </c>
      <c r="AB218" s="516">
        <v>0</v>
      </c>
      <c r="AC218" s="516">
        <v>0</v>
      </c>
      <c r="AD218" s="516">
        <v>0</v>
      </c>
      <c r="AE218" s="516">
        <v>0</v>
      </c>
      <c r="AF218" s="516">
        <v>0</v>
      </c>
      <c r="AG218" s="516">
        <v>0</v>
      </c>
      <c r="AH218" s="516">
        <v>0</v>
      </c>
      <c r="AI218" s="516">
        <v>0</v>
      </c>
      <c r="AJ218" s="516">
        <v>0</v>
      </c>
      <c r="AK218" s="516">
        <v>0</v>
      </c>
      <c r="AL218" s="516">
        <v>0</v>
      </c>
      <c r="AM218" s="516">
        <v>0</v>
      </c>
      <c r="AN218" s="516">
        <v>0</v>
      </c>
      <c r="AO218" s="516">
        <v>0</v>
      </c>
      <c r="AP218" s="516">
        <v>0</v>
      </c>
    </row>
    <row r="219" spans="1:42">
      <c r="A219" s="39"/>
      <c r="B219" s="7" t="s">
        <v>31</v>
      </c>
      <c r="C219" s="129">
        <f>NPV($C$7,F218:AO218)+D218+E218</f>
        <v>1300358.8511808279</v>
      </c>
      <c r="D219" s="7"/>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10"/>
    </row>
    <row r="220" spans="1:42">
      <c r="A220" s="39"/>
      <c r="B220" s="7" t="s">
        <v>4</v>
      </c>
      <c r="C220" s="130" t="str">
        <f>IF(SUM(D220:AN220)&gt;1,"CHECK"," ")</f>
        <v xml:space="preserve"> </v>
      </c>
      <c r="D220" s="178">
        <v>0</v>
      </c>
      <c r="E220" s="15">
        <v>0.6</v>
      </c>
      <c r="F220" s="15">
        <v>0.4</v>
      </c>
      <c r="G220" s="15"/>
      <c r="H220" s="15"/>
      <c r="I220" s="15"/>
      <c r="J220" s="15"/>
      <c r="K220" s="15"/>
      <c r="L220" s="15"/>
      <c r="M220" s="15"/>
      <c r="N220" s="15"/>
      <c r="O220" s="15"/>
      <c r="P220" s="15"/>
      <c r="Q220" s="15"/>
      <c r="R220" s="15"/>
      <c r="S220" s="15"/>
      <c r="T220" s="125"/>
      <c r="U220" s="15"/>
      <c r="V220" s="15"/>
      <c r="W220" s="15"/>
      <c r="X220" s="15"/>
      <c r="Y220" s="15"/>
      <c r="Z220" s="15"/>
      <c r="AA220" s="15"/>
      <c r="AB220" s="15"/>
      <c r="AC220" s="15"/>
      <c r="AD220" s="15"/>
      <c r="AE220" s="15"/>
      <c r="AF220" s="15"/>
      <c r="AG220" s="15"/>
      <c r="AH220" s="15"/>
      <c r="AI220" s="15"/>
      <c r="AJ220" s="15"/>
      <c r="AK220" s="15"/>
      <c r="AL220" s="15"/>
      <c r="AM220" s="15"/>
      <c r="AN220" s="146"/>
      <c r="AO220" s="146"/>
      <c r="AP220" s="16"/>
    </row>
    <row r="221" spans="1:42" ht="15.75" thickBot="1">
      <c r="A221" s="39"/>
      <c r="B221" s="11"/>
      <c r="C221" s="51"/>
      <c r="D221" s="179">
        <f t="shared" ref="D221:R221" si="48">IF(D220&gt;0,(D220*$C219),0)</f>
        <v>0</v>
      </c>
      <c r="E221" s="20">
        <f t="shared" si="48"/>
        <v>780215.31070849672</v>
      </c>
      <c r="F221" s="20">
        <f t="shared" si="48"/>
        <v>520143.54047233122</v>
      </c>
      <c r="G221" s="20">
        <f t="shared" si="48"/>
        <v>0</v>
      </c>
      <c r="H221" s="20">
        <f t="shared" si="48"/>
        <v>0</v>
      </c>
      <c r="I221" s="20">
        <f t="shared" si="48"/>
        <v>0</v>
      </c>
      <c r="J221" s="20">
        <f t="shared" si="48"/>
        <v>0</v>
      </c>
      <c r="K221" s="20">
        <f t="shared" si="48"/>
        <v>0</v>
      </c>
      <c r="L221" s="20">
        <f t="shared" si="48"/>
        <v>0</v>
      </c>
      <c r="M221" s="20">
        <f t="shared" si="48"/>
        <v>0</v>
      </c>
      <c r="N221" s="20">
        <f t="shared" si="48"/>
        <v>0</v>
      </c>
      <c r="O221" s="20">
        <f t="shared" si="48"/>
        <v>0</v>
      </c>
      <c r="P221" s="20">
        <f t="shared" si="48"/>
        <v>0</v>
      </c>
      <c r="Q221" s="20">
        <f t="shared" si="48"/>
        <v>0</v>
      </c>
      <c r="R221" s="20">
        <f t="shared" si="48"/>
        <v>0</v>
      </c>
      <c r="S221" s="20">
        <f>IF(S220&gt;0,(S220*$C219),0)</f>
        <v>0</v>
      </c>
      <c r="T221" s="126">
        <f t="shared" ref="T221:AN221" si="49">IF(T220&gt;0,(T220*$C219),0)</f>
        <v>0</v>
      </c>
      <c r="U221" s="20">
        <f t="shared" si="49"/>
        <v>0</v>
      </c>
      <c r="V221" s="20">
        <f t="shared" si="49"/>
        <v>0</v>
      </c>
      <c r="W221" s="20">
        <f t="shared" si="49"/>
        <v>0</v>
      </c>
      <c r="X221" s="20">
        <f t="shared" si="49"/>
        <v>0</v>
      </c>
      <c r="Y221" s="20">
        <f t="shared" si="49"/>
        <v>0</v>
      </c>
      <c r="Z221" s="20">
        <f t="shared" si="49"/>
        <v>0</v>
      </c>
      <c r="AA221" s="20">
        <f t="shared" si="49"/>
        <v>0</v>
      </c>
      <c r="AB221" s="20">
        <f t="shared" si="49"/>
        <v>0</v>
      </c>
      <c r="AC221" s="20">
        <f t="shared" si="49"/>
        <v>0</v>
      </c>
      <c r="AD221" s="20">
        <f t="shared" si="49"/>
        <v>0</v>
      </c>
      <c r="AE221" s="20">
        <f t="shared" si="49"/>
        <v>0</v>
      </c>
      <c r="AF221" s="20">
        <f t="shared" si="49"/>
        <v>0</v>
      </c>
      <c r="AG221" s="20">
        <f t="shared" si="49"/>
        <v>0</v>
      </c>
      <c r="AH221" s="20">
        <f t="shared" si="49"/>
        <v>0</v>
      </c>
      <c r="AI221" s="20">
        <f t="shared" si="49"/>
        <v>0</v>
      </c>
      <c r="AJ221" s="20">
        <f t="shared" si="49"/>
        <v>0</v>
      </c>
      <c r="AK221" s="20">
        <f t="shared" si="49"/>
        <v>0</v>
      </c>
      <c r="AL221" s="20">
        <f t="shared" si="49"/>
        <v>0</v>
      </c>
      <c r="AM221" s="20">
        <f t="shared" si="49"/>
        <v>0</v>
      </c>
      <c r="AN221" s="215">
        <f t="shared" si="49"/>
        <v>0</v>
      </c>
      <c r="AO221" s="215">
        <f>IF(AO220&gt;0,(AO220*$C219),0)</f>
        <v>0</v>
      </c>
      <c r="AP221" s="22">
        <f>IF(AP220&gt;0,(AP220*$C219),0)</f>
        <v>0</v>
      </c>
    </row>
    <row r="222" spans="1:42" ht="15.75" thickBot="1">
      <c r="A222" s="39"/>
      <c r="B222" s="7"/>
      <c r="C222" s="10"/>
      <c r="D222" s="221"/>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222"/>
    </row>
    <row r="223" spans="1:42">
      <c r="A223" s="39"/>
      <c r="B223" s="4" t="s">
        <v>12</v>
      </c>
      <c r="C223" s="133" t="str">
        <f>Summary!B45</f>
        <v>C7</v>
      </c>
      <c r="D223" s="156" t="str">
        <f>Summary!C45</f>
        <v xml:space="preserve">NPD Contract - Optimal Risk Transfer </v>
      </c>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6"/>
    </row>
    <row r="224" spans="1:42">
      <c r="A224" s="39"/>
      <c r="B224" s="7" t="s">
        <v>189</v>
      </c>
      <c r="C224" s="134" t="str">
        <f>'C7 NPD Optimal Risk Transfer'!D47</f>
        <v>C - Good</v>
      </c>
      <c r="D224" s="176">
        <f>VLOOKUP(C224,'Confidence Factors'!$B$6:$D$9,3)</f>
        <v>0.75</v>
      </c>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10"/>
    </row>
    <row r="225" spans="1:42">
      <c r="A225" s="39"/>
      <c r="B225" s="7" t="s">
        <v>30</v>
      </c>
      <c r="C225" s="128">
        <f>SUM(D225:AN225)</f>
        <v>3267699.9999999995</v>
      </c>
      <c r="D225" s="177">
        <v>0</v>
      </c>
      <c r="E225" s="19">
        <f>(('C5 RHSC DCN Comp'!$D84)*0.25)*'C5 RHSC DCN Comp'!$D89*'Calcs - Scen 4'!$D224</f>
        <v>0</v>
      </c>
      <c r="F225" s="516">
        <f>'C6 NPD Saved Proc Time'!L$79*'C6 NPD Saved Proc Time'!$D82*'Calcs - Scen 4'!$D224</f>
        <v>0</v>
      </c>
      <c r="G225" s="516">
        <f>'C6 NPD Saved Proc Time'!M$79*'C6 NPD Saved Proc Time'!$D82*'Calcs - Scen 4'!$D224</f>
        <v>0</v>
      </c>
      <c r="H225" s="516">
        <f>'C6 NPD Saved Proc Time'!N$79*'C6 NPD Saved Proc Time'!$D82*'Calcs - Scen 4'!$D224</f>
        <v>0</v>
      </c>
      <c r="I225" s="516">
        <f>'C7 NPD Optimal Risk Transfer'!R$42*'C7 NPD Optimal Risk Transfer'!$D75*'Calcs - Scen 4'!$D224</f>
        <v>166041.66666666663</v>
      </c>
      <c r="J225" s="516">
        <f>'C7 NPD Optimal Risk Transfer'!S$42*'C7 NPD Optimal Risk Transfer'!$D75*'Calcs - Scen 4'!$D224</f>
        <v>444991.66666666669</v>
      </c>
      <c r="K225" s="516">
        <f>'C7 NPD Optimal Risk Transfer'!T$42*'C7 NPD Optimal Risk Transfer'!$D75*'Calcs - Scen 4'!$D224</f>
        <v>664166.66666666651</v>
      </c>
      <c r="L225" s="516">
        <f>'C7 NPD Optimal Risk Transfer'!U$42*'C7 NPD Optimal Risk Transfer'!$D75*'Calcs - Scen 4'!$D224</f>
        <v>664166.66666666651</v>
      </c>
      <c r="M225" s="516">
        <f>'C7 NPD Optimal Risk Transfer'!V$42*'C7 NPD Optimal Risk Transfer'!$D75*'Calcs - Scen 4'!$D224</f>
        <v>664166.66666666651</v>
      </c>
      <c r="N225" s="516">
        <f>'C7 NPD Optimal Risk Transfer'!W$42*'C7 NPD Optimal Risk Transfer'!$D75*'Calcs - Scen 4'!$D224</f>
        <v>664166.66666666651</v>
      </c>
      <c r="O225" s="516">
        <v>0</v>
      </c>
      <c r="P225" s="516">
        <v>0</v>
      </c>
      <c r="Q225" s="516">
        <v>0</v>
      </c>
      <c r="R225" s="516">
        <v>0</v>
      </c>
      <c r="S225" s="516">
        <v>0</v>
      </c>
      <c r="T225" s="516">
        <v>0</v>
      </c>
      <c r="U225" s="516">
        <v>0</v>
      </c>
      <c r="V225" s="516">
        <v>0</v>
      </c>
      <c r="W225" s="516">
        <v>0</v>
      </c>
      <c r="X225" s="516">
        <v>0</v>
      </c>
      <c r="Y225" s="516">
        <v>0</v>
      </c>
      <c r="Z225" s="516">
        <v>0</v>
      </c>
      <c r="AA225" s="516">
        <v>0</v>
      </c>
      <c r="AB225" s="516">
        <v>0</v>
      </c>
      <c r="AC225" s="516">
        <v>0</v>
      </c>
      <c r="AD225" s="516">
        <v>0</v>
      </c>
      <c r="AE225" s="516">
        <v>0</v>
      </c>
      <c r="AF225" s="516">
        <v>0</v>
      </c>
      <c r="AG225" s="516">
        <v>0</v>
      </c>
      <c r="AH225" s="516">
        <v>0</v>
      </c>
      <c r="AI225" s="516">
        <v>0</v>
      </c>
      <c r="AJ225" s="516">
        <v>0</v>
      </c>
      <c r="AK225" s="516">
        <v>0</v>
      </c>
      <c r="AL225" s="516">
        <v>0</v>
      </c>
      <c r="AM225" s="516">
        <v>0</v>
      </c>
      <c r="AN225" s="516">
        <v>0</v>
      </c>
      <c r="AO225" s="516">
        <v>0</v>
      </c>
      <c r="AP225" s="516">
        <v>0</v>
      </c>
    </row>
    <row r="226" spans="1:42">
      <c r="A226" s="39"/>
      <c r="B226" s="7" t="s">
        <v>31</v>
      </c>
      <c r="C226" s="129">
        <f>NPV($C$7,F225:AO225)+D225+E225</f>
        <v>2573391.2662979001</v>
      </c>
      <c r="D226" s="7"/>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10"/>
    </row>
    <row r="227" spans="1:42">
      <c r="A227" s="39"/>
      <c r="B227" s="7" t="s">
        <v>4</v>
      </c>
      <c r="C227" s="130" t="str">
        <f>IF(SUM(D227:AN227)&gt;1,"CHECK"," ")</f>
        <v xml:space="preserve"> </v>
      </c>
      <c r="D227" s="178">
        <v>0</v>
      </c>
      <c r="E227" s="15">
        <v>0.33</v>
      </c>
      <c r="F227" s="15">
        <v>0.67</v>
      </c>
      <c r="G227" s="15"/>
      <c r="H227" s="15"/>
      <c r="I227" s="15"/>
      <c r="J227" s="15"/>
      <c r="K227" s="15"/>
      <c r="L227" s="15"/>
      <c r="M227" s="15"/>
      <c r="N227" s="15"/>
      <c r="O227" s="15"/>
      <c r="P227" s="15"/>
      <c r="Q227" s="15"/>
      <c r="R227" s="15"/>
      <c r="S227" s="15"/>
      <c r="T227" s="125"/>
      <c r="U227" s="15"/>
      <c r="V227" s="15"/>
      <c r="W227" s="15"/>
      <c r="X227" s="15"/>
      <c r="Y227" s="15"/>
      <c r="Z227" s="15"/>
      <c r="AA227" s="15"/>
      <c r="AB227" s="15"/>
      <c r="AC227" s="15"/>
      <c r="AD227" s="15"/>
      <c r="AE227" s="15"/>
      <c r="AF227" s="15"/>
      <c r="AG227" s="15"/>
      <c r="AH227" s="15"/>
      <c r="AI227" s="15"/>
      <c r="AJ227" s="15"/>
      <c r="AK227" s="15"/>
      <c r="AL227" s="15"/>
      <c r="AM227" s="15"/>
      <c r="AN227" s="146"/>
      <c r="AO227" s="146"/>
      <c r="AP227" s="16"/>
    </row>
    <row r="228" spans="1:42" ht="15.75" thickBot="1">
      <c r="A228" s="39"/>
      <c r="B228" s="11"/>
      <c r="C228" s="539"/>
      <c r="D228" s="179">
        <f t="shared" ref="D228:R228" si="50">IF(D227&gt;0,(D227*$C226),0)</f>
        <v>0</v>
      </c>
      <c r="E228" s="20">
        <f t="shared" si="50"/>
        <v>849219.11787830712</v>
      </c>
      <c r="F228" s="20">
        <f t="shared" si="50"/>
        <v>1724172.1484195932</v>
      </c>
      <c r="G228" s="20">
        <f t="shared" si="50"/>
        <v>0</v>
      </c>
      <c r="H228" s="20">
        <f t="shared" si="50"/>
        <v>0</v>
      </c>
      <c r="I228" s="20">
        <f t="shared" si="50"/>
        <v>0</v>
      </c>
      <c r="J228" s="20">
        <f t="shared" si="50"/>
        <v>0</v>
      </c>
      <c r="K228" s="20">
        <f t="shared" si="50"/>
        <v>0</v>
      </c>
      <c r="L228" s="20">
        <f t="shared" si="50"/>
        <v>0</v>
      </c>
      <c r="M228" s="20">
        <f t="shared" si="50"/>
        <v>0</v>
      </c>
      <c r="N228" s="20">
        <f t="shared" si="50"/>
        <v>0</v>
      </c>
      <c r="O228" s="20">
        <f t="shared" si="50"/>
        <v>0</v>
      </c>
      <c r="P228" s="20">
        <f t="shared" si="50"/>
        <v>0</v>
      </c>
      <c r="Q228" s="20">
        <f t="shared" si="50"/>
        <v>0</v>
      </c>
      <c r="R228" s="20">
        <f t="shared" si="50"/>
        <v>0</v>
      </c>
      <c r="S228" s="20">
        <f>IF(S227&gt;0,(S227*$C226),0)</f>
        <v>0</v>
      </c>
      <c r="T228" s="126">
        <f t="shared" ref="T228:AN228" si="51">IF(T227&gt;0,(T227*$C226),0)</f>
        <v>0</v>
      </c>
      <c r="U228" s="20">
        <f t="shared" si="51"/>
        <v>0</v>
      </c>
      <c r="V228" s="20">
        <f t="shared" si="51"/>
        <v>0</v>
      </c>
      <c r="W228" s="20">
        <f t="shared" si="51"/>
        <v>0</v>
      </c>
      <c r="X228" s="20">
        <f t="shared" si="51"/>
        <v>0</v>
      </c>
      <c r="Y228" s="20">
        <f t="shared" si="51"/>
        <v>0</v>
      </c>
      <c r="Z228" s="20">
        <f t="shared" si="51"/>
        <v>0</v>
      </c>
      <c r="AA228" s="20">
        <f t="shared" si="51"/>
        <v>0</v>
      </c>
      <c r="AB228" s="20">
        <f t="shared" si="51"/>
        <v>0</v>
      </c>
      <c r="AC228" s="20">
        <f t="shared" si="51"/>
        <v>0</v>
      </c>
      <c r="AD228" s="20">
        <f t="shared" si="51"/>
        <v>0</v>
      </c>
      <c r="AE228" s="20">
        <f t="shared" si="51"/>
        <v>0</v>
      </c>
      <c r="AF228" s="20">
        <f t="shared" si="51"/>
        <v>0</v>
      </c>
      <c r="AG228" s="20">
        <f t="shared" si="51"/>
        <v>0</v>
      </c>
      <c r="AH228" s="20">
        <f t="shared" si="51"/>
        <v>0</v>
      </c>
      <c r="AI228" s="20">
        <f t="shared" si="51"/>
        <v>0</v>
      </c>
      <c r="AJ228" s="20">
        <f t="shared" si="51"/>
        <v>0</v>
      </c>
      <c r="AK228" s="20">
        <f t="shared" si="51"/>
        <v>0</v>
      </c>
      <c r="AL228" s="20">
        <f t="shared" si="51"/>
        <v>0</v>
      </c>
      <c r="AM228" s="20">
        <f t="shared" si="51"/>
        <v>0</v>
      </c>
      <c r="AN228" s="215">
        <f t="shared" si="51"/>
        <v>0</v>
      </c>
      <c r="AO228" s="215">
        <f>IF(AO227&gt;0,(AO227*$C226),0)</f>
        <v>0</v>
      </c>
      <c r="AP228" s="22">
        <f>IF(AP227&gt;0,(AP227*$C226),0)</f>
        <v>0</v>
      </c>
    </row>
    <row r="229" spans="1:42" ht="15.75" thickBot="1">
      <c r="A229" s="39"/>
      <c r="B229" s="7"/>
      <c r="C229" s="10"/>
      <c r="D229" s="221"/>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222"/>
    </row>
    <row r="230" spans="1:42">
      <c r="A230" s="39"/>
      <c r="B230" s="4" t="s">
        <v>12</v>
      </c>
      <c r="C230" s="133" t="str">
        <f>Summary!B46</f>
        <v>C8</v>
      </c>
      <c r="D230" s="156" t="str">
        <f>Summary!C46</f>
        <v>NPD Programme - Reduced Cost of Capital</v>
      </c>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6"/>
    </row>
    <row r="231" spans="1:42">
      <c r="A231" s="39"/>
      <c r="B231" s="7" t="s">
        <v>189</v>
      </c>
      <c r="C231" s="134" t="str">
        <f>'C8 Reduced Cost of Capital'!D47</f>
        <v>D - Moderate</v>
      </c>
      <c r="D231" s="176">
        <f>VLOOKUP(C231,'Confidence Factors'!$B$6:$D$9,3)</f>
        <v>0.55000000000000004</v>
      </c>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10"/>
    </row>
    <row r="232" spans="1:42">
      <c r="A232" s="39"/>
      <c r="B232" s="7" t="s">
        <v>30</v>
      </c>
      <c r="C232" s="128">
        <f>SUM(D232:AN232)</f>
        <v>3616250</v>
      </c>
      <c r="D232" s="177">
        <v>0</v>
      </c>
      <c r="E232" s="19">
        <f>(('C5 RHSC DCN Comp'!$D91)*0.25)*'C5 RHSC DCN Comp'!$D96*'Calcs - Scen 4'!$D231</f>
        <v>0</v>
      </c>
      <c r="F232" s="516">
        <f>'C6 NPD Saved Proc Time'!L$79*'C6 NPD Saved Proc Time'!$D89*'Calcs - Scen 4'!$D231</f>
        <v>0</v>
      </c>
      <c r="G232" s="516">
        <f>'C6 NPD Saved Proc Time'!M$79*'C6 NPD Saved Proc Time'!$D89*'Calcs - Scen 4'!$D231</f>
        <v>0</v>
      </c>
      <c r="H232" s="516">
        <f>'C6 NPD Saved Proc Time'!N$79*'C6 NPD Saved Proc Time'!$D89*'Calcs - Scen 4'!$D231</f>
        <v>0</v>
      </c>
      <c r="I232" s="516">
        <f>'C7 NPD Optimal Risk Transfer'!R$42*'C7 NPD Optimal Risk Transfer'!$D82*'Calcs - Scen 4'!$D231</f>
        <v>0</v>
      </c>
      <c r="J232" s="516">
        <f>'C7 NPD Optimal Risk Transfer'!S$42*'C7 NPD Optimal Risk Transfer'!$D82*'Calcs - Scen 4'!$D231</f>
        <v>0</v>
      </c>
      <c r="K232" s="516">
        <f>(('C8 Reduced Cost of Capital'!R74)*1000)*'C8 Reduced Cost of Capital'!D75*'Calcs - Scen 4'!D231</f>
        <v>440000.00000000006</v>
      </c>
      <c r="L232" s="516">
        <f>(('C8 Reduced Cost of Capital'!$S74)*1000)*'C8 Reduced Cost of Capital'!$D75*'Calcs - Scen 4'!$D231</f>
        <v>1058750</v>
      </c>
      <c r="M232" s="516">
        <f>(('C8 Reduced Cost of Capital'!$S74)*1000)*'C8 Reduced Cost of Capital'!$D75*'Calcs - Scen 4'!$D231</f>
        <v>1058750</v>
      </c>
      <c r="N232" s="516">
        <f>(('C8 Reduced Cost of Capital'!$S74)*1000)*'C8 Reduced Cost of Capital'!$D75*'Calcs - Scen 4'!$D231</f>
        <v>1058750</v>
      </c>
      <c r="O232" s="516">
        <v>0</v>
      </c>
      <c r="P232" s="516">
        <v>0</v>
      </c>
      <c r="Q232" s="516">
        <v>0</v>
      </c>
      <c r="R232" s="516">
        <v>0</v>
      </c>
      <c r="S232" s="516">
        <v>0</v>
      </c>
      <c r="T232" s="516">
        <v>0</v>
      </c>
      <c r="U232" s="516">
        <v>0</v>
      </c>
      <c r="V232" s="516">
        <v>0</v>
      </c>
      <c r="W232" s="516">
        <v>0</v>
      </c>
      <c r="X232" s="516">
        <v>0</v>
      </c>
      <c r="Y232" s="516">
        <v>0</v>
      </c>
      <c r="Z232" s="516">
        <v>0</v>
      </c>
      <c r="AA232" s="516">
        <v>0</v>
      </c>
      <c r="AB232" s="516">
        <v>0</v>
      </c>
      <c r="AC232" s="516">
        <v>0</v>
      </c>
      <c r="AD232" s="516">
        <v>0</v>
      </c>
      <c r="AE232" s="516">
        <v>0</v>
      </c>
      <c r="AF232" s="516">
        <v>0</v>
      </c>
      <c r="AG232" s="516">
        <v>0</v>
      </c>
      <c r="AH232" s="516">
        <v>0</v>
      </c>
      <c r="AI232" s="516">
        <v>0</v>
      </c>
      <c r="AJ232" s="516">
        <v>0</v>
      </c>
      <c r="AK232" s="516">
        <v>0</v>
      </c>
      <c r="AL232" s="516">
        <v>0</v>
      </c>
      <c r="AM232" s="516">
        <v>0</v>
      </c>
      <c r="AN232" s="516">
        <v>0</v>
      </c>
      <c r="AO232" s="516">
        <v>0</v>
      </c>
      <c r="AP232" s="516">
        <v>0</v>
      </c>
    </row>
    <row r="233" spans="1:42">
      <c r="A233" s="39"/>
      <c r="B233" s="7" t="s">
        <v>31</v>
      </c>
      <c r="C233" s="129">
        <f>NPV($C$7,F232:AO232)+D232+E232</f>
        <v>2770972.8650691141</v>
      </c>
      <c r="D233" s="7"/>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10"/>
    </row>
    <row r="234" spans="1:42">
      <c r="A234" s="39"/>
      <c r="B234" s="7" t="s">
        <v>4</v>
      </c>
      <c r="C234" s="130" t="str">
        <f>IF(SUM(D234:AN234)&gt;1,"CHECK"," ")</f>
        <v xml:space="preserve"> </v>
      </c>
      <c r="D234" s="178">
        <v>0</v>
      </c>
      <c r="E234" s="15">
        <v>0.2</v>
      </c>
      <c r="F234" s="15">
        <v>0.4</v>
      </c>
      <c r="G234" s="15">
        <v>0.4</v>
      </c>
      <c r="H234" s="15"/>
      <c r="I234" s="15"/>
      <c r="J234" s="15"/>
      <c r="K234" s="15"/>
      <c r="L234" s="15"/>
      <c r="M234" s="15"/>
      <c r="N234" s="15"/>
      <c r="O234" s="15"/>
      <c r="P234" s="15"/>
      <c r="Q234" s="15"/>
      <c r="R234" s="15"/>
      <c r="S234" s="15"/>
      <c r="T234" s="125"/>
      <c r="U234" s="15"/>
      <c r="V234" s="15"/>
      <c r="W234" s="15"/>
      <c r="X234" s="15"/>
      <c r="Y234" s="15"/>
      <c r="Z234" s="15"/>
      <c r="AA234" s="15"/>
      <c r="AB234" s="15"/>
      <c r="AC234" s="15"/>
      <c r="AD234" s="15"/>
      <c r="AE234" s="15"/>
      <c r="AF234" s="15"/>
      <c r="AG234" s="15"/>
      <c r="AH234" s="15"/>
      <c r="AI234" s="15"/>
      <c r="AJ234" s="15"/>
      <c r="AK234" s="15"/>
      <c r="AL234" s="15"/>
      <c r="AM234" s="15"/>
      <c r="AN234" s="146"/>
      <c r="AO234" s="146"/>
      <c r="AP234" s="16"/>
    </row>
    <row r="235" spans="1:42" ht="15.75" thickBot="1">
      <c r="A235" s="39"/>
      <c r="B235" s="11"/>
      <c r="C235" s="539"/>
      <c r="D235" s="179">
        <f t="shared" ref="D235:R235" si="52">IF(D234&gt;0,(D234*$C233),0)</f>
        <v>0</v>
      </c>
      <c r="E235" s="20">
        <f t="shared" si="52"/>
        <v>554194.5730138229</v>
      </c>
      <c r="F235" s="20">
        <f t="shared" si="52"/>
        <v>1108389.1460276458</v>
      </c>
      <c r="G235" s="20">
        <f t="shared" si="52"/>
        <v>1108389.1460276458</v>
      </c>
      <c r="H235" s="20">
        <f t="shared" si="52"/>
        <v>0</v>
      </c>
      <c r="I235" s="20">
        <f t="shared" si="52"/>
        <v>0</v>
      </c>
      <c r="J235" s="20">
        <f t="shared" si="52"/>
        <v>0</v>
      </c>
      <c r="K235" s="20">
        <f t="shared" si="52"/>
        <v>0</v>
      </c>
      <c r="L235" s="20">
        <f t="shared" si="52"/>
        <v>0</v>
      </c>
      <c r="M235" s="20">
        <f t="shared" si="52"/>
        <v>0</v>
      </c>
      <c r="N235" s="20">
        <f t="shared" si="52"/>
        <v>0</v>
      </c>
      <c r="O235" s="20">
        <f t="shared" si="52"/>
        <v>0</v>
      </c>
      <c r="P235" s="20">
        <f t="shared" si="52"/>
        <v>0</v>
      </c>
      <c r="Q235" s="20">
        <f t="shared" si="52"/>
        <v>0</v>
      </c>
      <c r="R235" s="20">
        <f t="shared" si="52"/>
        <v>0</v>
      </c>
      <c r="S235" s="20">
        <f>IF(S234&gt;0,(S234*$C233),0)</f>
        <v>0</v>
      </c>
      <c r="T235" s="126">
        <f t="shared" ref="T235:AN235" si="53">IF(T234&gt;0,(T234*$C233),0)</f>
        <v>0</v>
      </c>
      <c r="U235" s="20">
        <f t="shared" si="53"/>
        <v>0</v>
      </c>
      <c r="V235" s="20">
        <f t="shared" si="53"/>
        <v>0</v>
      </c>
      <c r="W235" s="20">
        <f t="shared" si="53"/>
        <v>0</v>
      </c>
      <c r="X235" s="20">
        <f t="shared" si="53"/>
        <v>0</v>
      </c>
      <c r="Y235" s="20">
        <f t="shared" si="53"/>
        <v>0</v>
      </c>
      <c r="Z235" s="20">
        <f t="shared" si="53"/>
        <v>0</v>
      </c>
      <c r="AA235" s="20">
        <f t="shared" si="53"/>
        <v>0</v>
      </c>
      <c r="AB235" s="20">
        <f t="shared" si="53"/>
        <v>0</v>
      </c>
      <c r="AC235" s="20">
        <f t="shared" si="53"/>
        <v>0</v>
      </c>
      <c r="AD235" s="20">
        <f t="shared" si="53"/>
        <v>0</v>
      </c>
      <c r="AE235" s="20">
        <f t="shared" si="53"/>
        <v>0</v>
      </c>
      <c r="AF235" s="20">
        <f t="shared" si="53"/>
        <v>0</v>
      </c>
      <c r="AG235" s="20">
        <f t="shared" si="53"/>
        <v>0</v>
      </c>
      <c r="AH235" s="20">
        <f t="shared" si="53"/>
        <v>0</v>
      </c>
      <c r="AI235" s="20">
        <f t="shared" si="53"/>
        <v>0</v>
      </c>
      <c r="AJ235" s="20">
        <f t="shared" si="53"/>
        <v>0</v>
      </c>
      <c r="AK235" s="20">
        <f t="shared" si="53"/>
        <v>0</v>
      </c>
      <c r="AL235" s="20">
        <f t="shared" si="53"/>
        <v>0</v>
      </c>
      <c r="AM235" s="20">
        <f t="shared" si="53"/>
        <v>0</v>
      </c>
      <c r="AN235" s="215">
        <f t="shared" si="53"/>
        <v>0</v>
      </c>
      <c r="AO235" s="215">
        <f>IF(AO234&gt;0,(AO234*$C233),0)</f>
        <v>0</v>
      </c>
      <c r="AP235" s="22">
        <f>IF(AP234&gt;0,(AP234*$C233),0)</f>
        <v>0</v>
      </c>
    </row>
    <row r="236" spans="1:42" ht="15.75" thickBot="1">
      <c r="A236" s="39"/>
      <c r="B236" s="7"/>
      <c r="C236" s="10"/>
      <c r="D236" s="221"/>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222"/>
    </row>
    <row r="237" spans="1:42">
      <c r="A237" s="39"/>
      <c r="B237" s="4" t="s">
        <v>12</v>
      </c>
      <c r="C237" s="133" t="str">
        <f>Summary!B47</f>
        <v>C9</v>
      </c>
      <c r="D237" s="156" t="str">
        <f>Summary!C47</f>
        <v>hub - Return on Working capital investment</v>
      </c>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6"/>
    </row>
    <row r="238" spans="1:42">
      <c r="A238" s="39"/>
      <c r="B238" s="7" t="s">
        <v>189</v>
      </c>
      <c r="C238" s="134" t="str">
        <f>'C9 hub Return on Workg Cap Inv'!D47</f>
        <v>B - Very Good</v>
      </c>
      <c r="D238" s="176">
        <f>VLOOKUP(C238,'Confidence Factors'!$B$6:$D$9,3)</f>
        <v>0.9</v>
      </c>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10"/>
    </row>
    <row r="239" spans="1:42">
      <c r="A239" s="39"/>
      <c r="B239" s="7" t="s">
        <v>30</v>
      </c>
      <c r="C239" s="128">
        <f>SUM(D239:AN239)</f>
        <v>17100</v>
      </c>
      <c r="D239" s="177">
        <v>0</v>
      </c>
      <c r="E239" s="19">
        <f>'C9 hub Return on Workg Cap Inv'!I$73*'C9 hub Return on Workg Cap Inv'!$D75*'Calcs - Scen 4'!$D238</f>
        <v>2850</v>
      </c>
      <c r="F239" s="19">
        <f>'C9 hub Return on Workg Cap Inv'!J$73*'C9 hub Return on Workg Cap Inv'!$D75*'Calcs - Scen 4'!$D238</f>
        <v>2850</v>
      </c>
      <c r="G239" s="19">
        <f>'C9 hub Return on Workg Cap Inv'!K$73*'C9 hub Return on Workg Cap Inv'!$D75*'Calcs - Scen 4'!$D238</f>
        <v>2850</v>
      </c>
      <c r="H239" s="19">
        <f>'C9 hub Return on Workg Cap Inv'!L$73*'C9 hub Return on Workg Cap Inv'!$D75*'Calcs - Scen 4'!$D238</f>
        <v>2850</v>
      </c>
      <c r="I239" s="19">
        <f>'C9 hub Return on Workg Cap Inv'!M$73*'C9 hub Return on Workg Cap Inv'!$D75*'Calcs - Scen 4'!$D238</f>
        <v>2850</v>
      </c>
      <c r="J239" s="19">
        <f>'C9 hub Return on Workg Cap Inv'!N$73*'C9 hub Return on Workg Cap Inv'!$D75*'Calcs - Scen 4'!$D238</f>
        <v>2850</v>
      </c>
      <c r="K239" s="19">
        <f>'C9 hub Return on Workg Cap Inv'!O$73*'C9 hub Return on Workg Cap Inv'!$D75*'Calcs - Scen 4'!$D238</f>
        <v>0</v>
      </c>
      <c r="L239" s="19">
        <f>'C9 hub Return on Workg Cap Inv'!P$73*'C9 hub Return on Workg Cap Inv'!$D75*'Calcs - Scen 4'!$D238</f>
        <v>0</v>
      </c>
      <c r="M239" s="19">
        <f>'C9 hub Return on Workg Cap Inv'!Q$73*'C9 hub Return on Workg Cap Inv'!$D75*'Calcs - Scen 4'!$D238</f>
        <v>0</v>
      </c>
      <c r="N239" s="19">
        <f>'C9 hub Return on Workg Cap Inv'!R$73*'C9 hub Return on Workg Cap Inv'!$D75*'Calcs - Scen 4'!$D238</f>
        <v>0</v>
      </c>
      <c r="O239" s="19">
        <f>'C9 hub Return on Workg Cap Inv'!S$73*'C9 hub Return on Workg Cap Inv'!$D75*'Calcs - Scen 4'!$D238</f>
        <v>0</v>
      </c>
      <c r="P239" s="19">
        <f>'C9 hub Return on Workg Cap Inv'!T$73*'C9 hub Return on Workg Cap Inv'!$D75*'Calcs - Scen 4'!$D238</f>
        <v>0</v>
      </c>
      <c r="Q239" s="19">
        <f>'C9 hub Return on Workg Cap Inv'!U$73*'C9 hub Return on Workg Cap Inv'!$D75*'Calcs - Scen 4'!$D238</f>
        <v>0</v>
      </c>
      <c r="R239" s="19">
        <f>'C9 hub Return on Workg Cap Inv'!V$73*'C9 hub Return on Workg Cap Inv'!$D75*'Calcs - Scen 4'!$D238</f>
        <v>0</v>
      </c>
      <c r="S239" s="19">
        <f>'C9 hub Return on Workg Cap Inv'!W$73*'C9 hub Return on Workg Cap Inv'!$D75*'Calcs - Scen 4'!$D238</f>
        <v>0</v>
      </c>
      <c r="T239" s="19">
        <f>'C9 hub Return on Workg Cap Inv'!X$73*'C9 hub Return on Workg Cap Inv'!$D75*'Calcs - Scen 4'!$D238</f>
        <v>0</v>
      </c>
      <c r="U239" s="19">
        <f>'C9 hub Return on Workg Cap Inv'!Y$73*'C9 hub Return on Workg Cap Inv'!$D75*'Calcs - Scen 4'!$D238</f>
        <v>0</v>
      </c>
      <c r="V239" s="19">
        <f>'C9 hub Return on Workg Cap Inv'!Z$73*'C9 hub Return on Workg Cap Inv'!$D75*'Calcs - Scen 4'!$D238</f>
        <v>0</v>
      </c>
      <c r="W239" s="19">
        <f>'C9 hub Return on Workg Cap Inv'!AA$73*'C9 hub Return on Workg Cap Inv'!$D75*'Calcs - Scen 4'!$D238</f>
        <v>0</v>
      </c>
      <c r="X239" s="19">
        <f>'C9 hub Return on Workg Cap Inv'!AB$73*'C9 hub Return on Workg Cap Inv'!$D75*'Calcs - Scen 4'!$D238</f>
        <v>0</v>
      </c>
      <c r="Y239" s="19">
        <f>'C9 hub Return on Workg Cap Inv'!AC$73*'C9 hub Return on Workg Cap Inv'!$D75*'Calcs - Scen 4'!$D238</f>
        <v>0</v>
      </c>
      <c r="Z239" s="19">
        <f>'C9 hub Return on Workg Cap Inv'!AD$73*'C9 hub Return on Workg Cap Inv'!$D75*'Calcs - Scen 4'!$D238</f>
        <v>0</v>
      </c>
      <c r="AA239" s="19">
        <f>'C9 hub Return on Workg Cap Inv'!AE$73*'C9 hub Return on Workg Cap Inv'!$D75*'Calcs - Scen 4'!$D238</f>
        <v>0</v>
      </c>
      <c r="AB239" s="19">
        <f>'C9 hub Return on Workg Cap Inv'!AF$73*'C9 hub Return on Workg Cap Inv'!$D75*'Calcs - Scen 4'!$D238</f>
        <v>0</v>
      </c>
      <c r="AC239" s="19">
        <f>'C9 hub Return on Workg Cap Inv'!AG$73*'C9 hub Return on Workg Cap Inv'!$D75*'Calcs - Scen 4'!$D238</f>
        <v>0</v>
      </c>
      <c r="AD239" s="19">
        <f>'C9 hub Return on Workg Cap Inv'!AH$73*'C9 hub Return on Workg Cap Inv'!$D75*'Calcs - Scen 4'!$D238</f>
        <v>0</v>
      </c>
      <c r="AE239" s="19">
        <f>'C9 hub Return on Workg Cap Inv'!AI$73*'C9 hub Return on Workg Cap Inv'!$D75*'Calcs - Scen 4'!$D238</f>
        <v>0</v>
      </c>
      <c r="AF239" s="19">
        <f>'C9 hub Return on Workg Cap Inv'!AJ$73*'C9 hub Return on Workg Cap Inv'!$D75*'Calcs - Scen 4'!$D238</f>
        <v>0</v>
      </c>
      <c r="AG239" s="19">
        <f>'C9 hub Return on Workg Cap Inv'!AK$73*'C9 hub Return on Workg Cap Inv'!$D75*'Calcs - Scen 4'!$D238</f>
        <v>0</v>
      </c>
      <c r="AH239" s="19">
        <f>'C9 hub Return on Workg Cap Inv'!AL$73*'C9 hub Return on Workg Cap Inv'!$D75*'Calcs - Scen 4'!$D238</f>
        <v>0</v>
      </c>
      <c r="AI239" s="19">
        <f>'C9 hub Return on Workg Cap Inv'!AM$73*'C9 hub Return on Workg Cap Inv'!$D75*'Calcs - Scen 4'!$D238</f>
        <v>0</v>
      </c>
      <c r="AJ239" s="19">
        <f>'C9 hub Return on Workg Cap Inv'!AN$73*'C9 hub Return on Workg Cap Inv'!$D75*'Calcs - Scen 4'!$D238</f>
        <v>0</v>
      </c>
      <c r="AK239" s="19">
        <f>'C9 hub Return on Workg Cap Inv'!AO$73*'C9 hub Return on Workg Cap Inv'!$D75*'Calcs - Scen 4'!$D238</f>
        <v>0</v>
      </c>
      <c r="AL239" s="19">
        <f>'C9 hub Return on Workg Cap Inv'!AP$73*'C9 hub Return on Workg Cap Inv'!$D75*'Calcs - Scen 4'!$D238</f>
        <v>0</v>
      </c>
      <c r="AM239" s="19">
        <f>'C9 hub Return on Workg Cap Inv'!AQ$73*'C9 hub Return on Workg Cap Inv'!$D75*'Calcs - Scen 4'!$D238</f>
        <v>0</v>
      </c>
      <c r="AN239" s="19">
        <f>'C9 hub Return on Workg Cap Inv'!AR$73*'C9 hub Return on Workg Cap Inv'!$D75*'Calcs - Scen 4'!$D238</f>
        <v>0</v>
      </c>
      <c r="AO239" s="19">
        <f>'C9 hub Return on Workg Cap Inv'!AS$73*'C9 hub Return on Workg Cap Inv'!$D75*'Calcs - Scen 4'!$D238</f>
        <v>0</v>
      </c>
      <c r="AP239" s="19">
        <f>'C9 hub Return on Workg Cap Inv'!AT$73*'C9 hub Return on Workg Cap Inv'!$D75*'Calcs - Scen 4'!$D238</f>
        <v>0</v>
      </c>
    </row>
    <row r="240" spans="1:42">
      <c r="A240" s="39"/>
      <c r="B240" s="7" t="s">
        <v>31</v>
      </c>
      <c r="C240" s="129">
        <f>NPV($C$7,F239:AO239)+D239+E239</f>
        <v>15717.899270091635</v>
      </c>
      <c r="D240" s="7"/>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10"/>
    </row>
    <row r="241" spans="1:42">
      <c r="A241" s="39"/>
      <c r="B241" s="7" t="s">
        <v>4</v>
      </c>
      <c r="C241" s="130" t="str">
        <f>IF(SUM(D241:AN241)&gt;1,"CHECK"," ")</f>
        <v xml:space="preserve"> </v>
      </c>
      <c r="D241" s="178">
        <v>0.5</v>
      </c>
      <c r="E241" s="15">
        <v>0.5</v>
      </c>
      <c r="F241" s="15">
        <v>0</v>
      </c>
      <c r="G241" s="15">
        <v>0</v>
      </c>
      <c r="H241" s="15"/>
      <c r="I241" s="15"/>
      <c r="J241" s="15"/>
      <c r="K241" s="15"/>
      <c r="L241" s="15"/>
      <c r="M241" s="15"/>
      <c r="N241" s="15"/>
      <c r="O241" s="15"/>
      <c r="P241" s="15"/>
      <c r="Q241" s="15"/>
      <c r="R241" s="15"/>
      <c r="S241" s="15"/>
      <c r="T241" s="125"/>
      <c r="U241" s="15"/>
      <c r="V241" s="15"/>
      <c r="W241" s="15"/>
      <c r="X241" s="15"/>
      <c r="Y241" s="15"/>
      <c r="Z241" s="15"/>
      <c r="AA241" s="15"/>
      <c r="AB241" s="15"/>
      <c r="AC241" s="15"/>
      <c r="AD241" s="15"/>
      <c r="AE241" s="15"/>
      <c r="AF241" s="15"/>
      <c r="AG241" s="15"/>
      <c r="AH241" s="15"/>
      <c r="AI241" s="15"/>
      <c r="AJ241" s="15"/>
      <c r="AK241" s="15"/>
      <c r="AL241" s="15"/>
      <c r="AM241" s="15"/>
      <c r="AN241" s="146"/>
      <c r="AO241" s="146"/>
      <c r="AP241" s="16"/>
    </row>
    <row r="242" spans="1:42" ht="15.75" thickBot="1">
      <c r="A242" s="39"/>
      <c r="B242" s="11"/>
      <c r="C242" s="539"/>
      <c r="D242" s="179">
        <f t="shared" ref="D242:R242" si="54">IF(D241&gt;0,(D241*$C240),0)</f>
        <v>7858.9496350458176</v>
      </c>
      <c r="E242" s="20">
        <f t="shared" si="54"/>
        <v>7858.9496350458176</v>
      </c>
      <c r="F242" s="20">
        <f t="shared" si="54"/>
        <v>0</v>
      </c>
      <c r="G242" s="20">
        <f t="shared" si="54"/>
        <v>0</v>
      </c>
      <c r="H242" s="20">
        <f t="shared" si="54"/>
        <v>0</v>
      </c>
      <c r="I242" s="20">
        <f t="shared" si="54"/>
        <v>0</v>
      </c>
      <c r="J242" s="20">
        <f t="shared" si="54"/>
        <v>0</v>
      </c>
      <c r="K242" s="20">
        <f t="shared" si="54"/>
        <v>0</v>
      </c>
      <c r="L242" s="20">
        <f t="shared" si="54"/>
        <v>0</v>
      </c>
      <c r="M242" s="20">
        <f t="shared" si="54"/>
        <v>0</v>
      </c>
      <c r="N242" s="20">
        <f t="shared" si="54"/>
        <v>0</v>
      </c>
      <c r="O242" s="20">
        <f t="shared" si="54"/>
        <v>0</v>
      </c>
      <c r="P242" s="20">
        <f t="shared" si="54"/>
        <v>0</v>
      </c>
      <c r="Q242" s="20">
        <f t="shared" si="54"/>
        <v>0</v>
      </c>
      <c r="R242" s="20">
        <f t="shared" si="54"/>
        <v>0</v>
      </c>
      <c r="S242" s="20">
        <f>IF(S241&gt;0,(S241*$C240),0)</f>
        <v>0</v>
      </c>
      <c r="T242" s="126">
        <f t="shared" ref="T242:AN242" si="55">IF(T241&gt;0,(T241*$C240),0)</f>
        <v>0</v>
      </c>
      <c r="U242" s="20">
        <f t="shared" si="55"/>
        <v>0</v>
      </c>
      <c r="V242" s="20">
        <f t="shared" si="55"/>
        <v>0</v>
      </c>
      <c r="W242" s="20">
        <f t="shared" si="55"/>
        <v>0</v>
      </c>
      <c r="X242" s="20">
        <f t="shared" si="55"/>
        <v>0</v>
      </c>
      <c r="Y242" s="20">
        <f t="shared" si="55"/>
        <v>0</v>
      </c>
      <c r="Z242" s="20">
        <f t="shared" si="55"/>
        <v>0</v>
      </c>
      <c r="AA242" s="20">
        <f t="shared" si="55"/>
        <v>0</v>
      </c>
      <c r="AB242" s="20">
        <f t="shared" si="55"/>
        <v>0</v>
      </c>
      <c r="AC242" s="20">
        <f t="shared" si="55"/>
        <v>0</v>
      </c>
      <c r="AD242" s="20">
        <f t="shared" si="55"/>
        <v>0</v>
      </c>
      <c r="AE242" s="20">
        <f t="shared" si="55"/>
        <v>0</v>
      </c>
      <c r="AF242" s="20">
        <f t="shared" si="55"/>
        <v>0</v>
      </c>
      <c r="AG242" s="20">
        <f t="shared" si="55"/>
        <v>0</v>
      </c>
      <c r="AH242" s="20">
        <f t="shared" si="55"/>
        <v>0</v>
      </c>
      <c r="AI242" s="20">
        <f t="shared" si="55"/>
        <v>0</v>
      </c>
      <c r="AJ242" s="20">
        <f t="shared" si="55"/>
        <v>0</v>
      </c>
      <c r="AK242" s="20">
        <f t="shared" si="55"/>
        <v>0</v>
      </c>
      <c r="AL242" s="20">
        <f t="shared" si="55"/>
        <v>0</v>
      </c>
      <c r="AM242" s="20">
        <f t="shared" si="55"/>
        <v>0</v>
      </c>
      <c r="AN242" s="215">
        <f t="shared" si="55"/>
        <v>0</v>
      </c>
      <c r="AO242" s="215">
        <f>IF(AO241&gt;0,(AO241*$C240),0)</f>
        <v>0</v>
      </c>
      <c r="AP242" s="22">
        <f>IF(AP241&gt;0,(AP241*$C240),0)</f>
        <v>0</v>
      </c>
    </row>
    <row r="243" spans="1:42" ht="15.75" thickBot="1">
      <c r="A243" s="39"/>
      <c r="B243" s="7"/>
      <c r="C243" s="10"/>
      <c r="D243" s="221"/>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222"/>
    </row>
    <row r="244" spans="1:42">
      <c r="A244" s="39"/>
      <c r="B244" s="4" t="s">
        <v>12</v>
      </c>
      <c r="C244" s="133" t="str">
        <f>Summary!B48</f>
        <v>D1</v>
      </c>
      <c r="D244" s="156" t="str">
        <f>Summary!C48</f>
        <v>Hub Programme - Reduced Procurement Time</v>
      </c>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6"/>
    </row>
    <row r="245" spans="1:42">
      <c r="A245" s="39"/>
      <c r="B245" s="7" t="s">
        <v>189</v>
      </c>
      <c r="C245" s="134" t="str">
        <f>'D1 hub Reduced Proc Time'!D47</f>
        <v>B - Very Good</v>
      </c>
      <c r="D245" s="176">
        <f>VLOOKUP(C245,'Confidence Factors'!$B$6:$D$9,3)</f>
        <v>0.9</v>
      </c>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10"/>
    </row>
    <row r="246" spans="1:42">
      <c r="A246" s="39"/>
      <c r="B246" s="7" t="s">
        <v>30</v>
      </c>
      <c r="C246" s="128">
        <f>SUM(F246:AN246)</f>
        <v>6672900</v>
      </c>
      <c r="D246" s="124">
        <f>'D1-D5 hub Benefit Summary'!E8*1000000*$D$245</f>
        <v>0</v>
      </c>
      <c r="E246" s="124">
        <f>'D1-D5 hub Benefit Summary'!F8*1000000*$D$245</f>
        <v>0</v>
      </c>
      <c r="F246" s="124">
        <f>'D1-D5 hub Benefit Summary'!G8*1000000*$D$245</f>
        <v>594000</v>
      </c>
      <c r="G246" s="124">
        <f>'D1-D5 hub Benefit Summary'!H8*1000000*$D$245</f>
        <v>771299.99999999988</v>
      </c>
      <c r="H246" s="124">
        <f>'D1-D5 hub Benefit Summary'!I8*1000000*$D$245</f>
        <v>531637.5</v>
      </c>
      <c r="I246" s="124">
        <f>'D1-D5 hub Benefit Summary'!J8*1000000*$D$245</f>
        <v>659212.50000000012</v>
      </c>
      <c r="J246" s="124">
        <f>'D1-D5 hub Benefit Summary'!K8*1000000*$D$245</f>
        <v>713925</v>
      </c>
      <c r="K246" s="124">
        <f>'D1-D5 hub Benefit Summary'!L8*1000000*$D$245</f>
        <v>768637.50000000023</v>
      </c>
      <c r="L246" s="124">
        <f>'D1-D5 hub Benefit Summary'!M8*1000000*$D$245</f>
        <v>823350</v>
      </c>
      <c r="M246" s="124">
        <f>'D1-D5 hub Benefit Summary'!N8*1000000*$D$245</f>
        <v>878062.50000000023</v>
      </c>
      <c r="N246" s="124">
        <f>'D1-D5 hub Benefit Summary'!O8*1000000*$D$245</f>
        <v>932775.00000000012</v>
      </c>
      <c r="O246" s="124">
        <v>0</v>
      </c>
      <c r="P246" s="124">
        <v>0</v>
      </c>
      <c r="Q246" s="124">
        <v>0</v>
      </c>
      <c r="R246" s="124">
        <v>0</v>
      </c>
      <c r="S246" s="124">
        <v>0</v>
      </c>
      <c r="T246" s="124">
        <v>0</v>
      </c>
      <c r="U246" s="124">
        <v>0</v>
      </c>
      <c r="V246" s="124">
        <v>0</v>
      </c>
      <c r="W246" s="124">
        <v>0</v>
      </c>
      <c r="X246" s="124">
        <v>0</v>
      </c>
      <c r="Y246" s="124">
        <v>0</v>
      </c>
      <c r="Z246" s="124">
        <v>0</v>
      </c>
      <c r="AA246" s="124">
        <v>0</v>
      </c>
      <c r="AB246" s="124">
        <v>0</v>
      </c>
      <c r="AC246" s="124">
        <v>0</v>
      </c>
      <c r="AD246" s="124">
        <v>0</v>
      </c>
      <c r="AE246" s="124">
        <v>0</v>
      </c>
      <c r="AF246" s="124">
        <v>0</v>
      </c>
      <c r="AG246" s="124">
        <v>0</v>
      </c>
      <c r="AH246" s="124">
        <v>0</v>
      </c>
      <c r="AI246" s="124">
        <v>0</v>
      </c>
      <c r="AJ246" s="124">
        <v>0</v>
      </c>
      <c r="AK246" s="124">
        <v>0</v>
      </c>
      <c r="AL246" s="124">
        <v>0</v>
      </c>
      <c r="AM246" s="124">
        <v>0</v>
      </c>
      <c r="AN246" s="124">
        <v>0</v>
      </c>
      <c r="AO246" s="124">
        <v>0</v>
      </c>
      <c r="AP246" s="124">
        <v>0</v>
      </c>
    </row>
    <row r="247" spans="1:42">
      <c r="A247" s="39"/>
      <c r="B247" s="7" t="s">
        <v>31</v>
      </c>
      <c r="C247" s="129">
        <f>NPV($C$7,F246:AO246)+D246+E246</f>
        <v>5572657.1906640893</v>
      </c>
      <c r="D247" s="7"/>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10"/>
    </row>
    <row r="248" spans="1:42">
      <c r="A248" s="39"/>
      <c r="B248" s="7" t="s">
        <v>4</v>
      </c>
      <c r="C248" s="130" t="str">
        <f>IF(SUM(D248:AN248)&gt;1,"CHECK"," ")</f>
        <v xml:space="preserve"> </v>
      </c>
      <c r="D248" s="178">
        <f>'D1-D5 hub Benefit Summary'!E22</f>
        <v>0.4</v>
      </c>
      <c r="E248" s="15">
        <f>'D1-D5 hub Benefit Summary'!F22</f>
        <v>0.3</v>
      </c>
      <c r="F248" s="15">
        <f>'D1-D5 hub Benefit Summary'!G22</f>
        <v>0.2</v>
      </c>
      <c r="G248" s="15">
        <f>'D1-D5 hub Benefit Summary'!H22</f>
        <v>0.1</v>
      </c>
      <c r="H248" s="15">
        <f>'D1-D5 hub Benefit Summary'!I22</f>
        <v>0</v>
      </c>
      <c r="I248" s="15"/>
      <c r="J248" s="15"/>
      <c r="K248" s="15"/>
      <c r="L248" s="15"/>
      <c r="M248" s="15"/>
      <c r="N248" s="15"/>
      <c r="O248" s="15"/>
      <c r="P248" s="15"/>
      <c r="Q248" s="15"/>
      <c r="R248" s="15"/>
      <c r="S248" s="15"/>
      <c r="T248" s="125"/>
      <c r="U248" s="15"/>
      <c r="V248" s="15"/>
      <c r="W248" s="15"/>
      <c r="X248" s="15"/>
      <c r="Y248" s="15"/>
      <c r="Z248" s="15"/>
      <c r="AA248" s="15"/>
      <c r="AB248" s="15"/>
      <c r="AC248" s="15"/>
      <c r="AD248" s="15"/>
      <c r="AE248" s="15"/>
      <c r="AF248" s="15"/>
      <c r="AG248" s="15"/>
      <c r="AH248" s="15"/>
      <c r="AI248" s="15"/>
      <c r="AJ248" s="15"/>
      <c r="AK248" s="15"/>
      <c r="AL248" s="15"/>
      <c r="AM248" s="15"/>
      <c r="AN248" s="146"/>
      <c r="AO248" s="146"/>
      <c r="AP248" s="16"/>
    </row>
    <row r="249" spans="1:42" ht="15.75" thickBot="1">
      <c r="A249" s="39"/>
      <c r="B249" s="11" t="s">
        <v>32</v>
      </c>
      <c r="C249" s="51"/>
      <c r="D249" s="179">
        <f t="shared" ref="D249:AN249" si="56">IF(D248&gt;0,(D248*$C247),0)</f>
        <v>2229062.8762656357</v>
      </c>
      <c r="E249" s="20">
        <f t="shared" si="56"/>
        <v>1671797.1571992268</v>
      </c>
      <c r="F249" s="20">
        <f t="shared" si="56"/>
        <v>1114531.4381328179</v>
      </c>
      <c r="G249" s="20">
        <f t="shared" si="56"/>
        <v>557265.71906640893</v>
      </c>
      <c r="H249" s="20">
        <f t="shared" si="56"/>
        <v>0</v>
      </c>
      <c r="I249" s="20">
        <f t="shared" si="56"/>
        <v>0</v>
      </c>
      <c r="J249" s="20">
        <f t="shared" si="56"/>
        <v>0</v>
      </c>
      <c r="K249" s="20">
        <f t="shared" si="56"/>
        <v>0</v>
      </c>
      <c r="L249" s="20">
        <f t="shared" si="56"/>
        <v>0</v>
      </c>
      <c r="M249" s="20">
        <f t="shared" si="56"/>
        <v>0</v>
      </c>
      <c r="N249" s="20">
        <f t="shared" si="56"/>
        <v>0</v>
      </c>
      <c r="O249" s="20">
        <f t="shared" si="56"/>
        <v>0</v>
      </c>
      <c r="P249" s="20">
        <f t="shared" si="56"/>
        <v>0</v>
      </c>
      <c r="Q249" s="20">
        <f t="shared" si="56"/>
        <v>0</v>
      </c>
      <c r="R249" s="20">
        <f t="shared" si="56"/>
        <v>0</v>
      </c>
      <c r="S249" s="20">
        <f>IF(S248&gt;0,(S248*$C247),0)</f>
        <v>0</v>
      </c>
      <c r="T249" s="126">
        <f t="shared" si="56"/>
        <v>0</v>
      </c>
      <c r="U249" s="20">
        <f t="shared" si="56"/>
        <v>0</v>
      </c>
      <c r="V249" s="20">
        <f t="shared" si="56"/>
        <v>0</v>
      </c>
      <c r="W249" s="20">
        <f t="shared" si="56"/>
        <v>0</v>
      </c>
      <c r="X249" s="20">
        <f t="shared" si="56"/>
        <v>0</v>
      </c>
      <c r="Y249" s="20">
        <f t="shared" si="56"/>
        <v>0</v>
      </c>
      <c r="Z249" s="20">
        <f t="shared" si="56"/>
        <v>0</v>
      </c>
      <c r="AA249" s="20">
        <f t="shared" si="56"/>
        <v>0</v>
      </c>
      <c r="AB249" s="20">
        <f t="shared" si="56"/>
        <v>0</v>
      </c>
      <c r="AC249" s="20">
        <f t="shared" si="56"/>
        <v>0</v>
      </c>
      <c r="AD249" s="20">
        <f t="shared" si="56"/>
        <v>0</v>
      </c>
      <c r="AE249" s="20">
        <f t="shared" si="56"/>
        <v>0</v>
      </c>
      <c r="AF249" s="20">
        <f t="shared" si="56"/>
        <v>0</v>
      </c>
      <c r="AG249" s="20">
        <f t="shared" si="56"/>
        <v>0</v>
      </c>
      <c r="AH249" s="20">
        <f t="shared" si="56"/>
        <v>0</v>
      </c>
      <c r="AI249" s="20">
        <f t="shared" si="56"/>
        <v>0</v>
      </c>
      <c r="AJ249" s="20">
        <f t="shared" si="56"/>
        <v>0</v>
      </c>
      <c r="AK249" s="20">
        <f t="shared" si="56"/>
        <v>0</v>
      </c>
      <c r="AL249" s="20">
        <f t="shared" si="56"/>
        <v>0</v>
      </c>
      <c r="AM249" s="20">
        <f t="shared" si="56"/>
        <v>0</v>
      </c>
      <c r="AN249" s="215">
        <f t="shared" si="56"/>
        <v>0</v>
      </c>
      <c r="AO249" s="215">
        <f>IF(AO248&gt;0,(AO248*$C247),0)</f>
        <v>0</v>
      </c>
      <c r="AP249" s="22">
        <f>IF(AP248&gt;0,(AP248*$C247),0)</f>
        <v>0</v>
      </c>
    </row>
    <row r="250" spans="1:42" ht="15.75" thickBot="1">
      <c r="A250" s="39"/>
      <c r="B250" s="7"/>
      <c r="C250" s="10"/>
      <c r="D250" s="221"/>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222"/>
    </row>
    <row r="251" spans="1:42">
      <c r="A251" s="39"/>
      <c r="B251" s="4" t="s">
        <v>12</v>
      </c>
      <c r="C251" s="133" t="str">
        <f>Summary!B49</f>
        <v>D2</v>
      </c>
      <c r="D251" s="156" t="str">
        <f>Summary!C49</f>
        <v>Hub Programme - Capital Costs Continuous Improvement</v>
      </c>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6"/>
    </row>
    <row r="252" spans="1:42">
      <c r="A252" s="39"/>
      <c r="B252" s="7" t="s">
        <v>189</v>
      </c>
      <c r="C252" s="134" t="str">
        <f>'D2 hub Cont Improvement'!D47</f>
        <v>C - Good</v>
      </c>
      <c r="D252" s="176">
        <f>VLOOKUP(C252,'Confidence Factors'!$B$6:$D$9,3)</f>
        <v>0.75</v>
      </c>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10"/>
    </row>
    <row r="253" spans="1:42">
      <c r="A253" s="39"/>
      <c r="B253" s="7" t="s">
        <v>30</v>
      </c>
      <c r="C253" s="128">
        <f>SUM(D253:AP253)</f>
        <v>7518689.0625</v>
      </c>
      <c r="D253" s="177">
        <f>'D1-D5 hub Benefit Summary'!E10*1000000*$D$252</f>
        <v>0</v>
      </c>
      <c r="E253" s="19">
        <f>'D1-D5 hub Benefit Summary'!F10*1000000*$D$252</f>
        <v>0</v>
      </c>
      <c r="F253" s="19">
        <f>'D1-D5 hub Benefit Summary'!G10*1000000*$D$252</f>
        <v>0</v>
      </c>
      <c r="G253" s="19">
        <f>'D1-D5 hub Benefit Summary'!H10*1000000*$D$252</f>
        <v>155625.00000000003</v>
      </c>
      <c r="H253" s="19">
        <f>'D1-D5 hub Benefit Summary'!I10*1000000*$D$252</f>
        <v>313125.00000000006</v>
      </c>
      <c r="I253" s="19">
        <f>'D1-D5 hub Benefit Summary'!J10*1000000*$D$252</f>
        <v>534900</v>
      </c>
      <c r="J253" s="19">
        <f>'D1-D5 hub Benefit Summary'!K10*1000000*$D$252</f>
        <v>763579.6875</v>
      </c>
      <c r="K253" s="19">
        <f>'D1-D5 hub Benefit Summary'!L10*1000000*$D$252</f>
        <v>1012776.5625000002</v>
      </c>
      <c r="L253" s="19">
        <f>'D1-D5 hub Benefit Summary'!M10*1000000*$D$252</f>
        <v>1282490.625</v>
      </c>
      <c r="M253" s="19">
        <f>'D1-D5 hub Benefit Summary'!N10*1000000*$D$252</f>
        <v>1572721.8750000005</v>
      </c>
      <c r="N253" s="19">
        <f>'D1-D5 hub Benefit Summary'!O10*1000000*$D$252</f>
        <v>1883470.3125</v>
      </c>
      <c r="O253" s="19">
        <v>0</v>
      </c>
      <c r="P253" s="19">
        <v>0</v>
      </c>
      <c r="Q253" s="19">
        <v>0</v>
      </c>
      <c r="R253" s="19">
        <v>0</v>
      </c>
      <c r="S253" s="19">
        <v>0</v>
      </c>
      <c r="T253" s="19">
        <v>0</v>
      </c>
      <c r="U253" s="19">
        <v>0</v>
      </c>
      <c r="V253" s="19">
        <v>0</v>
      </c>
      <c r="W253" s="19">
        <v>0</v>
      </c>
      <c r="X253" s="19">
        <v>0</v>
      </c>
      <c r="Y253" s="19">
        <v>0</v>
      </c>
      <c r="Z253" s="19">
        <v>0</v>
      </c>
      <c r="AA253" s="19">
        <v>0</v>
      </c>
      <c r="AB253" s="19">
        <v>0</v>
      </c>
      <c r="AC253" s="19">
        <v>0</v>
      </c>
      <c r="AD253" s="19">
        <v>0</v>
      </c>
      <c r="AE253" s="19">
        <v>0</v>
      </c>
      <c r="AF253" s="19">
        <v>0</v>
      </c>
      <c r="AG253" s="19">
        <v>0</v>
      </c>
      <c r="AH253" s="19">
        <v>0</v>
      </c>
      <c r="AI253" s="19">
        <v>0</v>
      </c>
      <c r="AJ253" s="19">
        <v>0</v>
      </c>
      <c r="AK253" s="19">
        <v>0</v>
      </c>
      <c r="AL253" s="19">
        <v>0</v>
      </c>
      <c r="AM253" s="19">
        <v>0</v>
      </c>
      <c r="AN253" s="19">
        <v>0</v>
      </c>
      <c r="AO253" s="19">
        <v>0</v>
      </c>
      <c r="AP253" s="19">
        <v>0</v>
      </c>
    </row>
    <row r="254" spans="1:42">
      <c r="A254" s="39"/>
      <c r="B254" s="7" t="s">
        <v>31</v>
      </c>
      <c r="C254" s="129">
        <f>NPV($C$7,F253:AOP253)+D253+E253</f>
        <v>5944970.562301279</v>
      </c>
      <c r="D254" s="7"/>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10"/>
    </row>
    <row r="255" spans="1:42">
      <c r="A255" s="39"/>
      <c r="B255" s="7" t="s">
        <v>4</v>
      </c>
      <c r="C255" s="130" t="str">
        <f>IF(SUM(D255:AN255)&gt;1,"CHECK"," ")</f>
        <v xml:space="preserve"> </v>
      </c>
      <c r="D255" s="178">
        <f>'D1-D5 hub Benefit Summary'!E22</f>
        <v>0.4</v>
      </c>
      <c r="E255" s="15">
        <f>'D1-D5 hub Benefit Summary'!F22</f>
        <v>0.3</v>
      </c>
      <c r="F255" s="15">
        <f>'D1-D5 hub Benefit Summary'!G22</f>
        <v>0.2</v>
      </c>
      <c r="G255" s="15">
        <f>'D1-D5 hub Benefit Summary'!H22</f>
        <v>0.1</v>
      </c>
      <c r="H255" s="15">
        <f>'D1-D5 hub Benefit Summary'!I22</f>
        <v>0</v>
      </c>
      <c r="I255" s="15"/>
      <c r="J255" s="15"/>
      <c r="K255" s="15"/>
      <c r="L255" s="15"/>
      <c r="M255" s="15"/>
      <c r="N255" s="15"/>
      <c r="O255" s="15"/>
      <c r="P255" s="15"/>
      <c r="Q255" s="15"/>
      <c r="R255" s="15"/>
      <c r="S255" s="15"/>
      <c r="T255" s="125"/>
      <c r="U255" s="15"/>
      <c r="V255" s="15"/>
      <c r="W255" s="15"/>
      <c r="X255" s="15"/>
      <c r="Y255" s="15"/>
      <c r="Z255" s="15"/>
      <c r="AA255" s="15"/>
      <c r="AB255" s="15"/>
      <c r="AC255" s="15"/>
      <c r="AD255" s="15"/>
      <c r="AE255" s="15"/>
      <c r="AF255" s="15"/>
      <c r="AG255" s="15"/>
      <c r="AH255" s="15"/>
      <c r="AI255" s="15"/>
      <c r="AJ255" s="15"/>
      <c r="AK255" s="15"/>
      <c r="AL255" s="15"/>
      <c r="AM255" s="15"/>
      <c r="AN255" s="146"/>
      <c r="AO255" s="146"/>
      <c r="AP255" s="16"/>
    </row>
    <row r="256" spans="1:42" ht="15.75" thickBot="1">
      <c r="A256" s="39"/>
      <c r="B256" s="11" t="s">
        <v>32</v>
      </c>
      <c r="C256" s="51"/>
      <c r="D256" s="179">
        <f t="shared" ref="D256:AN256" si="57">IF(D255&gt;0,(D255*$C254),0)</f>
        <v>2377988.2249205117</v>
      </c>
      <c r="E256" s="20">
        <f t="shared" si="57"/>
        <v>1783491.1686903837</v>
      </c>
      <c r="F256" s="20">
        <f t="shared" si="57"/>
        <v>1188994.1124602559</v>
      </c>
      <c r="G256" s="20">
        <f t="shared" si="57"/>
        <v>594497.05623012793</v>
      </c>
      <c r="H256" s="20">
        <f t="shared" si="57"/>
        <v>0</v>
      </c>
      <c r="I256" s="20">
        <f t="shared" si="57"/>
        <v>0</v>
      </c>
      <c r="J256" s="20">
        <f t="shared" si="57"/>
        <v>0</v>
      </c>
      <c r="K256" s="20">
        <f t="shared" si="57"/>
        <v>0</v>
      </c>
      <c r="L256" s="20">
        <f t="shared" si="57"/>
        <v>0</v>
      </c>
      <c r="M256" s="20">
        <f t="shared" si="57"/>
        <v>0</v>
      </c>
      <c r="N256" s="20">
        <f t="shared" si="57"/>
        <v>0</v>
      </c>
      <c r="O256" s="20">
        <f t="shared" si="57"/>
        <v>0</v>
      </c>
      <c r="P256" s="20">
        <f t="shared" si="57"/>
        <v>0</v>
      </c>
      <c r="Q256" s="20">
        <f t="shared" si="57"/>
        <v>0</v>
      </c>
      <c r="R256" s="20">
        <f t="shared" si="57"/>
        <v>0</v>
      </c>
      <c r="S256" s="20">
        <f>IF(S255&gt;0,(S255*$C254),0)</f>
        <v>0</v>
      </c>
      <c r="T256" s="126">
        <f t="shared" si="57"/>
        <v>0</v>
      </c>
      <c r="U256" s="20">
        <f t="shared" si="57"/>
        <v>0</v>
      </c>
      <c r="V256" s="20">
        <f t="shared" si="57"/>
        <v>0</v>
      </c>
      <c r="W256" s="20">
        <f t="shared" si="57"/>
        <v>0</v>
      </c>
      <c r="X256" s="20">
        <f t="shared" si="57"/>
        <v>0</v>
      </c>
      <c r="Y256" s="20">
        <f t="shared" si="57"/>
        <v>0</v>
      </c>
      <c r="Z256" s="20">
        <f t="shared" si="57"/>
        <v>0</v>
      </c>
      <c r="AA256" s="20">
        <f t="shared" si="57"/>
        <v>0</v>
      </c>
      <c r="AB256" s="20">
        <f t="shared" si="57"/>
        <v>0</v>
      </c>
      <c r="AC256" s="20">
        <f t="shared" si="57"/>
        <v>0</v>
      </c>
      <c r="AD256" s="20">
        <f t="shared" si="57"/>
        <v>0</v>
      </c>
      <c r="AE256" s="20">
        <f t="shared" si="57"/>
        <v>0</v>
      </c>
      <c r="AF256" s="20">
        <f t="shared" si="57"/>
        <v>0</v>
      </c>
      <c r="AG256" s="20">
        <f t="shared" si="57"/>
        <v>0</v>
      </c>
      <c r="AH256" s="20">
        <f t="shared" si="57"/>
        <v>0</v>
      </c>
      <c r="AI256" s="20">
        <f t="shared" si="57"/>
        <v>0</v>
      </c>
      <c r="AJ256" s="20">
        <f t="shared" si="57"/>
        <v>0</v>
      </c>
      <c r="AK256" s="20">
        <f t="shared" si="57"/>
        <v>0</v>
      </c>
      <c r="AL256" s="20">
        <f t="shared" si="57"/>
        <v>0</v>
      </c>
      <c r="AM256" s="20">
        <f t="shared" si="57"/>
        <v>0</v>
      </c>
      <c r="AN256" s="215">
        <f t="shared" si="57"/>
        <v>0</v>
      </c>
      <c r="AO256" s="215">
        <f>IF(AO255&gt;0,(AO255*$C254),0)</f>
        <v>0</v>
      </c>
      <c r="AP256" s="22">
        <f>IF(AP255&gt;0,(AP255*$C254),0)</f>
        <v>0</v>
      </c>
    </row>
    <row r="257" spans="1:42" ht="15.75" thickBot="1">
      <c r="A257" s="39"/>
      <c r="B257" s="7"/>
      <c r="C257" s="10"/>
      <c r="D257" s="221"/>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222"/>
    </row>
    <row r="258" spans="1:42">
      <c r="A258" s="39"/>
      <c r="B258" s="4" t="s">
        <v>12</v>
      </c>
      <c r="C258" s="133" t="str">
        <f>Summary!B50</f>
        <v>D3</v>
      </c>
      <c r="D258" s="156" t="str">
        <f>Summary!C50</f>
        <v>Hub Programme - Bid Costs Savings</v>
      </c>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6"/>
    </row>
    <row r="259" spans="1:42">
      <c r="A259" s="39"/>
      <c r="B259" s="7" t="s">
        <v>189</v>
      </c>
      <c r="C259" s="134" t="str">
        <f>'D3 hub Savings in Bid Costs'!D47</f>
        <v>B - Very Good</v>
      </c>
      <c r="D259" s="176">
        <f>VLOOKUP(C259,'Confidence Factors'!$B$6:$D$9,3)</f>
        <v>0.9</v>
      </c>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10"/>
    </row>
    <row r="260" spans="1:42">
      <c r="A260" s="39"/>
      <c r="B260" s="7" t="s">
        <v>30</v>
      </c>
      <c r="C260" s="128">
        <f>SUM(D260:AN260)</f>
        <v>3227343.75</v>
      </c>
      <c r="D260" s="230">
        <f>'D1-D5 hub Benefit Summary'!E12*1000000*$D$259</f>
        <v>0</v>
      </c>
      <c r="E260" s="19">
        <f>'D1-D5 hub Benefit Summary'!F12*1000000*$D$259</f>
        <v>0</v>
      </c>
      <c r="F260" s="19">
        <f>'D1-D5 hub Benefit Summary'!G12*1000000*$D$259</f>
        <v>0</v>
      </c>
      <c r="G260" s="19">
        <f>'D1-D5 hub Benefit Summary'!H12*1000000*$D$259</f>
        <v>0</v>
      </c>
      <c r="H260" s="19">
        <f>'D1-D5 hub Benefit Summary'!I12*1000000*$D$259</f>
        <v>126562.5</v>
      </c>
      <c r="I260" s="19">
        <f>'D1-D5 hub Benefit Summary'!J12*1000000*$D$259</f>
        <v>253125</v>
      </c>
      <c r="J260" s="19">
        <f>'D1-D5 hub Benefit Summary'!K12*1000000*$D$259</f>
        <v>358593.75</v>
      </c>
      <c r="K260" s="19">
        <f>'D1-D5 hub Benefit Summary'!L12*1000000*$D$259</f>
        <v>464062.5</v>
      </c>
      <c r="L260" s="19">
        <f>'D1-D5 hub Benefit Summary'!M12*1000000*$D$259</f>
        <v>569531.25</v>
      </c>
      <c r="M260" s="19">
        <f>'D1-D5 hub Benefit Summary'!N12*1000000*$D$259</f>
        <v>675000</v>
      </c>
      <c r="N260" s="19">
        <f>'D1-D5 hub Benefit Summary'!O12*1000000*$D$259</f>
        <v>780468.75</v>
      </c>
      <c r="O260" s="19">
        <v>0</v>
      </c>
      <c r="P260" s="19">
        <v>0</v>
      </c>
      <c r="Q260" s="19">
        <v>0</v>
      </c>
      <c r="R260" s="19">
        <v>0</v>
      </c>
      <c r="S260" s="19">
        <v>0</v>
      </c>
      <c r="T260" s="19">
        <v>0</v>
      </c>
      <c r="U260" s="19">
        <v>0</v>
      </c>
      <c r="V260" s="19">
        <v>0</v>
      </c>
      <c r="W260" s="19">
        <v>0</v>
      </c>
      <c r="X260" s="19">
        <v>0</v>
      </c>
      <c r="Y260" s="19">
        <v>0</v>
      </c>
      <c r="Z260" s="19">
        <v>0</v>
      </c>
      <c r="AA260" s="19">
        <v>0</v>
      </c>
      <c r="AB260" s="19">
        <v>0</v>
      </c>
      <c r="AC260" s="19">
        <v>0</v>
      </c>
      <c r="AD260" s="19">
        <v>0</v>
      </c>
      <c r="AE260" s="19">
        <v>0</v>
      </c>
      <c r="AF260" s="19">
        <v>0</v>
      </c>
      <c r="AG260" s="19">
        <v>0</v>
      </c>
      <c r="AH260" s="19">
        <v>0</v>
      </c>
      <c r="AI260" s="19">
        <v>0</v>
      </c>
      <c r="AJ260" s="19">
        <v>0</v>
      </c>
      <c r="AK260" s="19">
        <v>0</v>
      </c>
      <c r="AL260" s="19">
        <v>0</v>
      </c>
      <c r="AM260" s="19">
        <v>0</v>
      </c>
      <c r="AN260" s="19">
        <v>0</v>
      </c>
      <c r="AO260" s="19">
        <v>0</v>
      </c>
      <c r="AP260" s="19">
        <v>0</v>
      </c>
    </row>
    <row r="261" spans="1:42">
      <c r="A261" s="39"/>
      <c r="B261" s="7" t="s">
        <v>31</v>
      </c>
      <c r="C261" s="129">
        <f>NPV($C$7,F260:AO260)+D260+E260</f>
        <v>2547080.7050985894</v>
      </c>
      <c r="D261" s="7"/>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10"/>
    </row>
    <row r="262" spans="1:42">
      <c r="A262" s="39"/>
      <c r="B262" s="7" t="s">
        <v>4</v>
      </c>
      <c r="C262" s="130" t="str">
        <f>IF(SUM(D262:AN262)&gt;1,"CHECK"," ")</f>
        <v xml:space="preserve"> </v>
      </c>
      <c r="D262" s="178">
        <f>'D1-D5 hub Benefit Summary'!E22</f>
        <v>0.4</v>
      </c>
      <c r="E262" s="15">
        <f>'D1-D5 hub Benefit Summary'!F22</f>
        <v>0.3</v>
      </c>
      <c r="F262" s="15">
        <f>'D1-D5 hub Benefit Summary'!G22</f>
        <v>0.2</v>
      </c>
      <c r="G262" s="15">
        <f>'D1-D5 hub Benefit Summary'!H22</f>
        <v>0.1</v>
      </c>
      <c r="H262" s="15">
        <f>'D1-D5 hub Benefit Summary'!I22</f>
        <v>0</v>
      </c>
      <c r="I262" s="15"/>
      <c r="J262" s="15"/>
      <c r="K262" s="15"/>
      <c r="L262" s="15"/>
      <c r="M262" s="15"/>
      <c r="N262" s="15"/>
      <c r="O262" s="15"/>
      <c r="P262" s="15"/>
      <c r="Q262" s="15"/>
      <c r="R262" s="15"/>
      <c r="S262" s="15"/>
      <c r="T262" s="125"/>
      <c r="U262" s="15"/>
      <c r="V262" s="15"/>
      <c r="W262" s="15"/>
      <c r="X262" s="15"/>
      <c r="Y262" s="15"/>
      <c r="Z262" s="15"/>
      <c r="AA262" s="15"/>
      <c r="AB262" s="15"/>
      <c r="AC262" s="15"/>
      <c r="AD262" s="15"/>
      <c r="AE262" s="15"/>
      <c r="AF262" s="15"/>
      <c r="AG262" s="15"/>
      <c r="AH262" s="15"/>
      <c r="AI262" s="15"/>
      <c r="AJ262" s="15"/>
      <c r="AK262" s="15"/>
      <c r="AL262" s="15"/>
      <c r="AM262" s="15"/>
      <c r="AN262" s="146"/>
      <c r="AO262" s="146"/>
      <c r="AP262" s="16"/>
    </row>
    <row r="263" spans="1:42" ht="15.75" thickBot="1">
      <c r="A263" s="39"/>
      <c r="B263" s="11" t="s">
        <v>32</v>
      </c>
      <c r="C263" s="51"/>
      <c r="D263" s="179">
        <f t="shared" ref="D263:AN263" si="58">IF(D262&gt;0,(D262*$C261),0)</f>
        <v>1018832.2820394358</v>
      </c>
      <c r="E263" s="20">
        <f t="shared" si="58"/>
        <v>764124.2115295768</v>
      </c>
      <c r="F263" s="20">
        <f t="shared" si="58"/>
        <v>509416.14101971791</v>
      </c>
      <c r="G263" s="20">
        <f t="shared" si="58"/>
        <v>254708.07050985895</v>
      </c>
      <c r="H263" s="20">
        <f t="shared" si="58"/>
        <v>0</v>
      </c>
      <c r="I263" s="20">
        <f t="shared" si="58"/>
        <v>0</v>
      </c>
      <c r="J263" s="20">
        <f t="shared" si="58"/>
        <v>0</v>
      </c>
      <c r="K263" s="20">
        <f t="shared" si="58"/>
        <v>0</v>
      </c>
      <c r="L263" s="20">
        <f t="shared" si="58"/>
        <v>0</v>
      </c>
      <c r="M263" s="20">
        <f t="shared" si="58"/>
        <v>0</v>
      </c>
      <c r="N263" s="20">
        <f t="shared" si="58"/>
        <v>0</v>
      </c>
      <c r="O263" s="20">
        <f t="shared" si="58"/>
        <v>0</v>
      </c>
      <c r="P263" s="20">
        <f t="shared" si="58"/>
        <v>0</v>
      </c>
      <c r="Q263" s="20">
        <f t="shared" si="58"/>
        <v>0</v>
      </c>
      <c r="R263" s="20">
        <f t="shared" si="58"/>
        <v>0</v>
      </c>
      <c r="S263" s="20">
        <f>IF(S262&gt;0,(S262*$C261),0)</f>
        <v>0</v>
      </c>
      <c r="T263" s="126">
        <f t="shared" si="58"/>
        <v>0</v>
      </c>
      <c r="U263" s="20">
        <f t="shared" si="58"/>
        <v>0</v>
      </c>
      <c r="V263" s="20">
        <f t="shared" si="58"/>
        <v>0</v>
      </c>
      <c r="W263" s="20">
        <f t="shared" si="58"/>
        <v>0</v>
      </c>
      <c r="X263" s="20">
        <f t="shared" si="58"/>
        <v>0</v>
      </c>
      <c r="Y263" s="20">
        <f t="shared" si="58"/>
        <v>0</v>
      </c>
      <c r="Z263" s="20">
        <f t="shared" si="58"/>
        <v>0</v>
      </c>
      <c r="AA263" s="20">
        <f t="shared" si="58"/>
        <v>0</v>
      </c>
      <c r="AB263" s="20">
        <f t="shared" si="58"/>
        <v>0</v>
      </c>
      <c r="AC263" s="20">
        <f t="shared" si="58"/>
        <v>0</v>
      </c>
      <c r="AD263" s="20">
        <f t="shared" si="58"/>
        <v>0</v>
      </c>
      <c r="AE263" s="20">
        <f t="shared" si="58"/>
        <v>0</v>
      </c>
      <c r="AF263" s="20">
        <f t="shared" si="58"/>
        <v>0</v>
      </c>
      <c r="AG263" s="20">
        <f t="shared" si="58"/>
        <v>0</v>
      </c>
      <c r="AH263" s="20">
        <f t="shared" si="58"/>
        <v>0</v>
      </c>
      <c r="AI263" s="20">
        <f t="shared" si="58"/>
        <v>0</v>
      </c>
      <c r="AJ263" s="20">
        <f t="shared" si="58"/>
        <v>0</v>
      </c>
      <c r="AK263" s="20">
        <f t="shared" si="58"/>
        <v>0</v>
      </c>
      <c r="AL263" s="20">
        <f t="shared" si="58"/>
        <v>0</v>
      </c>
      <c r="AM263" s="20">
        <f t="shared" si="58"/>
        <v>0</v>
      </c>
      <c r="AN263" s="215">
        <f t="shared" si="58"/>
        <v>0</v>
      </c>
      <c r="AO263" s="215">
        <f>IF(AO262&gt;0,(AO262*$C261),0)</f>
        <v>0</v>
      </c>
      <c r="AP263" s="22">
        <f>IF(AP262&gt;0,(AP262*$C261),0)</f>
        <v>0</v>
      </c>
    </row>
    <row r="264" spans="1:42" ht="15.75" thickBot="1">
      <c r="A264" s="39"/>
      <c r="B264" s="7"/>
      <c r="C264" s="10"/>
      <c r="D264" s="221"/>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222"/>
    </row>
    <row r="265" spans="1:42">
      <c r="A265" s="39"/>
      <c r="B265" s="4" t="s">
        <v>12</v>
      </c>
      <c r="C265" s="133" t="str">
        <f>Summary!B51</f>
        <v>D4</v>
      </c>
      <c r="D265" s="156" t="str">
        <f>Summary!C51</f>
        <v>Hub Programme - Public Sector Investment Returns</v>
      </c>
      <c r="E265" s="24"/>
      <c r="F265" s="24"/>
      <c r="G265" s="24"/>
      <c r="H265" s="24"/>
      <c r="I265" s="24"/>
      <c r="J265" s="24"/>
      <c r="K265" s="24"/>
      <c r="L265" s="24"/>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6"/>
    </row>
    <row r="266" spans="1:42">
      <c r="A266" s="39"/>
      <c r="B266" s="7" t="s">
        <v>189</v>
      </c>
      <c r="C266" s="134" t="str">
        <f>'D4 hub Public Sector Inv Return'!D47</f>
        <v>C - Good</v>
      </c>
      <c r="D266" s="176">
        <f>VLOOKUP(C266,'Confidence Factors'!$B$6:$D$9,3)</f>
        <v>0.75</v>
      </c>
      <c r="E266" s="96"/>
      <c r="F266" s="96"/>
      <c r="G266" s="96"/>
      <c r="H266" s="96"/>
      <c r="I266" s="96"/>
      <c r="J266" s="96"/>
      <c r="K266" s="96"/>
      <c r="L266" s="96"/>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10"/>
    </row>
    <row r="267" spans="1:42">
      <c r="A267" s="39"/>
      <c r="B267" s="7" t="s">
        <v>30</v>
      </c>
      <c r="C267" s="128">
        <f>SUM(D267:AN267)</f>
        <v>1583168.7749999999</v>
      </c>
      <c r="D267" s="230">
        <f>'D1-D5 hub Benefit Summary'!E14*1000000*$D$266</f>
        <v>0</v>
      </c>
      <c r="E267" s="19">
        <f>'D1-D5 hub Benefit Summary'!F14*1000000*$D$266</f>
        <v>0</v>
      </c>
      <c r="F267" s="19">
        <f>'D1-D5 hub Benefit Summary'!G14*1000000*$D$266</f>
        <v>0</v>
      </c>
      <c r="G267" s="19">
        <f>'D1-D5 hub Benefit Summary'!H14*1000000*$D$266</f>
        <v>0</v>
      </c>
      <c r="H267" s="19">
        <f>'D1-D5 hub Benefit Summary'!I14*1000000*$D$266</f>
        <v>48972.749999999993</v>
      </c>
      <c r="I267" s="19">
        <f>'D1-D5 hub Benefit Summary'!J14*1000000*$D$266</f>
        <v>148736.4</v>
      </c>
      <c r="J267" s="19">
        <f>'D1-D5 hub Benefit Summary'!K14*1000000*$D$266</f>
        <v>191521.57499999998</v>
      </c>
      <c r="K267" s="19">
        <f>'D1-D5 hub Benefit Summary'!L14*1000000*$D$266</f>
        <v>234306.75</v>
      </c>
      <c r="L267" s="19">
        <f>'D1-D5 hub Benefit Summary'!M14*1000000*$D$266</f>
        <v>277091.92500000005</v>
      </c>
      <c r="M267" s="19">
        <f>'D1-D5 hub Benefit Summary'!N14*1000000*$D$266</f>
        <v>319877.09999999998</v>
      </c>
      <c r="N267" s="19">
        <f>'D1-D5 hub Benefit Summary'!O14*1000000*$D$266</f>
        <v>362662.27500000002</v>
      </c>
      <c r="O267" s="19">
        <v>0</v>
      </c>
      <c r="P267" s="19">
        <v>0</v>
      </c>
      <c r="Q267" s="19">
        <v>0</v>
      </c>
      <c r="R267" s="19">
        <v>0</v>
      </c>
      <c r="S267" s="19">
        <v>0</v>
      </c>
      <c r="T267" s="19">
        <v>0</v>
      </c>
      <c r="U267" s="19">
        <v>0</v>
      </c>
      <c r="V267" s="19">
        <v>0</v>
      </c>
      <c r="W267" s="19">
        <v>0</v>
      </c>
      <c r="X267" s="19">
        <v>0</v>
      </c>
      <c r="Y267" s="19">
        <v>0</v>
      </c>
      <c r="Z267" s="19">
        <v>0</v>
      </c>
      <c r="AA267" s="19">
        <v>0</v>
      </c>
      <c r="AB267" s="19">
        <v>0</v>
      </c>
      <c r="AC267" s="19">
        <v>0</v>
      </c>
      <c r="AD267" s="19">
        <v>0</v>
      </c>
      <c r="AE267" s="19">
        <v>0</v>
      </c>
      <c r="AF267" s="19">
        <v>0</v>
      </c>
      <c r="AG267" s="19">
        <v>0</v>
      </c>
      <c r="AH267" s="19">
        <v>0</v>
      </c>
      <c r="AI267" s="19">
        <v>0</v>
      </c>
      <c r="AJ267" s="19">
        <v>0</v>
      </c>
      <c r="AK267" s="19">
        <v>0</v>
      </c>
      <c r="AL267" s="19">
        <v>0</v>
      </c>
      <c r="AM267" s="19">
        <v>0</v>
      </c>
      <c r="AN267" s="19">
        <v>0</v>
      </c>
      <c r="AO267" s="19">
        <v>0</v>
      </c>
      <c r="AP267" s="23">
        <f>'D1-D5 hub Benefit Summary'!AQ14*1000000*$D$266</f>
        <v>0</v>
      </c>
    </row>
    <row r="268" spans="1:42">
      <c r="A268" s="39"/>
      <c r="B268" s="7" t="s">
        <v>31</v>
      </c>
      <c r="C268" s="129">
        <f>NPV($C$7,F267:AO267)+D267+E267</f>
        <v>1252457.1717596746</v>
      </c>
      <c r="D268" s="7"/>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10"/>
    </row>
    <row r="269" spans="1:42">
      <c r="A269" s="39"/>
      <c r="B269" s="7" t="s">
        <v>4</v>
      </c>
      <c r="C269" s="130" t="str">
        <f>IF(SUM(D269:AN269)&gt;1,"CHECK"," ")</f>
        <v xml:space="preserve"> </v>
      </c>
      <c r="D269" s="178">
        <f>'D1-D5 hub Benefit Summary'!E22</f>
        <v>0.4</v>
      </c>
      <c r="E269" s="15">
        <f>'D1-D5 hub Benefit Summary'!F22</f>
        <v>0.3</v>
      </c>
      <c r="F269" s="15">
        <f>'D1-D5 hub Benefit Summary'!G22</f>
        <v>0.2</v>
      </c>
      <c r="G269" s="15">
        <f>'D1-D5 hub Benefit Summary'!H22</f>
        <v>0.1</v>
      </c>
      <c r="H269" s="15">
        <f>'D1-D5 hub Benefit Summary'!I22</f>
        <v>0</v>
      </c>
      <c r="I269" s="15"/>
      <c r="J269" s="15"/>
      <c r="K269" s="15"/>
      <c r="L269" s="15"/>
      <c r="M269" s="15"/>
      <c r="N269" s="15"/>
      <c r="O269" s="15"/>
      <c r="P269" s="15"/>
      <c r="Q269" s="15"/>
      <c r="R269" s="15"/>
      <c r="S269" s="15"/>
      <c r="T269" s="125"/>
      <c r="U269" s="15"/>
      <c r="V269" s="15"/>
      <c r="W269" s="15"/>
      <c r="X269" s="15"/>
      <c r="Y269" s="15"/>
      <c r="Z269" s="15"/>
      <c r="AA269" s="15"/>
      <c r="AB269" s="15"/>
      <c r="AC269" s="15"/>
      <c r="AD269" s="15"/>
      <c r="AE269" s="15"/>
      <c r="AF269" s="15"/>
      <c r="AG269" s="15"/>
      <c r="AH269" s="15"/>
      <c r="AI269" s="15"/>
      <c r="AJ269" s="15"/>
      <c r="AK269" s="15"/>
      <c r="AL269" s="15"/>
      <c r="AM269" s="15"/>
      <c r="AN269" s="146"/>
      <c r="AO269" s="146"/>
      <c r="AP269" s="16"/>
    </row>
    <row r="270" spans="1:42" ht="15.75" thickBot="1">
      <c r="A270" s="39"/>
      <c r="B270" s="11" t="s">
        <v>32</v>
      </c>
      <c r="C270" s="51"/>
      <c r="D270" s="179">
        <f t="shared" ref="D270:AN270" si="59">IF(D269&gt;0,(D269*$C268),0)</f>
        <v>500982.86870386987</v>
      </c>
      <c r="E270" s="20">
        <f t="shared" si="59"/>
        <v>375737.15152790234</v>
      </c>
      <c r="F270" s="20">
        <f t="shared" si="59"/>
        <v>250491.43435193493</v>
      </c>
      <c r="G270" s="20">
        <f t="shared" si="59"/>
        <v>125245.71717596747</v>
      </c>
      <c r="H270" s="20">
        <f t="shared" si="59"/>
        <v>0</v>
      </c>
      <c r="I270" s="20">
        <f t="shared" si="59"/>
        <v>0</v>
      </c>
      <c r="J270" s="20">
        <f t="shared" si="59"/>
        <v>0</v>
      </c>
      <c r="K270" s="20">
        <f t="shared" si="59"/>
        <v>0</v>
      </c>
      <c r="L270" s="20">
        <f t="shared" si="59"/>
        <v>0</v>
      </c>
      <c r="M270" s="20">
        <f t="shared" si="59"/>
        <v>0</v>
      </c>
      <c r="N270" s="20">
        <f t="shared" si="59"/>
        <v>0</v>
      </c>
      <c r="O270" s="20">
        <f t="shared" si="59"/>
        <v>0</v>
      </c>
      <c r="P270" s="20">
        <f t="shared" si="59"/>
        <v>0</v>
      </c>
      <c r="Q270" s="20">
        <f t="shared" si="59"/>
        <v>0</v>
      </c>
      <c r="R270" s="20">
        <f t="shared" si="59"/>
        <v>0</v>
      </c>
      <c r="S270" s="20">
        <f>IF(S269&gt;0,(S269*$C268),0)</f>
        <v>0</v>
      </c>
      <c r="T270" s="126">
        <f t="shared" si="59"/>
        <v>0</v>
      </c>
      <c r="U270" s="20">
        <f t="shared" si="59"/>
        <v>0</v>
      </c>
      <c r="V270" s="20">
        <f t="shared" si="59"/>
        <v>0</v>
      </c>
      <c r="W270" s="20">
        <f t="shared" si="59"/>
        <v>0</v>
      </c>
      <c r="X270" s="20">
        <f t="shared" si="59"/>
        <v>0</v>
      </c>
      <c r="Y270" s="20">
        <f t="shared" si="59"/>
        <v>0</v>
      </c>
      <c r="Z270" s="20">
        <f t="shared" si="59"/>
        <v>0</v>
      </c>
      <c r="AA270" s="20">
        <f t="shared" si="59"/>
        <v>0</v>
      </c>
      <c r="AB270" s="20">
        <f t="shared" si="59"/>
        <v>0</v>
      </c>
      <c r="AC270" s="20">
        <f t="shared" si="59"/>
        <v>0</v>
      </c>
      <c r="AD270" s="20">
        <f t="shared" si="59"/>
        <v>0</v>
      </c>
      <c r="AE270" s="20">
        <f t="shared" si="59"/>
        <v>0</v>
      </c>
      <c r="AF270" s="20">
        <f t="shared" si="59"/>
        <v>0</v>
      </c>
      <c r="AG270" s="20">
        <f t="shared" si="59"/>
        <v>0</v>
      </c>
      <c r="AH270" s="20">
        <f t="shared" si="59"/>
        <v>0</v>
      </c>
      <c r="AI270" s="20">
        <f t="shared" si="59"/>
        <v>0</v>
      </c>
      <c r="AJ270" s="20">
        <f t="shared" si="59"/>
        <v>0</v>
      </c>
      <c r="AK270" s="20">
        <f t="shared" si="59"/>
        <v>0</v>
      </c>
      <c r="AL270" s="20">
        <f t="shared" si="59"/>
        <v>0</v>
      </c>
      <c r="AM270" s="20">
        <f t="shared" si="59"/>
        <v>0</v>
      </c>
      <c r="AN270" s="215">
        <f t="shared" si="59"/>
        <v>0</v>
      </c>
      <c r="AO270" s="215">
        <f>IF(AO269&gt;0,(AO269*$C268),0)</f>
        <v>0</v>
      </c>
      <c r="AP270" s="22">
        <f>IF(AP269&gt;0,(AP269*$C268),0)</f>
        <v>0</v>
      </c>
    </row>
    <row r="271" spans="1:42" ht="15.75" thickBot="1">
      <c r="A271" s="39"/>
      <c r="B271" s="7"/>
      <c r="C271" s="10"/>
      <c r="D271" s="221"/>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222"/>
    </row>
    <row r="272" spans="1:42">
      <c r="A272" s="39"/>
      <c r="B272" s="4" t="s">
        <v>12</v>
      </c>
      <c r="C272" s="133" t="str">
        <f>Summary!B52</f>
        <v>D5</v>
      </c>
      <c r="D272" s="156" t="str">
        <f>Summary!C52</f>
        <v>Hub Programme - Reduced Rates of Return</v>
      </c>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6"/>
    </row>
    <row r="273" spans="1:42">
      <c r="A273" s="39"/>
      <c r="B273" s="7" t="s">
        <v>189</v>
      </c>
      <c r="C273" s="134" t="str">
        <f>'D5 hub Reduced IRR'!D47</f>
        <v>B - Very Good</v>
      </c>
      <c r="D273" s="176">
        <f>VLOOKUP(C273,'Confidence Factors'!$B$6:$D$9,3)</f>
        <v>0.9</v>
      </c>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10"/>
    </row>
    <row r="274" spans="1:42">
      <c r="A274" s="39"/>
      <c r="B274" s="7" t="s">
        <v>30</v>
      </c>
      <c r="C274" s="128">
        <f>SUM(D274:AN274)</f>
        <v>3644122.5</v>
      </c>
      <c r="D274" s="230">
        <f>'D1-D5 hub Benefit Summary'!E16*1000000*$D$273</f>
        <v>0</v>
      </c>
      <c r="E274" s="19">
        <f>'D1-D5 hub Benefit Summary'!F16*1000000*$D$273</f>
        <v>0</v>
      </c>
      <c r="F274" s="19">
        <f>'D1-D5 hub Benefit Summary'!G16*1000000*$D$273</f>
        <v>0</v>
      </c>
      <c r="G274" s="19">
        <f>'D1-D5 hub Benefit Summary'!H16*1000000*$D$273</f>
        <v>0</v>
      </c>
      <c r="H274" s="19">
        <f>'D1-D5 hub Benefit Summary'!I16*1000000*$D$273</f>
        <v>112725</v>
      </c>
      <c r="I274" s="19">
        <f>'D1-D5 hub Benefit Summary'!J16*1000000*$D$273</f>
        <v>342360.00000000006</v>
      </c>
      <c r="J274" s="19">
        <f>'D1-D5 hub Benefit Summary'!K16*1000000*$D$273</f>
        <v>440842.50000000006</v>
      </c>
      <c r="K274" s="19">
        <f>'D1-D5 hub Benefit Summary'!L16*1000000*$D$273</f>
        <v>539325.00000000012</v>
      </c>
      <c r="L274" s="19">
        <f>'D1-D5 hub Benefit Summary'!M16*1000000*$D$273</f>
        <v>637807.5</v>
      </c>
      <c r="M274" s="19">
        <f>'D1-D5 hub Benefit Summary'!N16*1000000*$D$273</f>
        <v>736290</v>
      </c>
      <c r="N274" s="19">
        <f>'D1-D5 hub Benefit Summary'!O16*1000000*$D$273</f>
        <v>834772.5</v>
      </c>
      <c r="O274" s="19">
        <v>0</v>
      </c>
      <c r="P274" s="19">
        <v>0</v>
      </c>
      <c r="Q274" s="19">
        <v>0</v>
      </c>
      <c r="R274" s="19">
        <v>0</v>
      </c>
      <c r="S274" s="19">
        <v>0</v>
      </c>
      <c r="T274" s="19">
        <v>0</v>
      </c>
      <c r="U274" s="19">
        <v>0</v>
      </c>
      <c r="V274" s="19">
        <v>0</v>
      </c>
      <c r="W274" s="19">
        <v>0</v>
      </c>
      <c r="X274" s="19">
        <v>0</v>
      </c>
      <c r="Y274" s="19">
        <v>0</v>
      </c>
      <c r="Z274" s="19">
        <v>0</v>
      </c>
      <c r="AA274" s="19">
        <v>0</v>
      </c>
      <c r="AB274" s="19">
        <v>0</v>
      </c>
      <c r="AC274" s="19">
        <v>0</v>
      </c>
      <c r="AD274" s="19">
        <v>0</v>
      </c>
      <c r="AE274" s="19">
        <v>0</v>
      </c>
      <c r="AF274" s="19">
        <v>0</v>
      </c>
      <c r="AG274" s="19">
        <v>0</v>
      </c>
      <c r="AH274" s="19">
        <v>0</v>
      </c>
      <c r="AI274" s="19">
        <v>0</v>
      </c>
      <c r="AJ274" s="19">
        <v>0</v>
      </c>
      <c r="AK274" s="19">
        <v>0</v>
      </c>
      <c r="AL274" s="19">
        <v>0</v>
      </c>
      <c r="AM274" s="19">
        <v>0</v>
      </c>
      <c r="AN274" s="19">
        <v>0</v>
      </c>
      <c r="AO274" s="19">
        <v>0</v>
      </c>
      <c r="AP274" s="19">
        <v>0</v>
      </c>
    </row>
    <row r="275" spans="1:42">
      <c r="A275" s="39"/>
      <c r="B275" s="7" t="s">
        <v>31</v>
      </c>
      <c r="C275" s="129">
        <f>NPV($C$7,F274:AO274)+D274+E274</f>
        <v>2882893.745738382</v>
      </c>
      <c r="D275" s="7"/>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10"/>
    </row>
    <row r="276" spans="1:42">
      <c r="A276" s="39"/>
      <c r="B276" s="7" t="s">
        <v>4</v>
      </c>
      <c r="C276" s="130" t="str">
        <f>IF(SUM(D276:AN276)&gt;1,"CHECK"," ")</f>
        <v xml:space="preserve"> </v>
      </c>
      <c r="D276" s="178">
        <v>0.4</v>
      </c>
      <c r="E276" s="15">
        <v>0.3</v>
      </c>
      <c r="F276" s="15">
        <v>0.2</v>
      </c>
      <c r="G276" s="15">
        <v>0.1</v>
      </c>
      <c r="H276" s="15"/>
      <c r="I276" s="15"/>
      <c r="J276" s="15"/>
      <c r="K276" s="15"/>
      <c r="L276" s="15"/>
      <c r="M276" s="15"/>
      <c r="N276" s="15"/>
      <c r="O276" s="15"/>
      <c r="P276" s="15"/>
      <c r="Q276" s="15"/>
      <c r="R276" s="15"/>
      <c r="S276" s="15"/>
      <c r="T276" s="125"/>
      <c r="U276" s="15"/>
      <c r="V276" s="15"/>
      <c r="W276" s="15"/>
      <c r="X276" s="15"/>
      <c r="Y276" s="15"/>
      <c r="Z276" s="15"/>
      <c r="AA276" s="15"/>
      <c r="AB276" s="15"/>
      <c r="AC276" s="15"/>
      <c r="AD276" s="15"/>
      <c r="AE276" s="15"/>
      <c r="AF276" s="15"/>
      <c r="AG276" s="15"/>
      <c r="AH276" s="15"/>
      <c r="AI276" s="15"/>
      <c r="AJ276" s="15"/>
      <c r="AK276" s="15"/>
      <c r="AL276" s="15"/>
      <c r="AM276" s="15"/>
      <c r="AN276" s="146"/>
      <c r="AO276" s="146"/>
      <c r="AP276" s="16"/>
    </row>
    <row r="277" spans="1:42" ht="15.75" thickBot="1">
      <c r="A277" s="39"/>
      <c r="B277" s="11" t="s">
        <v>32</v>
      </c>
      <c r="C277" s="51"/>
      <c r="D277" s="179">
        <f t="shared" ref="D277:AN277" si="60">IF(D276&gt;0,(D276*$C275),0)</f>
        <v>1153157.4982953528</v>
      </c>
      <c r="E277" s="20">
        <f t="shared" si="60"/>
        <v>864868.1237215146</v>
      </c>
      <c r="F277" s="20">
        <f t="shared" si="60"/>
        <v>576578.7491476764</v>
      </c>
      <c r="G277" s="20">
        <f t="shared" si="60"/>
        <v>288289.3745738382</v>
      </c>
      <c r="H277" s="20">
        <f t="shared" si="60"/>
        <v>0</v>
      </c>
      <c r="I277" s="20">
        <f t="shared" si="60"/>
        <v>0</v>
      </c>
      <c r="J277" s="20">
        <f t="shared" si="60"/>
        <v>0</v>
      </c>
      <c r="K277" s="20">
        <f t="shared" si="60"/>
        <v>0</v>
      </c>
      <c r="L277" s="20">
        <f t="shared" si="60"/>
        <v>0</v>
      </c>
      <c r="M277" s="20">
        <f t="shared" si="60"/>
        <v>0</v>
      </c>
      <c r="N277" s="20">
        <f t="shared" si="60"/>
        <v>0</v>
      </c>
      <c r="O277" s="20">
        <f t="shared" si="60"/>
        <v>0</v>
      </c>
      <c r="P277" s="20">
        <f t="shared" si="60"/>
        <v>0</v>
      </c>
      <c r="Q277" s="20">
        <f t="shared" si="60"/>
        <v>0</v>
      </c>
      <c r="R277" s="20">
        <f t="shared" si="60"/>
        <v>0</v>
      </c>
      <c r="S277" s="20">
        <f>IF(S276&gt;0,(S276*$C275),0)</f>
        <v>0</v>
      </c>
      <c r="T277" s="126">
        <f t="shared" si="60"/>
        <v>0</v>
      </c>
      <c r="U277" s="20">
        <f t="shared" si="60"/>
        <v>0</v>
      </c>
      <c r="V277" s="20">
        <f t="shared" si="60"/>
        <v>0</v>
      </c>
      <c r="W277" s="20">
        <f t="shared" si="60"/>
        <v>0</v>
      </c>
      <c r="X277" s="20">
        <f t="shared" si="60"/>
        <v>0</v>
      </c>
      <c r="Y277" s="20">
        <f t="shared" si="60"/>
        <v>0</v>
      </c>
      <c r="Z277" s="20">
        <f t="shared" si="60"/>
        <v>0</v>
      </c>
      <c r="AA277" s="20">
        <f t="shared" si="60"/>
        <v>0</v>
      </c>
      <c r="AB277" s="20">
        <f t="shared" si="60"/>
        <v>0</v>
      </c>
      <c r="AC277" s="20">
        <f t="shared" si="60"/>
        <v>0</v>
      </c>
      <c r="AD277" s="20">
        <f t="shared" si="60"/>
        <v>0</v>
      </c>
      <c r="AE277" s="20">
        <f t="shared" si="60"/>
        <v>0</v>
      </c>
      <c r="AF277" s="20">
        <f t="shared" si="60"/>
        <v>0</v>
      </c>
      <c r="AG277" s="20">
        <f t="shared" si="60"/>
        <v>0</v>
      </c>
      <c r="AH277" s="20">
        <f t="shared" si="60"/>
        <v>0</v>
      </c>
      <c r="AI277" s="20">
        <f t="shared" si="60"/>
        <v>0</v>
      </c>
      <c r="AJ277" s="20">
        <f t="shared" si="60"/>
        <v>0</v>
      </c>
      <c r="AK277" s="20">
        <f t="shared" si="60"/>
        <v>0</v>
      </c>
      <c r="AL277" s="20">
        <f t="shared" si="60"/>
        <v>0</v>
      </c>
      <c r="AM277" s="20">
        <f t="shared" si="60"/>
        <v>0</v>
      </c>
      <c r="AN277" s="215">
        <f t="shared" si="60"/>
        <v>0</v>
      </c>
      <c r="AO277" s="215">
        <f>IF(AO276&gt;0,(AO276*$C275),0)</f>
        <v>0</v>
      </c>
      <c r="AP277" s="22">
        <f>IF(AP276&gt;0,(AP276*$C275),0)</f>
        <v>0</v>
      </c>
    </row>
    <row r="278" spans="1:42" ht="15.75" thickBot="1">
      <c r="A278" s="39"/>
      <c r="B278" s="7"/>
      <c r="C278" s="10"/>
      <c r="D278" s="221"/>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222"/>
    </row>
    <row r="279" spans="1:42">
      <c r="A279" s="39"/>
      <c r="B279" s="4" t="s">
        <v>12</v>
      </c>
      <c r="C279" s="133" t="str">
        <f>Summary!B53</f>
        <v>D6</v>
      </c>
      <c r="D279" s="156" t="str">
        <f>Summary!C53</f>
        <v xml:space="preserve">Hub Programme - Dialogue Stage Public Sector Savings </v>
      </c>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6"/>
    </row>
    <row r="280" spans="1:42">
      <c r="A280" s="39"/>
      <c r="B280" s="7" t="s">
        <v>189</v>
      </c>
      <c r="C280" s="134" t="str">
        <f>'D6 hub dialogue savings'!D47</f>
        <v>A - High</v>
      </c>
      <c r="D280" s="176">
        <f>VLOOKUP(C280,'Confidence Factors'!$B$6:$D$9,3)</f>
        <v>1</v>
      </c>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10"/>
    </row>
    <row r="281" spans="1:42">
      <c r="A281" s="39"/>
      <c r="B281" s="7" t="s">
        <v>30</v>
      </c>
      <c r="C281" s="128">
        <f>SUM(D281:AN281)</f>
        <v>849999.99999999988</v>
      </c>
      <c r="D281" s="177">
        <v>0</v>
      </c>
      <c r="E281" s="19">
        <f>(('D6 hub dialogue savings'!$D70)/6)*'D6 hub dialogue savings'!$D75*'Calcs - Scen 4'!$D280</f>
        <v>141666.66666666666</v>
      </c>
      <c r="F281" s="19">
        <f>(('D6 hub dialogue savings'!$D70)/6)*'D6 hub dialogue savings'!$D75*'Calcs - Scen 4'!$D280</f>
        <v>141666.66666666666</v>
      </c>
      <c r="G281" s="19">
        <f>(('D6 hub dialogue savings'!$D70)/6)*'D6 hub dialogue savings'!$D75*'Calcs - Scen 4'!$D280</f>
        <v>141666.66666666666</v>
      </c>
      <c r="H281" s="19">
        <f>(('D6 hub dialogue savings'!$D70)/6)*'D6 hub dialogue savings'!$D75*'Calcs - Scen 4'!$D280</f>
        <v>141666.66666666666</v>
      </c>
      <c r="I281" s="19">
        <f>(('D6 hub dialogue savings'!$D70)/6)*'D6 hub dialogue savings'!$D75*'Calcs - Scen 4'!$D280</f>
        <v>141666.66666666666</v>
      </c>
      <c r="J281" s="19">
        <f>(('D6 hub dialogue savings'!$D70)/6)*'D6 hub dialogue savings'!$D75*'Calcs - Scen 4'!$D280</f>
        <v>141666.66666666666</v>
      </c>
      <c r="K281" s="19"/>
      <c r="L281" s="19"/>
      <c r="M281" s="19"/>
      <c r="N281" s="19"/>
      <c r="O281" s="19"/>
      <c r="P281" s="19"/>
      <c r="Q281" s="19"/>
      <c r="R281" s="19"/>
      <c r="S281" s="19"/>
      <c r="T281" s="124"/>
      <c r="U281" s="19"/>
      <c r="V281" s="19"/>
      <c r="W281" s="19"/>
      <c r="X281" s="19"/>
      <c r="Y281" s="19"/>
      <c r="Z281" s="19"/>
      <c r="AA281" s="19"/>
      <c r="AB281" s="19"/>
      <c r="AC281" s="19"/>
      <c r="AD281" s="19"/>
      <c r="AE281" s="19"/>
      <c r="AF281" s="19"/>
      <c r="AG281" s="19"/>
      <c r="AH281" s="19"/>
      <c r="AI281" s="19"/>
      <c r="AJ281" s="19"/>
      <c r="AK281" s="19"/>
      <c r="AL281" s="19"/>
      <c r="AM281" s="19"/>
      <c r="AN281" s="216"/>
      <c r="AO281" s="216"/>
      <c r="AP281" s="23"/>
    </row>
    <row r="282" spans="1:42">
      <c r="A282" s="39"/>
      <c r="B282" s="7" t="s">
        <v>31</v>
      </c>
      <c r="C282" s="129">
        <f>NPV($C$7,F281:AO281)+D281+E281</f>
        <v>781299.08652502275</v>
      </c>
      <c r="D282" s="7"/>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10"/>
    </row>
    <row r="283" spans="1:42">
      <c r="A283" s="39"/>
      <c r="B283" s="7" t="s">
        <v>4</v>
      </c>
      <c r="C283" s="130" t="str">
        <f>IF(SUM(D283:AN283)&gt;1,"CHECK"," ")</f>
        <v xml:space="preserve"> </v>
      </c>
      <c r="D283" s="178">
        <v>0.59</v>
      </c>
      <c r="E283" s="15">
        <v>0.41</v>
      </c>
      <c r="F283" s="15"/>
      <c r="G283" s="15"/>
      <c r="H283" s="15"/>
      <c r="I283" s="15"/>
      <c r="J283" s="15"/>
      <c r="K283" s="15"/>
      <c r="L283" s="15"/>
      <c r="M283" s="15"/>
      <c r="N283" s="15"/>
      <c r="O283" s="15"/>
      <c r="P283" s="15"/>
      <c r="Q283" s="15"/>
      <c r="R283" s="15"/>
      <c r="S283" s="15"/>
      <c r="T283" s="125"/>
      <c r="U283" s="15"/>
      <c r="V283" s="15"/>
      <c r="W283" s="15"/>
      <c r="X283" s="15"/>
      <c r="Y283" s="15"/>
      <c r="Z283" s="15"/>
      <c r="AA283" s="15"/>
      <c r="AB283" s="15"/>
      <c r="AC283" s="15"/>
      <c r="AD283" s="15"/>
      <c r="AE283" s="15"/>
      <c r="AF283" s="15"/>
      <c r="AG283" s="15"/>
      <c r="AH283" s="15"/>
      <c r="AI283" s="15"/>
      <c r="AJ283" s="15"/>
      <c r="AK283" s="15"/>
      <c r="AL283" s="15"/>
      <c r="AM283" s="15"/>
      <c r="AN283" s="146"/>
      <c r="AO283" s="146"/>
      <c r="AP283" s="16"/>
    </row>
    <row r="284" spans="1:42" ht="15.75" thickBot="1">
      <c r="A284" s="39"/>
      <c r="B284" s="11" t="s">
        <v>32</v>
      </c>
      <c r="C284" s="51"/>
      <c r="D284" s="179">
        <f t="shared" ref="D284:AN284" si="61">IF(D283&gt;0,(D283*$C282),0)</f>
        <v>460966.46104976343</v>
      </c>
      <c r="E284" s="20">
        <f t="shared" si="61"/>
        <v>320332.62547525932</v>
      </c>
      <c r="F284" s="20">
        <f t="shared" si="61"/>
        <v>0</v>
      </c>
      <c r="G284" s="20">
        <f t="shared" si="61"/>
        <v>0</v>
      </c>
      <c r="H284" s="20">
        <f t="shared" si="61"/>
        <v>0</v>
      </c>
      <c r="I284" s="20">
        <f t="shared" si="61"/>
        <v>0</v>
      </c>
      <c r="J284" s="20">
        <f t="shared" si="61"/>
        <v>0</v>
      </c>
      <c r="K284" s="20">
        <f t="shared" si="61"/>
        <v>0</v>
      </c>
      <c r="L284" s="20">
        <f t="shared" si="61"/>
        <v>0</v>
      </c>
      <c r="M284" s="20">
        <f t="shared" si="61"/>
        <v>0</v>
      </c>
      <c r="N284" s="20">
        <f t="shared" si="61"/>
        <v>0</v>
      </c>
      <c r="O284" s="20">
        <f t="shared" si="61"/>
        <v>0</v>
      </c>
      <c r="P284" s="20">
        <f t="shared" si="61"/>
        <v>0</v>
      </c>
      <c r="Q284" s="20">
        <f t="shared" si="61"/>
        <v>0</v>
      </c>
      <c r="R284" s="20">
        <f t="shared" si="61"/>
        <v>0</v>
      </c>
      <c r="S284" s="20">
        <f>IF(S283&gt;0,(S283*$C282),0)</f>
        <v>0</v>
      </c>
      <c r="T284" s="126">
        <f t="shared" si="61"/>
        <v>0</v>
      </c>
      <c r="U284" s="20">
        <f t="shared" si="61"/>
        <v>0</v>
      </c>
      <c r="V284" s="20">
        <f t="shared" si="61"/>
        <v>0</v>
      </c>
      <c r="W284" s="20">
        <f t="shared" si="61"/>
        <v>0</v>
      </c>
      <c r="X284" s="20">
        <f t="shared" si="61"/>
        <v>0</v>
      </c>
      <c r="Y284" s="20">
        <f t="shared" si="61"/>
        <v>0</v>
      </c>
      <c r="Z284" s="20">
        <f t="shared" si="61"/>
        <v>0</v>
      </c>
      <c r="AA284" s="20">
        <f t="shared" si="61"/>
        <v>0</v>
      </c>
      <c r="AB284" s="20">
        <f t="shared" si="61"/>
        <v>0</v>
      </c>
      <c r="AC284" s="20">
        <f t="shared" si="61"/>
        <v>0</v>
      </c>
      <c r="AD284" s="20">
        <f t="shared" si="61"/>
        <v>0</v>
      </c>
      <c r="AE284" s="20">
        <f t="shared" si="61"/>
        <v>0</v>
      </c>
      <c r="AF284" s="20">
        <f t="shared" si="61"/>
        <v>0</v>
      </c>
      <c r="AG284" s="20">
        <f t="shared" si="61"/>
        <v>0</v>
      </c>
      <c r="AH284" s="20">
        <f t="shared" si="61"/>
        <v>0</v>
      </c>
      <c r="AI284" s="20">
        <f t="shared" si="61"/>
        <v>0</v>
      </c>
      <c r="AJ284" s="20">
        <f t="shared" si="61"/>
        <v>0</v>
      </c>
      <c r="AK284" s="20">
        <f t="shared" si="61"/>
        <v>0</v>
      </c>
      <c r="AL284" s="20">
        <f t="shared" si="61"/>
        <v>0</v>
      </c>
      <c r="AM284" s="20">
        <f t="shared" si="61"/>
        <v>0</v>
      </c>
      <c r="AN284" s="215">
        <f t="shared" si="61"/>
        <v>0</v>
      </c>
      <c r="AO284" s="215">
        <f>IF(AO283&gt;0,(AO283*$C282),0)</f>
        <v>0</v>
      </c>
      <c r="AP284" s="22">
        <f>IF(AP283&gt;0,(AP283*$C282),0)</f>
        <v>0</v>
      </c>
    </row>
    <row r="285" spans="1:42" ht="15.75" thickBot="1">
      <c r="A285" s="39"/>
      <c r="B285" s="7"/>
      <c r="C285" s="10"/>
      <c r="D285" s="221"/>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222"/>
    </row>
    <row r="286" spans="1:42">
      <c r="A286" s="39"/>
      <c r="B286" s="4" t="s">
        <v>12</v>
      </c>
      <c r="C286" s="133" t="str">
        <f>Summary!B54</f>
        <v>D7</v>
      </c>
      <c r="D286" s="156" t="str">
        <f>Summary!C54</f>
        <v>Schools Programme - Pilot Project Savings</v>
      </c>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6"/>
    </row>
    <row r="287" spans="1:42">
      <c r="A287" s="39"/>
      <c r="B287" s="7" t="s">
        <v>189</v>
      </c>
      <c r="C287" s="134" t="str">
        <f>'D7 Schools Pilot Project'!D47</f>
        <v>B - Very Good</v>
      </c>
      <c r="D287" s="176">
        <f>VLOOKUP(C287,'Confidence Factors'!$B$6:$D$9,3)</f>
        <v>0.9</v>
      </c>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10"/>
    </row>
    <row r="288" spans="1:42">
      <c r="A288" s="39"/>
      <c r="B288" s="7" t="s">
        <v>30</v>
      </c>
      <c r="C288" s="128">
        <f>SUM(D288:AN288)</f>
        <v>1575000</v>
      </c>
      <c r="D288" s="177">
        <v>0</v>
      </c>
      <c r="E288" s="124">
        <f>(('D7 Schools Pilot Project'!$D70)/4)*'D7 Schools Pilot Project'!$D75*'Calcs - Scen 4'!$D287</f>
        <v>393750</v>
      </c>
      <c r="F288" s="124">
        <f>(('D7 Schools Pilot Project'!$D70)/4)*'D7 Schools Pilot Project'!$D75*'Calcs - Scen 4'!$D287</f>
        <v>393750</v>
      </c>
      <c r="G288" s="124">
        <f>(('D7 Schools Pilot Project'!$D70)/4)*'D7 Schools Pilot Project'!$D75*'Calcs - Scen 4'!$D287</f>
        <v>393750</v>
      </c>
      <c r="H288" s="124">
        <f>(('D7 Schools Pilot Project'!$D70)/4)*'D7 Schools Pilot Project'!$D75*'Calcs - Scen 4'!$D287</f>
        <v>393750</v>
      </c>
      <c r="I288" s="19"/>
      <c r="J288" s="19"/>
      <c r="K288" s="19"/>
      <c r="L288" s="19"/>
      <c r="M288" s="19"/>
      <c r="N288" s="19"/>
      <c r="O288" s="19"/>
      <c r="P288" s="19"/>
      <c r="Q288" s="19"/>
      <c r="R288" s="19"/>
      <c r="S288" s="19"/>
      <c r="T288" s="124"/>
      <c r="U288" s="19"/>
      <c r="V288" s="19"/>
      <c r="W288" s="19"/>
      <c r="X288" s="19"/>
      <c r="Y288" s="19"/>
      <c r="Z288" s="19"/>
      <c r="AA288" s="19"/>
      <c r="AB288" s="19"/>
      <c r="AC288" s="19"/>
      <c r="AD288" s="19"/>
      <c r="AE288" s="19"/>
      <c r="AF288" s="19"/>
      <c r="AG288" s="19"/>
      <c r="AH288" s="19"/>
      <c r="AI288" s="19"/>
      <c r="AJ288" s="19"/>
      <c r="AK288" s="19"/>
      <c r="AL288" s="19"/>
      <c r="AM288" s="19"/>
      <c r="AN288" s="216"/>
      <c r="AO288" s="216"/>
      <c r="AP288" s="23"/>
    </row>
    <row r="289" spans="1:42">
      <c r="A289" s="39"/>
      <c r="B289" s="7" t="s">
        <v>31</v>
      </c>
      <c r="C289" s="129">
        <f>NPV($C$7,F288:AO288)+D288+E288</f>
        <v>1496894.5612347506</v>
      </c>
      <c r="D289" s="7"/>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10"/>
    </row>
    <row r="290" spans="1:42">
      <c r="A290" s="39"/>
      <c r="B290" s="7" t="s">
        <v>4</v>
      </c>
      <c r="C290" s="130" t="str">
        <f>IF(SUM(D290:AN290)&gt;1,"CHECK"," ")</f>
        <v xml:space="preserve"> </v>
      </c>
      <c r="D290" s="178">
        <v>0.5</v>
      </c>
      <c r="E290" s="15">
        <v>0.5</v>
      </c>
      <c r="F290" s="15"/>
      <c r="G290" s="15"/>
      <c r="H290" s="15"/>
      <c r="I290" s="15"/>
      <c r="J290" s="15"/>
      <c r="K290" s="15"/>
      <c r="L290" s="15"/>
      <c r="M290" s="15"/>
      <c r="N290" s="15"/>
      <c r="O290" s="15"/>
      <c r="P290" s="15"/>
      <c r="Q290" s="15"/>
      <c r="R290" s="15"/>
      <c r="S290" s="15"/>
      <c r="T290" s="125"/>
      <c r="U290" s="15"/>
      <c r="V290" s="15"/>
      <c r="W290" s="15"/>
      <c r="X290" s="15"/>
      <c r="Y290" s="15"/>
      <c r="Z290" s="15"/>
      <c r="AA290" s="15"/>
      <c r="AB290" s="15"/>
      <c r="AC290" s="15"/>
      <c r="AD290" s="15"/>
      <c r="AE290" s="15"/>
      <c r="AF290" s="15"/>
      <c r="AG290" s="15"/>
      <c r="AH290" s="15"/>
      <c r="AI290" s="15"/>
      <c r="AJ290" s="15"/>
      <c r="AK290" s="15"/>
      <c r="AL290" s="15"/>
      <c r="AM290" s="15"/>
      <c r="AN290" s="146"/>
      <c r="AO290" s="146"/>
      <c r="AP290" s="16"/>
    </row>
    <row r="291" spans="1:42" ht="15.75" thickBot="1">
      <c r="A291" s="39"/>
      <c r="B291" s="11" t="s">
        <v>32</v>
      </c>
      <c r="C291" s="51"/>
      <c r="D291" s="179">
        <f t="shared" ref="D291:AN291" si="62">IF(D290&gt;0,(D290*$C289),0)</f>
        <v>748447.28061737528</v>
      </c>
      <c r="E291" s="20">
        <f t="shared" si="62"/>
        <v>748447.28061737528</v>
      </c>
      <c r="F291" s="20">
        <f t="shared" si="62"/>
        <v>0</v>
      </c>
      <c r="G291" s="20">
        <f t="shared" si="62"/>
        <v>0</v>
      </c>
      <c r="H291" s="20">
        <f t="shared" si="62"/>
        <v>0</v>
      </c>
      <c r="I291" s="20">
        <f t="shared" si="62"/>
        <v>0</v>
      </c>
      <c r="J291" s="20">
        <f t="shared" si="62"/>
        <v>0</v>
      </c>
      <c r="K291" s="20">
        <f t="shared" si="62"/>
        <v>0</v>
      </c>
      <c r="L291" s="20">
        <f t="shared" si="62"/>
        <v>0</v>
      </c>
      <c r="M291" s="20">
        <f t="shared" si="62"/>
        <v>0</v>
      </c>
      <c r="N291" s="20">
        <f t="shared" si="62"/>
        <v>0</v>
      </c>
      <c r="O291" s="20">
        <f t="shared" si="62"/>
        <v>0</v>
      </c>
      <c r="P291" s="20">
        <f t="shared" si="62"/>
        <v>0</v>
      </c>
      <c r="Q291" s="20">
        <f t="shared" si="62"/>
        <v>0</v>
      </c>
      <c r="R291" s="20">
        <f t="shared" si="62"/>
        <v>0</v>
      </c>
      <c r="S291" s="20">
        <f>IF(S290&gt;0,(S290*$C289),0)</f>
        <v>0</v>
      </c>
      <c r="T291" s="126">
        <f t="shared" si="62"/>
        <v>0</v>
      </c>
      <c r="U291" s="20">
        <f t="shared" si="62"/>
        <v>0</v>
      </c>
      <c r="V291" s="20">
        <f t="shared" si="62"/>
        <v>0</v>
      </c>
      <c r="W291" s="20">
        <f t="shared" si="62"/>
        <v>0</v>
      </c>
      <c r="X291" s="20">
        <f t="shared" si="62"/>
        <v>0</v>
      </c>
      <c r="Y291" s="20">
        <f t="shared" si="62"/>
        <v>0</v>
      </c>
      <c r="Z291" s="20">
        <f t="shared" si="62"/>
        <v>0</v>
      </c>
      <c r="AA291" s="20">
        <f t="shared" si="62"/>
        <v>0</v>
      </c>
      <c r="AB291" s="20">
        <f t="shared" si="62"/>
        <v>0</v>
      </c>
      <c r="AC291" s="20">
        <f t="shared" si="62"/>
        <v>0</v>
      </c>
      <c r="AD291" s="20">
        <f t="shared" si="62"/>
        <v>0</v>
      </c>
      <c r="AE291" s="20">
        <f t="shared" si="62"/>
        <v>0</v>
      </c>
      <c r="AF291" s="20">
        <f t="shared" si="62"/>
        <v>0</v>
      </c>
      <c r="AG291" s="20">
        <f t="shared" si="62"/>
        <v>0</v>
      </c>
      <c r="AH291" s="20">
        <f t="shared" si="62"/>
        <v>0</v>
      </c>
      <c r="AI291" s="20">
        <f t="shared" si="62"/>
        <v>0</v>
      </c>
      <c r="AJ291" s="20">
        <f t="shared" si="62"/>
        <v>0</v>
      </c>
      <c r="AK291" s="20">
        <f t="shared" si="62"/>
        <v>0</v>
      </c>
      <c r="AL291" s="20">
        <f t="shared" si="62"/>
        <v>0</v>
      </c>
      <c r="AM291" s="20">
        <f t="shared" si="62"/>
        <v>0</v>
      </c>
      <c r="AN291" s="215">
        <f t="shared" si="62"/>
        <v>0</v>
      </c>
      <c r="AO291" s="215">
        <f>IF(AO290&gt;0,(AO290*$C289),0)</f>
        <v>0</v>
      </c>
      <c r="AP291" s="22">
        <f>IF(AP290&gt;0,(AP290*$C289),0)</f>
        <v>0</v>
      </c>
    </row>
    <row r="292" spans="1:42" ht="15.75" thickBot="1">
      <c r="A292" s="39"/>
      <c r="B292" s="7"/>
      <c r="C292" s="10"/>
      <c r="D292" s="221"/>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222"/>
    </row>
    <row r="293" spans="1:42">
      <c r="A293" s="39"/>
      <c r="B293" s="4" t="s">
        <v>12</v>
      </c>
      <c r="C293" s="133" t="str">
        <f>Summary!B55</f>
        <v>D8</v>
      </c>
      <c r="D293" s="156" t="str">
        <f>Summary!C55</f>
        <v>Schools Programme - Needs Identification</v>
      </c>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6"/>
    </row>
    <row r="294" spans="1:42">
      <c r="A294" s="39"/>
      <c r="B294" s="7" t="s">
        <v>189</v>
      </c>
      <c r="C294" s="134" t="str">
        <f>'D8 Schools Needs Ident'!D47</f>
        <v>C - Good</v>
      </c>
      <c r="D294" s="176">
        <f>VLOOKUP(C294,'Confidence Factors'!$B$6:$D$9,3)</f>
        <v>0.75</v>
      </c>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10"/>
    </row>
    <row r="295" spans="1:42">
      <c r="A295" s="39"/>
      <c r="B295" s="7" t="s">
        <v>30</v>
      </c>
      <c r="C295" s="128">
        <f>SUM(D295:AN295)</f>
        <v>82912352.62500003</v>
      </c>
      <c r="D295" s="177">
        <v>0</v>
      </c>
      <c r="E295" s="19">
        <f>'D8 cont - Needs ID'!C60*'Calcs - Scen 4'!$D$294</f>
        <v>1036404.4078125004</v>
      </c>
      <c r="F295" s="19">
        <f>'D8 cont - Needs ID'!D60*'Calcs - Scen 4'!$D$294</f>
        <v>4663819.8351562517</v>
      </c>
      <c r="G295" s="19">
        <f>'D8 cont - Needs ID'!E60*'Calcs - Scen 4'!$D$294</f>
        <v>7773033.0585937528</v>
      </c>
      <c r="H295" s="19">
        <f>'D8 cont - Needs ID'!F60*'Calcs - Scen 4'!$D$294</f>
        <v>10364044.078125004</v>
      </c>
      <c r="I295" s="19">
        <f>'D8 cont - Needs ID'!G60*'Calcs - Scen 4'!$D$294</f>
        <v>12955055.097656254</v>
      </c>
      <c r="J295" s="19">
        <f>'D8 cont - Needs ID'!H60*'Calcs - Scen 4'!$D$294</f>
        <v>16064268.321093757</v>
      </c>
      <c r="K295" s="19">
        <f>'D8 cont - Needs ID'!I60*'Calcs - Scen 4'!$D$294</f>
        <v>19691683.748437505</v>
      </c>
      <c r="L295" s="19">
        <f>'D8 cont - Needs ID'!J60*'Calcs - Scen 4'!$D$294</f>
        <v>10364044.078125004</v>
      </c>
      <c r="M295" s="19"/>
      <c r="N295" s="19"/>
      <c r="O295" s="19"/>
      <c r="P295" s="19"/>
      <c r="Q295" s="19"/>
      <c r="R295" s="19"/>
      <c r="S295" s="19"/>
      <c r="T295" s="124"/>
      <c r="U295" s="19"/>
      <c r="V295" s="19"/>
      <c r="W295" s="19"/>
      <c r="X295" s="19"/>
      <c r="Y295" s="19"/>
      <c r="Z295" s="19"/>
      <c r="AA295" s="19"/>
      <c r="AB295" s="19"/>
      <c r="AC295" s="19"/>
      <c r="AD295" s="19"/>
      <c r="AE295" s="19"/>
      <c r="AF295" s="19"/>
      <c r="AG295" s="19"/>
      <c r="AH295" s="19"/>
      <c r="AI295" s="19"/>
      <c r="AJ295" s="19"/>
      <c r="AK295" s="19"/>
      <c r="AL295" s="19"/>
      <c r="AM295" s="19"/>
      <c r="AN295" s="216"/>
      <c r="AO295" s="216"/>
      <c r="AP295" s="23"/>
    </row>
    <row r="296" spans="1:42">
      <c r="A296" s="39"/>
      <c r="B296" s="7" t="s">
        <v>31</v>
      </c>
      <c r="C296" s="129">
        <f>NPV($C$7,F295:AO295)+D295+E295</f>
        <v>71127001.344951212</v>
      </c>
      <c r="D296" s="7"/>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10"/>
    </row>
    <row r="297" spans="1:42">
      <c r="A297" s="39"/>
      <c r="B297" s="7" t="s">
        <v>4</v>
      </c>
      <c r="C297" s="130" t="str">
        <f>IF(SUM(D297:AN297)&gt;1,"CHECK"," ")</f>
        <v xml:space="preserve"> </v>
      </c>
      <c r="D297" s="178">
        <v>1</v>
      </c>
      <c r="E297" s="15"/>
      <c r="F297" s="15"/>
      <c r="G297" s="15"/>
      <c r="H297" s="15"/>
      <c r="I297" s="15"/>
      <c r="J297" s="15"/>
      <c r="K297" s="15"/>
      <c r="L297" s="15"/>
      <c r="M297" s="15"/>
      <c r="N297" s="15"/>
      <c r="O297" s="15"/>
      <c r="P297" s="15"/>
      <c r="Q297" s="15"/>
      <c r="R297" s="15"/>
      <c r="S297" s="15"/>
      <c r="T297" s="125"/>
      <c r="U297" s="15"/>
      <c r="V297" s="15"/>
      <c r="W297" s="15"/>
      <c r="X297" s="15"/>
      <c r="Y297" s="15"/>
      <c r="Z297" s="15"/>
      <c r="AA297" s="15"/>
      <c r="AB297" s="15"/>
      <c r="AC297" s="15"/>
      <c r="AD297" s="15"/>
      <c r="AE297" s="15"/>
      <c r="AF297" s="15"/>
      <c r="AG297" s="15"/>
      <c r="AH297" s="15"/>
      <c r="AI297" s="15"/>
      <c r="AJ297" s="15"/>
      <c r="AK297" s="15"/>
      <c r="AL297" s="15"/>
      <c r="AM297" s="15"/>
      <c r="AN297" s="146"/>
      <c r="AO297" s="146"/>
      <c r="AP297" s="16"/>
    </row>
    <row r="298" spans="1:42" ht="15.75" thickBot="1">
      <c r="A298" s="39"/>
      <c r="B298" s="11" t="s">
        <v>32</v>
      </c>
      <c r="C298" s="51"/>
      <c r="D298" s="179">
        <f t="shared" ref="D298:AN298" si="63">IF(D297&gt;0,(D297*$C296),0)</f>
        <v>71127001.344951212</v>
      </c>
      <c r="E298" s="20">
        <f t="shared" si="63"/>
        <v>0</v>
      </c>
      <c r="F298" s="20">
        <f t="shared" si="63"/>
        <v>0</v>
      </c>
      <c r="G298" s="20">
        <f t="shared" si="63"/>
        <v>0</v>
      </c>
      <c r="H298" s="20">
        <f t="shared" si="63"/>
        <v>0</v>
      </c>
      <c r="I298" s="20">
        <f t="shared" si="63"/>
        <v>0</v>
      </c>
      <c r="J298" s="20">
        <f t="shared" si="63"/>
        <v>0</v>
      </c>
      <c r="K298" s="20">
        <f t="shared" si="63"/>
        <v>0</v>
      </c>
      <c r="L298" s="20">
        <f t="shared" si="63"/>
        <v>0</v>
      </c>
      <c r="M298" s="20">
        <f t="shared" si="63"/>
        <v>0</v>
      </c>
      <c r="N298" s="20">
        <f t="shared" si="63"/>
        <v>0</v>
      </c>
      <c r="O298" s="20">
        <f t="shared" si="63"/>
        <v>0</v>
      </c>
      <c r="P298" s="20">
        <f t="shared" si="63"/>
        <v>0</v>
      </c>
      <c r="Q298" s="20">
        <f t="shared" si="63"/>
        <v>0</v>
      </c>
      <c r="R298" s="20">
        <f t="shared" si="63"/>
        <v>0</v>
      </c>
      <c r="S298" s="20">
        <f>IF(S297&gt;0,(S297*$C296),0)</f>
        <v>0</v>
      </c>
      <c r="T298" s="126">
        <f t="shared" si="63"/>
        <v>0</v>
      </c>
      <c r="U298" s="20">
        <f t="shared" si="63"/>
        <v>0</v>
      </c>
      <c r="V298" s="20">
        <f t="shared" si="63"/>
        <v>0</v>
      </c>
      <c r="W298" s="20">
        <f t="shared" si="63"/>
        <v>0</v>
      </c>
      <c r="X298" s="20">
        <f t="shared" si="63"/>
        <v>0</v>
      </c>
      <c r="Y298" s="20">
        <f t="shared" si="63"/>
        <v>0</v>
      </c>
      <c r="Z298" s="20">
        <f t="shared" si="63"/>
        <v>0</v>
      </c>
      <c r="AA298" s="20">
        <f t="shared" si="63"/>
        <v>0</v>
      </c>
      <c r="AB298" s="20">
        <f t="shared" si="63"/>
        <v>0</v>
      </c>
      <c r="AC298" s="20">
        <f t="shared" si="63"/>
        <v>0</v>
      </c>
      <c r="AD298" s="20">
        <f t="shared" si="63"/>
        <v>0</v>
      </c>
      <c r="AE298" s="20">
        <f t="shared" si="63"/>
        <v>0</v>
      </c>
      <c r="AF298" s="20">
        <f t="shared" si="63"/>
        <v>0</v>
      </c>
      <c r="AG298" s="20">
        <f t="shared" si="63"/>
        <v>0</v>
      </c>
      <c r="AH298" s="20">
        <f t="shared" si="63"/>
        <v>0</v>
      </c>
      <c r="AI298" s="20">
        <f t="shared" si="63"/>
        <v>0</v>
      </c>
      <c r="AJ298" s="20">
        <f t="shared" si="63"/>
        <v>0</v>
      </c>
      <c r="AK298" s="20">
        <f t="shared" si="63"/>
        <v>0</v>
      </c>
      <c r="AL298" s="20">
        <f t="shared" si="63"/>
        <v>0</v>
      </c>
      <c r="AM298" s="20">
        <f t="shared" si="63"/>
        <v>0</v>
      </c>
      <c r="AN298" s="215">
        <f t="shared" si="63"/>
        <v>0</v>
      </c>
      <c r="AO298" s="215">
        <f>IF(AO297&gt;0,(AO297*$C296),0)</f>
        <v>0</v>
      </c>
      <c r="AP298" s="22">
        <f>IF(AP297&gt;0,(AP297*$C296),0)</f>
        <v>0</v>
      </c>
    </row>
    <row r="299" spans="1:42" ht="15.75" thickBot="1">
      <c r="A299" s="39"/>
      <c r="B299" s="7"/>
      <c r="C299" s="10"/>
      <c r="D299" s="221"/>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222"/>
    </row>
    <row r="300" spans="1:42">
      <c r="A300" s="39"/>
      <c r="B300" s="4" t="s">
        <v>12</v>
      </c>
      <c r="C300" s="133" t="str">
        <f>Summary!B56</f>
        <v>D9</v>
      </c>
      <c r="D300" s="156" t="str">
        <f>Summary!C56</f>
        <v>Schools Programme - Continuous Improvement Savings</v>
      </c>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6"/>
    </row>
    <row r="301" spans="1:42">
      <c r="A301" s="39"/>
      <c r="B301" s="7" t="s">
        <v>189</v>
      </c>
      <c r="C301" s="134" t="str">
        <f>'D9 Schools Cont Improv'!D47</f>
        <v>C - Good</v>
      </c>
      <c r="D301" s="176">
        <f>VLOOKUP(C301,'Confidence Factors'!$B$6:$D$9,3)</f>
        <v>0.75</v>
      </c>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10"/>
    </row>
    <row r="302" spans="1:42">
      <c r="A302" s="39"/>
      <c r="B302" s="7" t="s">
        <v>30</v>
      </c>
      <c r="C302" s="128">
        <f>SUM(D302:AN302)</f>
        <v>21881521.875</v>
      </c>
      <c r="D302" s="177">
        <v>0</v>
      </c>
      <c r="E302" s="19">
        <f>'D9 Schools Cont Improv'!J$76*'D9 Schools Cont Improv'!$D75*'Calcs - Scen 4'!$D301</f>
        <v>1558932.6964285714</v>
      </c>
      <c r="F302" s="19">
        <f>'D9 Schools Cont Improv'!K$76*'D9 Schools Cont Improv'!$D75*'Calcs - Scen 4'!$D301</f>
        <v>1558933.0714285714</v>
      </c>
      <c r="G302" s="19">
        <f>'D9 Schools Cont Improv'!L$76*'D9 Schools Cont Improv'!$D75*'Calcs - Scen 4'!$D301</f>
        <v>1558933.4464285714</v>
      </c>
      <c r="H302" s="19">
        <f>'D9 Schools Cont Improv'!M$76*'D9 Schools Cont Improv'!$D75*'Calcs - Scen 4'!$D301</f>
        <v>1980808.8214285714</v>
      </c>
      <c r="I302" s="19">
        <f>'D9 Schools Cont Improv'!N$76*'D9 Schools Cont Improv'!$D75*'Calcs - Scen 4'!$D301</f>
        <v>1980809.1964285714</v>
      </c>
      <c r="J302" s="19">
        <f>'D9 Schools Cont Improv'!O$76*'D9 Schools Cont Improv'!$D75*'Calcs - Scen 4'!$D301</f>
        <v>1980809.5714285714</v>
      </c>
      <c r="K302" s="19">
        <f>'D9 Schools Cont Improv'!P$76*'D9 Schools Cont Improv'!$D75*'Calcs - Scen 4'!$D301</f>
        <v>1980809.9464285714</v>
      </c>
      <c r="L302" s="19">
        <f>'D9 Schools Cont Improv'!Q$76*'D9 Schools Cont Improv'!$D75*'Calcs - Scen 4'!$D301</f>
        <v>421881.75</v>
      </c>
      <c r="M302" s="19">
        <f>'D9 Schools Cont Improv'!R$76*'D9 Schools Cont Improv'!$D75*'Calcs - Scen 4'!$D301</f>
        <v>421882.125</v>
      </c>
      <c r="N302" s="19">
        <f>'D9 Schools Cont Improv'!S$76*'D9 Schools Cont Improv'!$D75*'Calcs - Scen 4'!$D301</f>
        <v>421882.5</v>
      </c>
      <c r="O302" s="19">
        <f>'D9 Schools Cont Improv'!T$76*'D9 Schools Cont Improv'!$D75*'Calcs - Scen 4'!$D301</f>
        <v>421882.875</v>
      </c>
      <c r="P302" s="19">
        <f>'D9 Schools Cont Improv'!U$76*'D9 Schools Cont Improv'!$D75*'Calcs - Scen 4'!$D301</f>
        <v>421883.25</v>
      </c>
      <c r="Q302" s="19">
        <f>'D9 Schools Cont Improv'!V$76*'D9 Schools Cont Improv'!$D75*'Calcs - Scen 4'!$D301</f>
        <v>421883.625</v>
      </c>
      <c r="R302" s="19">
        <f>'D9 Schools Cont Improv'!W$76*'D9 Schools Cont Improv'!$D75*'Calcs - Scen 4'!$D301</f>
        <v>421884</v>
      </c>
      <c r="S302" s="19">
        <f>'D9 Schools Cont Improv'!X$76*'D9 Schools Cont Improv'!$D75*'Calcs - Scen 4'!$D301</f>
        <v>421884.375</v>
      </c>
      <c r="T302" s="19">
        <f>'D9 Schools Cont Improv'!Y$76*'D9 Schools Cont Improv'!$D75*'Calcs - Scen 4'!$D301</f>
        <v>421884.75</v>
      </c>
      <c r="U302" s="19">
        <f>'D9 Schools Cont Improv'!Z$76*'D9 Schools Cont Improv'!$D75*'Calcs - Scen 4'!$D301</f>
        <v>421885.125</v>
      </c>
      <c r="V302" s="19">
        <f>'D9 Schools Cont Improv'!AA$76*'D9 Schools Cont Improv'!$D75*'Calcs - Scen 4'!$D301</f>
        <v>421885.5</v>
      </c>
      <c r="W302" s="19">
        <f>'D9 Schools Cont Improv'!AB$76*'D9 Schools Cont Improv'!$D75*'Calcs - Scen 4'!$D301</f>
        <v>421885.875</v>
      </c>
      <c r="X302" s="19">
        <f>'D9 Schools Cont Improv'!AC$76*'D9 Schools Cont Improv'!$D75*'Calcs - Scen 4'!$D301</f>
        <v>421886.25</v>
      </c>
      <c r="Y302" s="19">
        <f>'D9 Schools Cont Improv'!AD$76*'D9 Schools Cont Improv'!$D75*'Calcs - Scen 4'!$D301</f>
        <v>421886.625</v>
      </c>
      <c r="Z302" s="19">
        <f>'D9 Schools Cont Improv'!AE$76*'D9 Schools Cont Improv'!$D75*'Calcs - Scen 4'!$D301</f>
        <v>421887</v>
      </c>
      <c r="AA302" s="19">
        <f>'D9 Schools Cont Improv'!AF$76*'D9 Schools Cont Improv'!$D75*'Calcs - Scen 4'!$D301</f>
        <v>421887.375</v>
      </c>
      <c r="AB302" s="19">
        <f>'D9 Schools Cont Improv'!AG$76*'D9 Schools Cont Improv'!$D75*'Calcs - Scen 4'!$D301</f>
        <v>421887.75</v>
      </c>
      <c r="AC302" s="19">
        <f>'D9 Schools Cont Improv'!AH$76*'D9 Schools Cont Improv'!$D75*'Calcs - Scen 4'!$D301</f>
        <v>421888.125</v>
      </c>
      <c r="AD302" s="19">
        <f>'D9 Schools Cont Improv'!AI$76*'D9 Schools Cont Improv'!$D75*'Calcs - Scen 4'!$D301</f>
        <v>421888.5</v>
      </c>
      <c r="AE302" s="19">
        <f>'D9 Schools Cont Improv'!AJ$76*'D9 Schools Cont Improv'!$D75*'Calcs - Scen 4'!$D301</f>
        <v>421888.875</v>
      </c>
      <c r="AF302" s="19">
        <f>'D9 Schools Cont Improv'!AK$76*'D9 Schools Cont Improv'!$D75*'Calcs - Scen 4'!$D301</f>
        <v>421889.25</v>
      </c>
      <c r="AG302" s="19">
        <f>'D9 Schools Cont Improv'!AL$76*'D9 Schools Cont Improv'!$D75*'Calcs - Scen 4'!$D301</f>
        <v>421889.625</v>
      </c>
      <c r="AH302" s="19">
        <f>'D9 Schools Cont Improv'!AM$76*'D9 Schools Cont Improv'!$D75*'Calcs - Scen 4'!$D301</f>
        <v>0</v>
      </c>
      <c r="AI302" s="19">
        <f>'D9 Schools Cont Improv'!AN$76*'D9 Schools Cont Improv'!$D75*'Calcs - Scen 4'!$D301</f>
        <v>0</v>
      </c>
      <c r="AJ302" s="19">
        <f>'D9 Schools Cont Improv'!AO$76*'D9 Schools Cont Improv'!$D75*'Calcs - Scen 4'!$D301</f>
        <v>0</v>
      </c>
      <c r="AK302" s="19"/>
      <c r="AL302" s="19"/>
      <c r="AM302" s="19"/>
      <c r="AN302" s="216"/>
      <c r="AO302" s="216"/>
      <c r="AP302" s="23"/>
    </row>
    <row r="303" spans="1:42">
      <c r="A303" s="39"/>
      <c r="B303" s="7" t="s">
        <v>31</v>
      </c>
      <c r="C303" s="129">
        <f>NPV($C$7,F302:AO302)+D302+E302</f>
        <v>16517760.591300791</v>
      </c>
      <c r="D303" s="7"/>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10"/>
    </row>
    <row r="304" spans="1:42">
      <c r="A304" s="39"/>
      <c r="B304" s="7" t="s">
        <v>4</v>
      </c>
      <c r="C304" s="130" t="str">
        <f>IF(SUM(D304:AN304)&gt;1,"CHECK"," ")</f>
        <v xml:space="preserve"> </v>
      </c>
      <c r="D304" s="178">
        <v>0.2</v>
      </c>
      <c r="E304" s="15">
        <v>0.2</v>
      </c>
      <c r="F304" s="15">
        <v>0.2</v>
      </c>
      <c r="G304" s="15">
        <v>0.2</v>
      </c>
      <c r="H304" s="15">
        <v>0.2</v>
      </c>
      <c r="I304" s="15"/>
      <c r="J304" s="15"/>
      <c r="K304" s="15"/>
      <c r="L304" s="15"/>
      <c r="M304" s="15"/>
      <c r="N304" s="15"/>
      <c r="O304" s="15"/>
      <c r="P304" s="15"/>
      <c r="Q304" s="15"/>
      <c r="R304" s="15"/>
      <c r="S304" s="15"/>
      <c r="T304" s="125"/>
      <c r="U304" s="15"/>
      <c r="V304" s="15"/>
      <c r="W304" s="15"/>
      <c r="X304" s="15"/>
      <c r="Y304" s="15"/>
      <c r="Z304" s="15"/>
      <c r="AA304" s="15"/>
      <c r="AB304" s="15"/>
      <c r="AC304" s="15"/>
      <c r="AD304" s="15"/>
      <c r="AE304" s="15"/>
      <c r="AF304" s="15"/>
      <c r="AG304" s="15"/>
      <c r="AH304" s="15"/>
      <c r="AI304" s="15"/>
      <c r="AJ304" s="15"/>
      <c r="AK304" s="15"/>
      <c r="AL304" s="15"/>
      <c r="AM304" s="15"/>
      <c r="AN304" s="146"/>
      <c r="AO304" s="146"/>
      <c r="AP304" s="16"/>
    </row>
    <row r="305" spans="1:42" ht="15.75" thickBot="1">
      <c r="A305" s="39"/>
      <c r="B305" s="11" t="s">
        <v>32</v>
      </c>
      <c r="C305" s="51"/>
      <c r="D305" s="179">
        <f t="shared" ref="D305:AN305" si="64">IF(D304&gt;0,(D304*$C303),0)</f>
        <v>3303552.1182601582</v>
      </c>
      <c r="E305" s="20">
        <f t="shared" si="64"/>
        <v>3303552.1182601582</v>
      </c>
      <c r="F305" s="20">
        <f t="shared" si="64"/>
        <v>3303552.1182601582</v>
      </c>
      <c r="G305" s="20">
        <f t="shared" si="64"/>
        <v>3303552.1182601582</v>
      </c>
      <c r="H305" s="20">
        <f t="shared" si="64"/>
        <v>3303552.1182601582</v>
      </c>
      <c r="I305" s="20">
        <f t="shared" si="64"/>
        <v>0</v>
      </c>
      <c r="J305" s="20">
        <f t="shared" si="64"/>
        <v>0</v>
      </c>
      <c r="K305" s="20">
        <f t="shared" si="64"/>
        <v>0</v>
      </c>
      <c r="L305" s="20">
        <f t="shared" si="64"/>
        <v>0</v>
      </c>
      <c r="M305" s="20">
        <f t="shared" si="64"/>
        <v>0</v>
      </c>
      <c r="N305" s="20">
        <f t="shared" si="64"/>
        <v>0</v>
      </c>
      <c r="O305" s="20">
        <f t="shared" si="64"/>
        <v>0</v>
      </c>
      <c r="P305" s="20">
        <f t="shared" si="64"/>
        <v>0</v>
      </c>
      <c r="Q305" s="20">
        <f t="shared" si="64"/>
        <v>0</v>
      </c>
      <c r="R305" s="20">
        <f t="shared" si="64"/>
        <v>0</v>
      </c>
      <c r="S305" s="20">
        <f>IF(S304&gt;0,(S304*$C303),0)</f>
        <v>0</v>
      </c>
      <c r="T305" s="126">
        <f t="shared" si="64"/>
        <v>0</v>
      </c>
      <c r="U305" s="20">
        <f t="shared" si="64"/>
        <v>0</v>
      </c>
      <c r="V305" s="20">
        <f t="shared" si="64"/>
        <v>0</v>
      </c>
      <c r="W305" s="20">
        <f t="shared" si="64"/>
        <v>0</v>
      </c>
      <c r="X305" s="20">
        <f t="shared" si="64"/>
        <v>0</v>
      </c>
      <c r="Y305" s="20">
        <f t="shared" si="64"/>
        <v>0</v>
      </c>
      <c r="Z305" s="20">
        <f t="shared" si="64"/>
        <v>0</v>
      </c>
      <c r="AA305" s="20">
        <f t="shared" si="64"/>
        <v>0</v>
      </c>
      <c r="AB305" s="20">
        <f t="shared" si="64"/>
        <v>0</v>
      </c>
      <c r="AC305" s="20">
        <f t="shared" si="64"/>
        <v>0</v>
      </c>
      <c r="AD305" s="20">
        <f t="shared" si="64"/>
        <v>0</v>
      </c>
      <c r="AE305" s="20">
        <f t="shared" si="64"/>
        <v>0</v>
      </c>
      <c r="AF305" s="20">
        <f t="shared" si="64"/>
        <v>0</v>
      </c>
      <c r="AG305" s="20">
        <f t="shared" si="64"/>
        <v>0</v>
      </c>
      <c r="AH305" s="20">
        <f t="shared" si="64"/>
        <v>0</v>
      </c>
      <c r="AI305" s="20">
        <f t="shared" si="64"/>
        <v>0</v>
      </c>
      <c r="AJ305" s="20">
        <f t="shared" si="64"/>
        <v>0</v>
      </c>
      <c r="AK305" s="20">
        <f t="shared" si="64"/>
        <v>0</v>
      </c>
      <c r="AL305" s="20">
        <f t="shared" si="64"/>
        <v>0</v>
      </c>
      <c r="AM305" s="20">
        <f t="shared" si="64"/>
        <v>0</v>
      </c>
      <c r="AN305" s="215">
        <f t="shared" si="64"/>
        <v>0</v>
      </c>
      <c r="AO305" s="215">
        <f>IF(AO304&gt;0,(AO304*$C303),0)</f>
        <v>0</v>
      </c>
      <c r="AP305" s="22">
        <f>IF(AP304&gt;0,(AP304*$C303),0)</f>
        <v>0</v>
      </c>
    </row>
    <row r="306" spans="1:42" ht="15.75" thickBot="1">
      <c r="A306" s="39"/>
      <c r="B306" s="7"/>
      <c r="C306" s="10"/>
      <c r="D306" s="221"/>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222"/>
    </row>
    <row r="307" spans="1:42">
      <c r="A307" s="39"/>
      <c r="B307" s="4" t="s">
        <v>12</v>
      </c>
      <c r="C307" s="133" t="str">
        <f>Summary!B57</f>
        <v>D10</v>
      </c>
      <c r="D307" s="156" t="str">
        <f>Summary!C57</f>
        <v>Blank - Nil Benefit</v>
      </c>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6"/>
    </row>
    <row r="308" spans="1:42">
      <c r="A308" s="39"/>
      <c r="B308" s="7" t="s">
        <v>189</v>
      </c>
      <c r="C308" s="134">
        <f>'D10 Blank - Nil Benefit'!D47</f>
        <v>0</v>
      </c>
      <c r="D308" s="176" t="e">
        <f>VLOOKUP(C308,'Confidence Factors'!$B$6:$D$9,3)</f>
        <v>#N/A</v>
      </c>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10"/>
    </row>
    <row r="309" spans="1:42">
      <c r="A309" s="39"/>
      <c r="B309" s="7" t="s">
        <v>30</v>
      </c>
      <c r="C309" s="128">
        <f>SUM(D309:AN309)</f>
        <v>0</v>
      </c>
      <c r="D309" s="177">
        <v>0</v>
      </c>
      <c r="E309" s="19">
        <v>0</v>
      </c>
      <c r="F309" s="19">
        <v>0</v>
      </c>
      <c r="G309" s="19">
        <v>0</v>
      </c>
      <c r="H309" s="19"/>
      <c r="I309" s="19"/>
      <c r="J309" s="19"/>
      <c r="K309" s="19"/>
      <c r="L309" s="19"/>
      <c r="M309" s="19"/>
      <c r="N309" s="19"/>
      <c r="O309" s="19"/>
      <c r="P309" s="19"/>
      <c r="Q309" s="19"/>
      <c r="R309" s="19"/>
      <c r="S309" s="19"/>
      <c r="T309" s="124"/>
      <c r="U309" s="19"/>
      <c r="V309" s="19"/>
      <c r="W309" s="19"/>
      <c r="X309" s="19"/>
      <c r="Y309" s="19"/>
      <c r="Z309" s="19"/>
      <c r="AA309" s="19"/>
      <c r="AB309" s="19"/>
      <c r="AC309" s="19"/>
      <c r="AD309" s="19"/>
      <c r="AE309" s="19"/>
      <c r="AF309" s="19"/>
      <c r="AG309" s="19"/>
      <c r="AH309" s="19"/>
      <c r="AI309" s="19"/>
      <c r="AJ309" s="19"/>
      <c r="AK309" s="19"/>
      <c r="AL309" s="19"/>
      <c r="AM309" s="19"/>
      <c r="AN309" s="216"/>
      <c r="AO309" s="216"/>
      <c r="AP309" s="23"/>
    </row>
    <row r="310" spans="1:42">
      <c r="A310" s="39"/>
      <c r="B310" s="7" t="s">
        <v>31</v>
      </c>
      <c r="C310" s="129">
        <f>NPV($C$7,F309:AO309)+D309+E309</f>
        <v>0</v>
      </c>
      <c r="D310" s="7"/>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10"/>
    </row>
    <row r="311" spans="1:42">
      <c r="A311" s="39"/>
      <c r="B311" s="7" t="s">
        <v>4</v>
      </c>
      <c r="C311" s="130" t="str">
        <f>IF(SUM(D311:AN311)&gt;1,"CHECK"," ")</f>
        <v xml:space="preserve"> </v>
      </c>
      <c r="D311" s="178">
        <v>0</v>
      </c>
      <c r="E311" s="15">
        <v>1</v>
      </c>
      <c r="F311" s="15">
        <v>0</v>
      </c>
      <c r="G311" s="15">
        <v>0</v>
      </c>
      <c r="H311" s="15">
        <v>0</v>
      </c>
      <c r="I311" s="15"/>
      <c r="J311" s="15"/>
      <c r="K311" s="15"/>
      <c r="L311" s="15"/>
      <c r="M311" s="15"/>
      <c r="N311" s="15"/>
      <c r="O311" s="15"/>
      <c r="P311" s="15"/>
      <c r="Q311" s="15"/>
      <c r="R311" s="15"/>
      <c r="S311" s="15"/>
      <c r="T311" s="125"/>
      <c r="U311" s="15"/>
      <c r="V311" s="15"/>
      <c r="W311" s="15"/>
      <c r="X311" s="15"/>
      <c r="Y311" s="15"/>
      <c r="Z311" s="15"/>
      <c r="AA311" s="15"/>
      <c r="AB311" s="15"/>
      <c r="AC311" s="15"/>
      <c r="AD311" s="15"/>
      <c r="AE311" s="15"/>
      <c r="AF311" s="15"/>
      <c r="AG311" s="15"/>
      <c r="AH311" s="15"/>
      <c r="AI311" s="15"/>
      <c r="AJ311" s="15"/>
      <c r="AK311" s="15"/>
      <c r="AL311" s="15"/>
      <c r="AM311" s="15"/>
      <c r="AN311" s="146"/>
      <c r="AO311" s="146"/>
      <c r="AP311" s="16"/>
    </row>
    <row r="312" spans="1:42" ht="15.75" thickBot="1">
      <c r="A312" s="39"/>
      <c r="B312" s="11" t="s">
        <v>32</v>
      </c>
      <c r="C312" s="51"/>
      <c r="D312" s="179">
        <f t="shared" ref="D312:R312" si="65">IF(D311&gt;0,(D311*$C310),0)</f>
        <v>0</v>
      </c>
      <c r="E312" s="20">
        <f t="shared" si="65"/>
        <v>0</v>
      </c>
      <c r="F312" s="20">
        <f t="shared" si="65"/>
        <v>0</v>
      </c>
      <c r="G312" s="20">
        <f t="shared" si="65"/>
        <v>0</v>
      </c>
      <c r="H312" s="20">
        <f t="shared" si="65"/>
        <v>0</v>
      </c>
      <c r="I312" s="20">
        <f t="shared" si="65"/>
        <v>0</v>
      </c>
      <c r="J312" s="20">
        <f t="shared" si="65"/>
        <v>0</v>
      </c>
      <c r="K312" s="20">
        <f t="shared" si="65"/>
        <v>0</v>
      </c>
      <c r="L312" s="20">
        <f t="shared" si="65"/>
        <v>0</v>
      </c>
      <c r="M312" s="20">
        <f t="shared" si="65"/>
        <v>0</v>
      </c>
      <c r="N312" s="20">
        <f t="shared" si="65"/>
        <v>0</v>
      </c>
      <c r="O312" s="20">
        <f t="shared" si="65"/>
        <v>0</v>
      </c>
      <c r="P312" s="20">
        <f t="shared" si="65"/>
        <v>0</v>
      </c>
      <c r="Q312" s="20">
        <f t="shared" si="65"/>
        <v>0</v>
      </c>
      <c r="R312" s="20">
        <f t="shared" si="65"/>
        <v>0</v>
      </c>
      <c r="S312" s="20">
        <f>IF(S311&gt;0,(S311*$C310),0)</f>
        <v>0</v>
      </c>
      <c r="T312" s="126">
        <f t="shared" ref="T312:AN312" si="66">IF(T311&gt;0,(T311*$C310),0)</f>
        <v>0</v>
      </c>
      <c r="U312" s="20">
        <f t="shared" si="66"/>
        <v>0</v>
      </c>
      <c r="V312" s="20">
        <f t="shared" si="66"/>
        <v>0</v>
      </c>
      <c r="W312" s="20">
        <f t="shared" si="66"/>
        <v>0</v>
      </c>
      <c r="X312" s="20">
        <f t="shared" si="66"/>
        <v>0</v>
      </c>
      <c r="Y312" s="20">
        <f t="shared" si="66"/>
        <v>0</v>
      </c>
      <c r="Z312" s="20">
        <f t="shared" si="66"/>
        <v>0</v>
      </c>
      <c r="AA312" s="20">
        <f t="shared" si="66"/>
        <v>0</v>
      </c>
      <c r="AB312" s="20">
        <f t="shared" si="66"/>
        <v>0</v>
      </c>
      <c r="AC312" s="20">
        <f t="shared" si="66"/>
        <v>0</v>
      </c>
      <c r="AD312" s="20">
        <f t="shared" si="66"/>
        <v>0</v>
      </c>
      <c r="AE312" s="20">
        <f t="shared" si="66"/>
        <v>0</v>
      </c>
      <c r="AF312" s="20">
        <f t="shared" si="66"/>
        <v>0</v>
      </c>
      <c r="AG312" s="20">
        <f t="shared" si="66"/>
        <v>0</v>
      </c>
      <c r="AH312" s="20">
        <f t="shared" si="66"/>
        <v>0</v>
      </c>
      <c r="AI312" s="20">
        <f t="shared" si="66"/>
        <v>0</v>
      </c>
      <c r="AJ312" s="20">
        <f t="shared" si="66"/>
        <v>0</v>
      </c>
      <c r="AK312" s="20">
        <f t="shared" si="66"/>
        <v>0</v>
      </c>
      <c r="AL312" s="20">
        <f t="shared" si="66"/>
        <v>0</v>
      </c>
      <c r="AM312" s="20">
        <f t="shared" si="66"/>
        <v>0</v>
      </c>
      <c r="AN312" s="215">
        <f t="shared" si="66"/>
        <v>0</v>
      </c>
      <c r="AO312" s="215">
        <f>IF(AO311&gt;0,(AO311*$C310),0)</f>
        <v>0</v>
      </c>
      <c r="AP312" s="22">
        <f>IF(AP311&gt;0,(AP311*$C310),0)</f>
        <v>0</v>
      </c>
    </row>
    <row r="313" spans="1:42" ht="15.75" thickBot="1">
      <c r="A313" s="39"/>
      <c r="B313" s="7"/>
      <c r="C313" s="10"/>
      <c r="D313" s="221"/>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222"/>
    </row>
    <row r="314" spans="1:42">
      <c r="A314" s="39"/>
      <c r="B314" s="4" t="s">
        <v>12</v>
      </c>
      <c r="C314" s="133" t="str">
        <f>Summary!B58</f>
        <v>E1</v>
      </c>
      <c r="D314" s="156" t="str">
        <f>Summary!C58</f>
        <v>Validation - Non-Standard Civils Projects (FRC)</v>
      </c>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6"/>
    </row>
    <row r="315" spans="1:42">
      <c r="A315" s="39"/>
      <c r="B315" s="7" t="s">
        <v>189</v>
      </c>
      <c r="C315" s="134" t="str">
        <f>'E1 Valdn Non-Std Civils FRC'!D47</f>
        <v>B - Very Good</v>
      </c>
      <c r="D315" s="176">
        <f>VLOOKUP(C315,'Confidence Factors'!$B$6:$D$9,3)</f>
        <v>0.9</v>
      </c>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10"/>
    </row>
    <row r="316" spans="1:42">
      <c r="A316" s="39"/>
      <c r="B316" s="7" t="s">
        <v>30</v>
      </c>
      <c r="C316" s="128">
        <f>SUM(D316:AN316)</f>
        <v>13500000</v>
      </c>
      <c r="D316" s="177">
        <v>0</v>
      </c>
      <c r="E316" s="19">
        <v>0</v>
      </c>
      <c r="F316" s="19">
        <v>0</v>
      </c>
      <c r="G316" s="19">
        <f>'E1 Valdn Non-Std Civils FRC'!L75*'E1 Valdn Non-Std Civils FRC'!D75*'Calcs - Scen 4'!D315</f>
        <v>2700000</v>
      </c>
      <c r="H316" s="19">
        <f>'E1 Valdn Non-Std Civils FRC'!M75*'E1 Valdn Non-Std Civils FRC'!D75*'Calcs - Scen 4'!D315</f>
        <v>2700000</v>
      </c>
      <c r="I316" s="19">
        <f>'E1 Valdn Non-Std Civils FRC'!N75*'E1 Valdn Non-Std Civils FRC'!D75*'Calcs - Scen 4'!D315</f>
        <v>2700000</v>
      </c>
      <c r="J316" s="19">
        <f>'E1 Valdn Non-Std Civils FRC'!O75*'E1 Valdn Non-Std Civils FRC'!D75*'Calcs - Scen 4'!D315</f>
        <v>2700000</v>
      </c>
      <c r="K316" s="19">
        <f>'E1 Valdn Non-Std Civils FRC'!P75*'E1 Valdn Non-Std Civils FRC'!D75*'Calcs - Scen 4'!D315</f>
        <v>2700000</v>
      </c>
      <c r="L316" s="19">
        <v>0</v>
      </c>
      <c r="M316" s="19">
        <v>0</v>
      </c>
      <c r="N316" s="19">
        <v>0</v>
      </c>
      <c r="O316" s="19">
        <v>0</v>
      </c>
      <c r="P316" s="19">
        <v>0</v>
      </c>
      <c r="Q316" s="19">
        <v>0</v>
      </c>
      <c r="R316" s="19">
        <v>0</v>
      </c>
      <c r="S316" s="19">
        <v>0</v>
      </c>
      <c r="T316" s="124">
        <v>0</v>
      </c>
      <c r="U316" s="19">
        <v>0</v>
      </c>
      <c r="V316" s="19">
        <v>0</v>
      </c>
      <c r="W316" s="19">
        <v>0</v>
      </c>
      <c r="X316" s="19">
        <v>0</v>
      </c>
      <c r="Y316" s="19">
        <v>0</v>
      </c>
      <c r="Z316" s="19">
        <v>0</v>
      </c>
      <c r="AA316" s="19">
        <v>0</v>
      </c>
      <c r="AB316" s="19">
        <v>0</v>
      </c>
      <c r="AC316" s="19">
        <v>0</v>
      </c>
      <c r="AD316" s="19">
        <v>0</v>
      </c>
      <c r="AE316" s="19">
        <v>0</v>
      </c>
      <c r="AF316" s="19">
        <v>0</v>
      </c>
      <c r="AG316" s="19">
        <v>0</v>
      </c>
      <c r="AH316" s="19">
        <v>0</v>
      </c>
      <c r="AI316" s="19">
        <v>0</v>
      </c>
      <c r="AJ316" s="19">
        <v>0</v>
      </c>
      <c r="AK316" s="19">
        <v>0</v>
      </c>
      <c r="AL316" s="19">
        <v>0</v>
      </c>
      <c r="AM316" s="19">
        <v>0</v>
      </c>
      <c r="AN316" s="216">
        <v>0</v>
      </c>
      <c r="AO316" s="216">
        <v>0</v>
      </c>
      <c r="AP316" s="23">
        <v>0</v>
      </c>
    </row>
    <row r="317" spans="1:42">
      <c r="A317" s="39"/>
      <c r="B317" s="7" t="s">
        <v>31</v>
      </c>
      <c r="C317" s="129">
        <f>NPV($C$7,F316:AO316)+D316+E316</f>
        <v>11778397.501228042</v>
      </c>
      <c r="D317" s="7"/>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10"/>
    </row>
    <row r="318" spans="1:42">
      <c r="A318" s="39"/>
      <c r="B318" s="7" t="s">
        <v>4</v>
      </c>
      <c r="C318" s="130" t="str">
        <f>IF(SUM(D318:AN318)&gt;1,"CHECK"," ")</f>
        <v xml:space="preserve"> </v>
      </c>
      <c r="D318" s="178">
        <v>0.5</v>
      </c>
      <c r="E318" s="15">
        <v>0.5</v>
      </c>
      <c r="F318" s="15"/>
      <c r="G318" s="15"/>
      <c r="H318" s="15"/>
      <c r="I318" s="15"/>
      <c r="J318" s="15"/>
      <c r="K318" s="15"/>
      <c r="L318" s="15"/>
      <c r="M318" s="15"/>
      <c r="N318" s="15"/>
      <c r="O318" s="15"/>
      <c r="P318" s="15"/>
      <c r="Q318" s="15"/>
      <c r="R318" s="15"/>
      <c r="S318" s="15"/>
      <c r="T318" s="125"/>
      <c r="U318" s="15"/>
      <c r="V318" s="15"/>
      <c r="W318" s="15"/>
      <c r="X318" s="15"/>
      <c r="Y318" s="15"/>
      <c r="Z318" s="15"/>
      <c r="AA318" s="15"/>
      <c r="AB318" s="15"/>
      <c r="AC318" s="15"/>
      <c r="AD318" s="15"/>
      <c r="AE318" s="15"/>
      <c r="AF318" s="15"/>
      <c r="AG318" s="15"/>
      <c r="AH318" s="15"/>
      <c r="AI318" s="15"/>
      <c r="AJ318" s="15"/>
      <c r="AK318" s="15"/>
      <c r="AL318" s="15"/>
      <c r="AM318" s="15"/>
      <c r="AN318" s="146"/>
      <c r="AO318" s="146"/>
      <c r="AP318" s="16"/>
    </row>
    <row r="319" spans="1:42" ht="15.75" thickBot="1">
      <c r="A319" s="39"/>
      <c r="B319" s="11" t="s">
        <v>32</v>
      </c>
      <c r="C319" s="51"/>
      <c r="D319" s="179">
        <f t="shared" ref="D319:AN319" si="67">IF(D318&gt;0,(D318*$C317),0)</f>
        <v>5889198.750614021</v>
      </c>
      <c r="E319" s="20">
        <f t="shared" si="67"/>
        <v>5889198.750614021</v>
      </c>
      <c r="F319" s="20">
        <f t="shared" si="67"/>
        <v>0</v>
      </c>
      <c r="G319" s="20">
        <f t="shared" si="67"/>
        <v>0</v>
      </c>
      <c r="H319" s="20">
        <f t="shared" si="67"/>
        <v>0</v>
      </c>
      <c r="I319" s="20">
        <f t="shared" si="67"/>
        <v>0</v>
      </c>
      <c r="J319" s="20">
        <f t="shared" si="67"/>
        <v>0</v>
      </c>
      <c r="K319" s="20">
        <f t="shared" si="67"/>
        <v>0</v>
      </c>
      <c r="L319" s="20">
        <f t="shared" si="67"/>
        <v>0</v>
      </c>
      <c r="M319" s="20">
        <f t="shared" si="67"/>
        <v>0</v>
      </c>
      <c r="N319" s="20">
        <f t="shared" si="67"/>
        <v>0</v>
      </c>
      <c r="O319" s="20">
        <f t="shared" si="67"/>
        <v>0</v>
      </c>
      <c r="P319" s="20">
        <f t="shared" si="67"/>
        <v>0</v>
      </c>
      <c r="Q319" s="20">
        <f t="shared" si="67"/>
        <v>0</v>
      </c>
      <c r="R319" s="20">
        <f t="shared" si="67"/>
        <v>0</v>
      </c>
      <c r="S319" s="20">
        <f>IF(S318&gt;0,(S318*$C317),0)</f>
        <v>0</v>
      </c>
      <c r="T319" s="126">
        <f t="shared" si="67"/>
        <v>0</v>
      </c>
      <c r="U319" s="20">
        <f t="shared" si="67"/>
        <v>0</v>
      </c>
      <c r="V319" s="20">
        <f t="shared" si="67"/>
        <v>0</v>
      </c>
      <c r="W319" s="20">
        <f t="shared" si="67"/>
        <v>0</v>
      </c>
      <c r="X319" s="20">
        <f t="shared" si="67"/>
        <v>0</v>
      </c>
      <c r="Y319" s="20">
        <f t="shared" si="67"/>
        <v>0</v>
      </c>
      <c r="Z319" s="20">
        <f t="shared" si="67"/>
        <v>0</v>
      </c>
      <c r="AA319" s="20">
        <f t="shared" si="67"/>
        <v>0</v>
      </c>
      <c r="AB319" s="20">
        <f t="shared" si="67"/>
        <v>0</v>
      </c>
      <c r="AC319" s="20">
        <f t="shared" si="67"/>
        <v>0</v>
      </c>
      <c r="AD319" s="20">
        <f t="shared" si="67"/>
        <v>0</v>
      </c>
      <c r="AE319" s="20">
        <f t="shared" si="67"/>
        <v>0</v>
      </c>
      <c r="AF319" s="20">
        <f t="shared" si="67"/>
        <v>0</v>
      </c>
      <c r="AG319" s="20">
        <f t="shared" si="67"/>
        <v>0</v>
      </c>
      <c r="AH319" s="20">
        <f t="shared" si="67"/>
        <v>0</v>
      </c>
      <c r="AI319" s="20">
        <f t="shared" si="67"/>
        <v>0</v>
      </c>
      <c r="AJ319" s="20">
        <f t="shared" si="67"/>
        <v>0</v>
      </c>
      <c r="AK319" s="20">
        <f t="shared" si="67"/>
        <v>0</v>
      </c>
      <c r="AL319" s="20">
        <f t="shared" si="67"/>
        <v>0</v>
      </c>
      <c r="AM319" s="20">
        <f t="shared" si="67"/>
        <v>0</v>
      </c>
      <c r="AN319" s="215">
        <f t="shared" si="67"/>
        <v>0</v>
      </c>
      <c r="AO319" s="215">
        <f>IF(AO318&gt;0,(AO318*$C317),0)</f>
        <v>0</v>
      </c>
      <c r="AP319" s="22">
        <f>IF(AP318&gt;0,(AP318*$C317),0)</f>
        <v>0</v>
      </c>
    </row>
    <row r="320" spans="1:42" ht="15.75" thickBot="1">
      <c r="A320" s="39"/>
      <c r="B320" s="7"/>
      <c r="C320" s="10"/>
      <c r="D320" s="221"/>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222"/>
    </row>
    <row r="321" spans="1:42">
      <c r="A321" s="39"/>
      <c r="B321" s="4" t="s">
        <v>12</v>
      </c>
      <c r="C321" s="473" t="str">
        <f>Summary!B59</f>
        <v>E2</v>
      </c>
      <c r="D321" s="156" t="str">
        <f>Summary!C59</f>
        <v>Validation - Standard Accommodation Projects</v>
      </c>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6"/>
    </row>
    <row r="322" spans="1:42">
      <c r="A322" s="39"/>
      <c r="B322" s="7" t="s">
        <v>189</v>
      </c>
      <c r="C322" s="134" t="str">
        <f>'E2 Validation Std Accom'!D45</f>
        <v>C - Good</v>
      </c>
      <c r="D322" s="176">
        <f>VLOOKUP(C322,'Confidence Factors'!$B$6:$D$9,3)</f>
        <v>0.75</v>
      </c>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10"/>
    </row>
    <row r="323" spans="1:42">
      <c r="A323" s="39"/>
      <c r="B323" s="7" t="s">
        <v>30</v>
      </c>
      <c r="C323" s="128">
        <f>SUM(D323:AN323)</f>
        <v>2025750</v>
      </c>
      <c r="D323" s="177">
        <f>'E2 Validation Std Accom'!I$74*'E2 Validation Std Accom'!$D73*'Calcs - Scen 4'!$D322</f>
        <v>80250</v>
      </c>
      <c r="E323" s="19">
        <f>'E2 Validation Std Accom'!J74*'E2 Validation Std Accom'!D73*'Calcs - Scen 4'!D322</f>
        <v>395250</v>
      </c>
      <c r="F323" s="19">
        <f>'E2 Validation Std Accom'!K74*'E2 Validation Std Accom'!D73*'Calcs - Scen 4'!D322</f>
        <v>395250</v>
      </c>
      <c r="G323" s="19">
        <f>'E2 Validation Std Accom'!L74*'E2 Validation Std Accom'!D73*'Calcs - Scen 4'!D322</f>
        <v>341250</v>
      </c>
      <c r="H323" s="19">
        <f>'E2 Validation Std Accom'!M74*'E2 Validation Std Accom'!D73*'Calcs - Scen 4'!D322</f>
        <v>341250</v>
      </c>
      <c r="I323" s="19">
        <f>'E2 Validation Std Accom'!N74*'E2 Validation Std Accom'!D73*'Calcs - Scen 4'!D322</f>
        <v>341250</v>
      </c>
      <c r="J323" s="19">
        <f>'E2 Validation Std Accom'!O74*'E2 Validation Std Accom'!D73*'Calcs - Scen 4'!D322</f>
        <v>26250</v>
      </c>
      <c r="K323" s="19">
        <f>'E2 Validation Std Accom'!P74*'E2 Validation Std Accom'!$D73*'Calcs - Scen 4'!$D322</f>
        <v>26250</v>
      </c>
      <c r="L323" s="19">
        <f>'E2 Validation Std Accom'!Q74*'E2 Validation Std Accom'!$D73*'Calcs - Scen 4'!$D322</f>
        <v>26250</v>
      </c>
      <c r="M323" s="19">
        <f>'E2 Validation Std Accom'!R74*'E2 Validation Std Accom'!$D73*'Calcs - Scen 4'!$D322</f>
        <v>26250</v>
      </c>
      <c r="N323" s="19">
        <f>'E2 Validation Std Accom'!S74*'E2 Validation Std Accom'!$D73*'Calcs - Scen 4'!$D322</f>
        <v>26250</v>
      </c>
      <c r="O323" s="19">
        <v>0</v>
      </c>
      <c r="P323" s="19">
        <v>0</v>
      </c>
      <c r="Q323" s="19">
        <v>0</v>
      </c>
      <c r="R323" s="19">
        <v>0</v>
      </c>
      <c r="S323" s="19">
        <v>0</v>
      </c>
      <c r="T323" s="19">
        <v>0</v>
      </c>
      <c r="U323" s="19">
        <v>0</v>
      </c>
      <c r="V323" s="19">
        <v>0</v>
      </c>
      <c r="W323" s="19">
        <v>0</v>
      </c>
      <c r="X323" s="19">
        <v>0</v>
      </c>
      <c r="Y323" s="19">
        <v>0</v>
      </c>
      <c r="Z323" s="19">
        <v>0</v>
      </c>
      <c r="AA323" s="19">
        <v>0</v>
      </c>
      <c r="AB323" s="19">
        <v>0</v>
      </c>
      <c r="AC323" s="19">
        <v>0</v>
      </c>
      <c r="AD323" s="19">
        <v>0</v>
      </c>
      <c r="AE323" s="19">
        <v>0</v>
      </c>
      <c r="AF323" s="19">
        <v>0</v>
      </c>
      <c r="AG323" s="19">
        <v>0</v>
      </c>
      <c r="AH323" s="19">
        <v>0</v>
      </c>
      <c r="AI323" s="19">
        <v>0</v>
      </c>
      <c r="AJ323" s="19">
        <v>0</v>
      </c>
      <c r="AK323" s="19">
        <v>0</v>
      </c>
      <c r="AL323" s="19">
        <v>0</v>
      </c>
      <c r="AM323" s="19">
        <v>0</v>
      </c>
      <c r="AN323" s="19">
        <v>0</v>
      </c>
      <c r="AO323" s="19">
        <v>0</v>
      </c>
      <c r="AP323" s="23"/>
    </row>
    <row r="324" spans="1:42">
      <c r="B324" s="7" t="s">
        <v>31</v>
      </c>
      <c r="C324" s="129">
        <f>NPV($C$7,F323:AO323)+D323+E323</f>
        <v>1884395.6346141186</v>
      </c>
      <c r="D324" s="7"/>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10"/>
    </row>
    <row r="325" spans="1:42">
      <c r="B325" s="7" t="s">
        <v>4</v>
      </c>
      <c r="C325" s="130" t="str">
        <f>IF(SUM(D325:AN325)&gt;1,"CHECK"," ")</f>
        <v xml:space="preserve"> </v>
      </c>
      <c r="D325" s="178">
        <f>1/3</f>
        <v>0.33333333333333331</v>
      </c>
      <c r="E325" s="178">
        <f t="shared" ref="E325:F325" si="68">1/3</f>
        <v>0.33333333333333331</v>
      </c>
      <c r="F325" s="178">
        <f t="shared" si="68"/>
        <v>0.33333333333333331</v>
      </c>
      <c r="G325" s="15"/>
      <c r="H325" s="15"/>
      <c r="I325" s="15"/>
      <c r="J325" s="15"/>
      <c r="K325" s="15"/>
      <c r="L325" s="15"/>
      <c r="M325" s="15"/>
      <c r="N325" s="15"/>
      <c r="O325" s="15"/>
      <c r="P325" s="15"/>
      <c r="Q325" s="15"/>
      <c r="R325" s="15"/>
      <c r="S325" s="15"/>
      <c r="T325" s="125"/>
      <c r="U325" s="15"/>
      <c r="V325" s="15"/>
      <c r="W325" s="15"/>
      <c r="X325" s="15"/>
      <c r="Y325" s="15"/>
      <c r="Z325" s="15"/>
      <c r="AA325" s="15"/>
      <c r="AB325" s="15"/>
      <c r="AC325" s="15"/>
      <c r="AD325" s="15"/>
      <c r="AE325" s="15"/>
      <c r="AF325" s="15"/>
      <c r="AG325" s="15"/>
      <c r="AH325" s="15"/>
      <c r="AI325" s="15"/>
      <c r="AJ325" s="15"/>
      <c r="AK325" s="15"/>
      <c r="AL325" s="15"/>
      <c r="AM325" s="15"/>
      <c r="AN325" s="146"/>
      <c r="AO325" s="146"/>
      <c r="AP325" s="16"/>
    </row>
    <row r="326" spans="1:42" ht="15.75" thickBot="1">
      <c r="B326" s="11" t="s">
        <v>32</v>
      </c>
      <c r="C326" s="51"/>
      <c r="D326" s="220">
        <f t="shared" ref="D326:AN326" si="69">IF(D325&gt;0,(D325*$C324),0)</f>
        <v>628131.87820470612</v>
      </c>
      <c r="E326" s="218">
        <f t="shared" si="69"/>
        <v>628131.87820470612</v>
      </c>
      <c r="F326" s="218">
        <f t="shared" si="69"/>
        <v>628131.87820470612</v>
      </c>
      <c r="G326" s="218">
        <f t="shared" si="69"/>
        <v>0</v>
      </c>
      <c r="H326" s="218">
        <f t="shared" si="69"/>
        <v>0</v>
      </c>
      <c r="I326" s="218">
        <f t="shared" si="69"/>
        <v>0</v>
      </c>
      <c r="J326" s="218">
        <f t="shared" si="69"/>
        <v>0</v>
      </c>
      <c r="K326" s="218">
        <f t="shared" si="69"/>
        <v>0</v>
      </c>
      <c r="L326" s="218">
        <f t="shared" si="69"/>
        <v>0</v>
      </c>
      <c r="M326" s="218">
        <f t="shared" si="69"/>
        <v>0</v>
      </c>
      <c r="N326" s="218">
        <f t="shared" si="69"/>
        <v>0</v>
      </c>
      <c r="O326" s="218">
        <f t="shared" si="69"/>
        <v>0</v>
      </c>
      <c r="P326" s="218">
        <f t="shared" si="69"/>
        <v>0</v>
      </c>
      <c r="Q326" s="218">
        <f t="shared" si="69"/>
        <v>0</v>
      </c>
      <c r="R326" s="218">
        <f t="shared" si="69"/>
        <v>0</v>
      </c>
      <c r="S326" s="218">
        <f>IF(S325&gt;0,(S325*$C324),0)</f>
        <v>0</v>
      </c>
      <c r="T326" s="217">
        <f t="shared" si="69"/>
        <v>0</v>
      </c>
      <c r="U326" s="218">
        <f t="shared" si="69"/>
        <v>0</v>
      </c>
      <c r="V326" s="218">
        <f t="shared" si="69"/>
        <v>0</v>
      </c>
      <c r="W326" s="218">
        <f t="shared" si="69"/>
        <v>0</v>
      </c>
      <c r="X326" s="218">
        <f t="shared" si="69"/>
        <v>0</v>
      </c>
      <c r="Y326" s="218">
        <f t="shared" si="69"/>
        <v>0</v>
      </c>
      <c r="Z326" s="218">
        <f t="shared" si="69"/>
        <v>0</v>
      </c>
      <c r="AA326" s="218">
        <f t="shared" si="69"/>
        <v>0</v>
      </c>
      <c r="AB326" s="218">
        <f t="shared" si="69"/>
        <v>0</v>
      </c>
      <c r="AC326" s="218">
        <f t="shared" si="69"/>
        <v>0</v>
      </c>
      <c r="AD326" s="218">
        <f t="shared" si="69"/>
        <v>0</v>
      </c>
      <c r="AE326" s="218">
        <f t="shared" si="69"/>
        <v>0</v>
      </c>
      <c r="AF326" s="218">
        <f t="shared" si="69"/>
        <v>0</v>
      </c>
      <c r="AG326" s="218">
        <f t="shared" si="69"/>
        <v>0</v>
      </c>
      <c r="AH326" s="218">
        <f t="shared" si="69"/>
        <v>0</v>
      </c>
      <c r="AI326" s="218">
        <f t="shared" si="69"/>
        <v>0</v>
      </c>
      <c r="AJ326" s="218">
        <f t="shared" si="69"/>
        <v>0</v>
      </c>
      <c r="AK326" s="218">
        <f t="shared" si="69"/>
        <v>0</v>
      </c>
      <c r="AL326" s="218">
        <f t="shared" si="69"/>
        <v>0</v>
      </c>
      <c r="AM326" s="218">
        <f t="shared" si="69"/>
        <v>0</v>
      </c>
      <c r="AN326" s="219">
        <f t="shared" si="69"/>
        <v>0</v>
      </c>
      <c r="AO326" s="219">
        <f>IF(AO325&gt;0,(AO325*$C324),0)</f>
        <v>0</v>
      </c>
      <c r="AP326" s="223">
        <f>IF(AP325&gt;0,(AP325*$C324),0)</f>
        <v>0</v>
      </c>
    </row>
    <row r="327" spans="1:42" ht="15.75" thickBot="1">
      <c r="B327" s="7"/>
      <c r="C327" s="10"/>
      <c r="D327" s="221"/>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222"/>
    </row>
    <row r="328" spans="1:42">
      <c r="B328" s="4" t="s">
        <v>12</v>
      </c>
      <c r="C328" s="473" t="str">
        <f>Summary!B60</f>
        <v>E3</v>
      </c>
      <c r="D328" s="474" t="str">
        <f>Summary!C60</f>
        <v>Validation - CMAL</v>
      </c>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6"/>
    </row>
    <row r="329" spans="1:42">
      <c r="B329" s="7" t="s">
        <v>189</v>
      </c>
      <c r="C329" s="134" t="str">
        <f>'E3 Validation CMAL'!D45</f>
        <v>D - Moderate</v>
      </c>
      <c r="D329" s="176">
        <f>VLOOKUP(C329,'Confidence Factors'!$B$6:$D$9,3)</f>
        <v>0.55000000000000004</v>
      </c>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10"/>
    </row>
    <row r="330" spans="1:42">
      <c r="B330" s="7" t="s">
        <v>30</v>
      </c>
      <c r="C330" s="128">
        <f>SUM(D330:AN330)</f>
        <v>13264020.000000002</v>
      </c>
      <c r="D330" s="177">
        <v>0</v>
      </c>
      <c r="E330" s="19">
        <v>0</v>
      </c>
      <c r="F330" s="19">
        <f>(('E3 Validation CMAL'!$D68)/25)*'E3 Validation CMAL'!$D73*'Calcs - Scen 4'!$D329</f>
        <v>1473780.0000000002</v>
      </c>
      <c r="G330" s="19">
        <f>(('E3 Validation CMAL'!$D68)/25)*'E3 Validation CMAL'!$D73*'Calcs - Scen 4'!$D329</f>
        <v>1473780.0000000002</v>
      </c>
      <c r="H330" s="19">
        <f>(('E3 Validation CMAL'!$D68)/25)*'E3 Validation CMAL'!$D73*'Calcs - Scen 4'!$D329</f>
        <v>1473780.0000000002</v>
      </c>
      <c r="I330" s="19">
        <f>(('E3 Validation CMAL'!$D68)/25)*'E3 Validation CMAL'!$D73*'Calcs - Scen 4'!$D329</f>
        <v>1473780.0000000002</v>
      </c>
      <c r="J330" s="19">
        <f>(('E3 Validation CMAL'!$D68)/25)*'E3 Validation CMAL'!$D73*'Calcs - Scen 4'!$D329</f>
        <v>1473780.0000000002</v>
      </c>
      <c r="K330" s="19">
        <f>(('E3 Validation CMAL'!$D68)/25)*'E3 Validation CMAL'!$D73*'Calcs - Scen 4'!$D329</f>
        <v>1473780.0000000002</v>
      </c>
      <c r="L330" s="19">
        <f>(('E3 Validation CMAL'!$D68)/25)*'E3 Validation CMAL'!$D73*'Calcs - Scen 4'!$D329</f>
        <v>1473780.0000000002</v>
      </c>
      <c r="M330" s="19">
        <f>(('E3 Validation CMAL'!$D68)/25)*'E3 Validation CMAL'!$D73*'Calcs - Scen 4'!$D329</f>
        <v>1473780.0000000002</v>
      </c>
      <c r="N330" s="19">
        <f>(('E3 Validation CMAL'!$D68)/25)*'E3 Validation CMAL'!$D73*'Calcs - Scen 4'!$D329</f>
        <v>1473780.0000000002</v>
      </c>
      <c r="O330" s="19">
        <v>0</v>
      </c>
      <c r="P330" s="19">
        <v>0</v>
      </c>
      <c r="Q330" s="19">
        <v>0</v>
      </c>
      <c r="R330" s="19">
        <v>0</v>
      </c>
      <c r="S330" s="19">
        <v>0</v>
      </c>
      <c r="T330" s="19">
        <v>0</v>
      </c>
      <c r="U330" s="19">
        <v>0</v>
      </c>
      <c r="V330" s="19">
        <v>0</v>
      </c>
      <c r="W330" s="19">
        <v>0</v>
      </c>
      <c r="X330" s="19">
        <v>0</v>
      </c>
      <c r="Y330" s="19">
        <v>0</v>
      </c>
      <c r="Z330" s="19">
        <v>0</v>
      </c>
      <c r="AA330" s="19">
        <v>0</v>
      </c>
      <c r="AB330" s="19">
        <v>0</v>
      </c>
      <c r="AC330" s="19">
        <v>0</v>
      </c>
      <c r="AD330" s="19">
        <v>0</v>
      </c>
      <c r="AE330" s="19">
        <v>0</v>
      </c>
      <c r="AF330" s="19">
        <v>0</v>
      </c>
      <c r="AG330" s="19">
        <v>0</v>
      </c>
      <c r="AH330" s="19">
        <v>0</v>
      </c>
      <c r="AI330" s="19">
        <v>0</v>
      </c>
      <c r="AJ330" s="19">
        <v>0</v>
      </c>
      <c r="AK330" s="19">
        <v>0</v>
      </c>
      <c r="AL330" s="19">
        <v>0</v>
      </c>
      <c r="AM330" s="19">
        <v>0</v>
      </c>
      <c r="AN330" s="19">
        <v>0</v>
      </c>
      <c r="AO330" s="19">
        <v>0</v>
      </c>
      <c r="AP330" s="23"/>
    </row>
    <row r="331" spans="1:42">
      <c r="B331" s="7" t="s">
        <v>31</v>
      </c>
      <c r="C331" s="129">
        <f>NPV($C$7,F330:AO330)+D330+E330</f>
        <v>11212056.223039756</v>
      </c>
      <c r="D331" s="7"/>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10"/>
    </row>
    <row r="332" spans="1:42">
      <c r="B332" s="7" t="s">
        <v>4</v>
      </c>
      <c r="C332" s="130" t="str">
        <f>IF(SUM(D332:AN332)&gt;1,"CHECK"," ")</f>
        <v xml:space="preserve"> </v>
      </c>
      <c r="D332" s="178">
        <v>0.5</v>
      </c>
      <c r="E332" s="15">
        <v>0.5</v>
      </c>
      <c r="F332" s="15"/>
      <c r="G332" s="15"/>
      <c r="H332" s="15"/>
      <c r="I332" s="15"/>
      <c r="J332" s="15"/>
      <c r="K332" s="15"/>
      <c r="L332" s="15"/>
      <c r="M332" s="15"/>
      <c r="N332" s="15"/>
      <c r="O332" s="15"/>
      <c r="P332" s="15"/>
      <c r="Q332" s="15"/>
      <c r="R332" s="15"/>
      <c r="S332" s="15"/>
      <c r="T332" s="125"/>
      <c r="U332" s="15"/>
      <c r="V332" s="15"/>
      <c r="W332" s="15"/>
      <c r="X332" s="15"/>
      <c r="Y332" s="15"/>
      <c r="Z332" s="15"/>
      <c r="AA332" s="15"/>
      <c r="AB332" s="15"/>
      <c r="AC332" s="15"/>
      <c r="AD332" s="15"/>
      <c r="AE332" s="15"/>
      <c r="AF332" s="15"/>
      <c r="AG332" s="15"/>
      <c r="AH332" s="15"/>
      <c r="AI332" s="15"/>
      <c r="AJ332" s="15"/>
      <c r="AK332" s="15"/>
      <c r="AL332" s="15"/>
      <c r="AM332" s="15"/>
      <c r="AN332" s="146"/>
      <c r="AO332" s="146"/>
      <c r="AP332" s="16"/>
    </row>
    <row r="333" spans="1:42" ht="15.75" thickBot="1">
      <c r="B333" s="11" t="s">
        <v>32</v>
      </c>
      <c r="C333" s="51"/>
      <c r="D333" s="220">
        <f t="shared" ref="D333:R333" si="70">IF(D332&gt;0,(D332*$C331),0)</f>
        <v>5606028.1115198778</v>
      </c>
      <c r="E333" s="218">
        <f t="shared" si="70"/>
        <v>5606028.1115198778</v>
      </c>
      <c r="F333" s="218">
        <f t="shared" si="70"/>
        <v>0</v>
      </c>
      <c r="G333" s="218">
        <f t="shared" si="70"/>
        <v>0</v>
      </c>
      <c r="H333" s="218">
        <f t="shared" si="70"/>
        <v>0</v>
      </c>
      <c r="I333" s="218">
        <f t="shared" si="70"/>
        <v>0</v>
      </c>
      <c r="J333" s="218">
        <f t="shared" si="70"/>
        <v>0</v>
      </c>
      <c r="K333" s="218">
        <f t="shared" si="70"/>
        <v>0</v>
      </c>
      <c r="L333" s="218">
        <f t="shared" si="70"/>
        <v>0</v>
      </c>
      <c r="M333" s="218">
        <f t="shared" si="70"/>
        <v>0</v>
      </c>
      <c r="N333" s="218">
        <f t="shared" si="70"/>
        <v>0</v>
      </c>
      <c r="O333" s="218">
        <f t="shared" si="70"/>
        <v>0</v>
      </c>
      <c r="P333" s="218">
        <f t="shared" si="70"/>
        <v>0</v>
      </c>
      <c r="Q333" s="218">
        <f t="shared" si="70"/>
        <v>0</v>
      </c>
      <c r="R333" s="218">
        <f t="shared" si="70"/>
        <v>0</v>
      </c>
      <c r="S333" s="218">
        <f>IF(S332&gt;0,(S332*$C331),0)</f>
        <v>0</v>
      </c>
      <c r="T333" s="217">
        <f t="shared" ref="T333:AN333" si="71">IF(T332&gt;0,(T332*$C331),0)</f>
        <v>0</v>
      </c>
      <c r="U333" s="218">
        <f t="shared" si="71"/>
        <v>0</v>
      </c>
      <c r="V333" s="218">
        <f t="shared" si="71"/>
        <v>0</v>
      </c>
      <c r="W333" s="218">
        <f t="shared" si="71"/>
        <v>0</v>
      </c>
      <c r="X333" s="218">
        <f t="shared" si="71"/>
        <v>0</v>
      </c>
      <c r="Y333" s="218">
        <f t="shared" si="71"/>
        <v>0</v>
      </c>
      <c r="Z333" s="218">
        <f t="shared" si="71"/>
        <v>0</v>
      </c>
      <c r="AA333" s="218">
        <f t="shared" si="71"/>
        <v>0</v>
      </c>
      <c r="AB333" s="218">
        <f t="shared" si="71"/>
        <v>0</v>
      </c>
      <c r="AC333" s="218">
        <f t="shared" si="71"/>
        <v>0</v>
      </c>
      <c r="AD333" s="218">
        <f t="shared" si="71"/>
        <v>0</v>
      </c>
      <c r="AE333" s="218">
        <f t="shared" si="71"/>
        <v>0</v>
      </c>
      <c r="AF333" s="218">
        <f t="shared" si="71"/>
        <v>0</v>
      </c>
      <c r="AG333" s="218">
        <f t="shared" si="71"/>
        <v>0</v>
      </c>
      <c r="AH333" s="218">
        <f t="shared" si="71"/>
        <v>0</v>
      </c>
      <c r="AI333" s="218">
        <f t="shared" si="71"/>
        <v>0</v>
      </c>
      <c r="AJ333" s="218">
        <f t="shared" si="71"/>
        <v>0</v>
      </c>
      <c r="AK333" s="218">
        <f t="shared" si="71"/>
        <v>0</v>
      </c>
      <c r="AL333" s="218">
        <f t="shared" si="71"/>
        <v>0</v>
      </c>
      <c r="AM333" s="218">
        <f t="shared" si="71"/>
        <v>0</v>
      </c>
      <c r="AN333" s="219">
        <f t="shared" si="71"/>
        <v>0</v>
      </c>
      <c r="AO333" s="219">
        <f>IF(AO332&gt;0,(AO332*$C331),0)</f>
        <v>0</v>
      </c>
      <c r="AP333" s="223">
        <f>IF(AP332&gt;0,(AP332*$C331),0)</f>
        <v>0</v>
      </c>
    </row>
    <row r="334" spans="1:42" ht="15.75" thickBot="1">
      <c r="B334" s="7"/>
      <c r="C334" s="10"/>
      <c r="D334" s="221"/>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222"/>
    </row>
    <row r="335" spans="1:42">
      <c r="B335" s="4" t="s">
        <v>12</v>
      </c>
      <c r="C335" s="473" t="str">
        <f>Summary!B61</f>
        <v>E4</v>
      </c>
      <c r="D335" s="474" t="str">
        <f>Summary!C61</f>
        <v>Validation - Non-Standard Civils Projects (Borders Railway)</v>
      </c>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6"/>
    </row>
    <row r="336" spans="1:42">
      <c r="B336" s="7" t="s">
        <v>189</v>
      </c>
      <c r="C336" s="553" t="str">
        <f>'E4 Valdn Non-Std Civils (BOR)'!D47</f>
        <v>C - Good</v>
      </c>
      <c r="D336" s="176">
        <f>VLOOKUP(C336,'Confidence Factors'!$B$6:$D$9,3)</f>
        <v>0.75</v>
      </c>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10"/>
    </row>
    <row r="337" spans="1:42">
      <c r="B337" s="7" t="s">
        <v>30</v>
      </c>
      <c r="C337" s="128">
        <f>SUM(D337:AN337)</f>
        <v>605469.375</v>
      </c>
      <c r="D337" s="177">
        <v>0</v>
      </c>
      <c r="E337" s="19">
        <f>(('E3 Validation CMAL'!$D75)/25)*'E3 Validation CMAL'!$D80*'Calcs - Scen 4'!$D336</f>
        <v>0</v>
      </c>
      <c r="F337" s="19">
        <f>(('E3 Validation CMAL'!$D75)/25)*'E3 Validation CMAL'!$D80*'Calcs - Scen 4'!$D336</f>
        <v>0</v>
      </c>
      <c r="G337" s="19">
        <f>(('E3 Validation CMAL'!$D75)/25)*'E3 Validation CMAL'!$D80*'Calcs - Scen 4'!$D336</f>
        <v>0</v>
      </c>
      <c r="H337" s="19">
        <f>(('E3 Validation CMAL'!$D75)/25)*'E3 Validation CMAL'!$D80*'Calcs - Scen 4'!$D336</f>
        <v>0</v>
      </c>
      <c r="I337" s="19">
        <f>(('E3 Validation CMAL'!$D75)/25)*'E3 Validation CMAL'!$D80*'Calcs - Scen 4'!$D336</f>
        <v>0</v>
      </c>
      <c r="J337" s="19">
        <f>'E4 Valdn Non-Std Civils (BOR)'!O$76*'E4 Valdn Non-Std Civils (BOR)'!$D75*'Calcs - Scen 4'!$D336</f>
        <v>121093.875</v>
      </c>
      <c r="K337" s="19">
        <f>'E4 Valdn Non-Std Civils (BOR)'!P$76*'E4 Valdn Non-Std Civils (BOR)'!$D75*'Calcs - Scen 4'!$D336</f>
        <v>121093.875</v>
      </c>
      <c r="L337" s="19">
        <f>'E4 Valdn Non-Std Civils (BOR)'!Q$76*'E4 Valdn Non-Std Civils (BOR)'!$D75*'Calcs - Scen 4'!$D336</f>
        <v>121093.875</v>
      </c>
      <c r="M337" s="19">
        <f>'E4 Valdn Non-Std Civils (BOR)'!R$76*'E4 Valdn Non-Std Civils (BOR)'!$D75*'Calcs - Scen 4'!$D336</f>
        <v>121093.875</v>
      </c>
      <c r="N337" s="19">
        <f>'E4 Valdn Non-Std Civils (BOR)'!S$76*'E4 Valdn Non-Std Civils (BOR)'!$D75*'Calcs - Scen 4'!$D336</f>
        <v>121093.875</v>
      </c>
      <c r="O337" s="19">
        <v>0</v>
      </c>
      <c r="P337" s="19">
        <v>0</v>
      </c>
      <c r="Q337" s="19">
        <v>0</v>
      </c>
      <c r="R337" s="19">
        <v>0</v>
      </c>
      <c r="S337" s="19">
        <v>0</v>
      </c>
      <c r="T337" s="19">
        <v>0</v>
      </c>
      <c r="U337" s="19">
        <v>0</v>
      </c>
      <c r="V337" s="19">
        <v>0</v>
      </c>
      <c r="W337" s="19">
        <v>0</v>
      </c>
      <c r="X337" s="19">
        <v>0</v>
      </c>
      <c r="Y337" s="19">
        <v>0</v>
      </c>
      <c r="Z337" s="19">
        <v>0</v>
      </c>
      <c r="AA337" s="19">
        <v>0</v>
      </c>
      <c r="AB337" s="19">
        <v>0</v>
      </c>
      <c r="AC337" s="19">
        <v>0</v>
      </c>
      <c r="AD337" s="19">
        <v>0</v>
      </c>
      <c r="AE337" s="19">
        <v>0</v>
      </c>
      <c r="AF337" s="19">
        <v>0</v>
      </c>
      <c r="AG337" s="19">
        <v>0</v>
      </c>
      <c r="AH337" s="19">
        <v>0</v>
      </c>
      <c r="AI337" s="19">
        <v>0</v>
      </c>
      <c r="AJ337" s="19">
        <v>0</v>
      </c>
      <c r="AK337" s="19">
        <v>0</v>
      </c>
      <c r="AL337" s="19">
        <v>0</v>
      </c>
      <c r="AM337" s="19">
        <v>0</v>
      </c>
      <c r="AN337" s="19">
        <v>0</v>
      </c>
      <c r="AO337" s="19">
        <v>0</v>
      </c>
      <c r="AP337" s="19">
        <v>0</v>
      </c>
    </row>
    <row r="338" spans="1:42">
      <c r="B338" s="7" t="s">
        <v>31</v>
      </c>
      <c r="C338" s="129">
        <f>NPV($C$7,F337:AO337)+D337+E337</f>
        <v>476456.84459128283</v>
      </c>
      <c r="D338" s="7"/>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10"/>
    </row>
    <row r="339" spans="1:42">
      <c r="B339" s="7" t="s">
        <v>4</v>
      </c>
      <c r="C339" s="130" t="str">
        <f>IF(SUM(D339:AN339)&gt;1,"CHECK"," ")</f>
        <v xml:space="preserve"> </v>
      </c>
      <c r="D339" s="178">
        <f>1/3</f>
        <v>0.33333333333333331</v>
      </c>
      <c r="E339" s="178">
        <f t="shared" ref="E339:F339" si="72">1/3</f>
        <v>0.33333333333333331</v>
      </c>
      <c r="F339" s="178">
        <f t="shared" si="72"/>
        <v>0.33333333333333331</v>
      </c>
      <c r="G339" s="15"/>
      <c r="H339" s="15"/>
      <c r="I339" s="15"/>
      <c r="J339" s="15"/>
      <c r="K339" s="15"/>
      <c r="L339" s="15"/>
      <c r="M339" s="15"/>
      <c r="N339" s="15"/>
      <c r="O339" s="15"/>
      <c r="P339" s="15"/>
      <c r="Q339" s="15"/>
      <c r="R339" s="15"/>
      <c r="S339" s="15"/>
      <c r="T339" s="125"/>
      <c r="U339" s="15"/>
      <c r="V339" s="15"/>
      <c r="W339" s="15"/>
      <c r="X339" s="15"/>
      <c r="Y339" s="15"/>
      <c r="Z339" s="15"/>
      <c r="AA339" s="15"/>
      <c r="AB339" s="15"/>
      <c r="AC339" s="15"/>
      <c r="AD339" s="15"/>
      <c r="AE339" s="15"/>
      <c r="AF339" s="15"/>
      <c r="AG339" s="15"/>
      <c r="AH339" s="15"/>
      <c r="AI339" s="15"/>
      <c r="AJ339" s="15"/>
      <c r="AK339" s="15"/>
      <c r="AL339" s="15"/>
      <c r="AM339" s="15"/>
      <c r="AN339" s="146"/>
      <c r="AO339" s="146"/>
      <c r="AP339" s="16"/>
    </row>
    <row r="340" spans="1:42" ht="15.75" thickBot="1">
      <c r="B340" s="11" t="s">
        <v>32</v>
      </c>
      <c r="C340" s="51"/>
      <c r="D340" s="220">
        <f t="shared" ref="D340:R340" si="73">IF(D339&gt;0,(D339*$C338),0)</f>
        <v>158818.94819709426</v>
      </c>
      <c r="E340" s="220">
        <f t="shared" si="73"/>
        <v>158818.94819709426</v>
      </c>
      <c r="F340" s="220">
        <f t="shared" si="73"/>
        <v>158818.94819709426</v>
      </c>
      <c r="G340" s="218">
        <f t="shared" si="73"/>
        <v>0</v>
      </c>
      <c r="H340" s="218">
        <f t="shared" si="73"/>
        <v>0</v>
      </c>
      <c r="I340" s="218">
        <f t="shared" si="73"/>
        <v>0</v>
      </c>
      <c r="J340" s="218">
        <f t="shared" si="73"/>
        <v>0</v>
      </c>
      <c r="K340" s="218">
        <f t="shared" si="73"/>
        <v>0</v>
      </c>
      <c r="L340" s="218">
        <f t="shared" si="73"/>
        <v>0</v>
      </c>
      <c r="M340" s="218">
        <f t="shared" si="73"/>
        <v>0</v>
      </c>
      <c r="N340" s="218">
        <f t="shared" si="73"/>
        <v>0</v>
      </c>
      <c r="O340" s="218">
        <f t="shared" si="73"/>
        <v>0</v>
      </c>
      <c r="P340" s="218">
        <f t="shared" si="73"/>
        <v>0</v>
      </c>
      <c r="Q340" s="218">
        <f t="shared" si="73"/>
        <v>0</v>
      </c>
      <c r="R340" s="218">
        <f t="shared" si="73"/>
        <v>0</v>
      </c>
      <c r="S340" s="218">
        <f>IF(S339&gt;0,(S339*$C338),0)</f>
        <v>0</v>
      </c>
      <c r="T340" s="217">
        <f t="shared" ref="T340:AN340" si="74">IF(T339&gt;0,(T339*$C338),0)</f>
        <v>0</v>
      </c>
      <c r="U340" s="218">
        <f t="shared" si="74"/>
        <v>0</v>
      </c>
      <c r="V340" s="218">
        <f t="shared" si="74"/>
        <v>0</v>
      </c>
      <c r="W340" s="218">
        <f t="shared" si="74"/>
        <v>0</v>
      </c>
      <c r="X340" s="218">
        <f t="shared" si="74"/>
        <v>0</v>
      </c>
      <c r="Y340" s="218">
        <f t="shared" si="74"/>
        <v>0</v>
      </c>
      <c r="Z340" s="218">
        <f t="shared" si="74"/>
        <v>0</v>
      </c>
      <c r="AA340" s="218">
        <f t="shared" si="74"/>
        <v>0</v>
      </c>
      <c r="AB340" s="218">
        <f t="shared" si="74"/>
        <v>0</v>
      </c>
      <c r="AC340" s="218">
        <f t="shared" si="74"/>
        <v>0</v>
      </c>
      <c r="AD340" s="218">
        <f t="shared" si="74"/>
        <v>0</v>
      </c>
      <c r="AE340" s="218">
        <f t="shared" si="74"/>
        <v>0</v>
      </c>
      <c r="AF340" s="218">
        <f t="shared" si="74"/>
        <v>0</v>
      </c>
      <c r="AG340" s="218">
        <f t="shared" si="74"/>
        <v>0</v>
      </c>
      <c r="AH340" s="218">
        <f t="shared" si="74"/>
        <v>0</v>
      </c>
      <c r="AI340" s="218">
        <f t="shared" si="74"/>
        <v>0</v>
      </c>
      <c r="AJ340" s="218">
        <f t="shared" si="74"/>
        <v>0</v>
      </c>
      <c r="AK340" s="218">
        <f t="shared" si="74"/>
        <v>0</v>
      </c>
      <c r="AL340" s="218">
        <f t="shared" si="74"/>
        <v>0</v>
      </c>
      <c r="AM340" s="218">
        <f t="shared" si="74"/>
        <v>0</v>
      </c>
      <c r="AN340" s="219">
        <f t="shared" si="74"/>
        <v>0</v>
      </c>
      <c r="AO340" s="219">
        <f>IF(AO339&gt;0,(AO339*$C338),0)</f>
        <v>0</v>
      </c>
      <c r="AP340" s="223">
        <f>IF(AP339&gt;0,(AP339*$C338),0)</f>
        <v>0</v>
      </c>
    </row>
    <row r="341" spans="1:42" ht="15.75" thickBot="1">
      <c r="B341" s="7"/>
      <c r="C341" s="10"/>
      <c r="D341" s="221"/>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222"/>
    </row>
    <row r="342" spans="1:42">
      <c r="A342" s="39"/>
      <c r="B342" s="4" t="s">
        <v>12</v>
      </c>
      <c r="C342" s="133" t="str">
        <f>Summary!B62</f>
        <v>F1</v>
      </c>
      <c r="D342" s="175" t="str">
        <f>Summary!C62</f>
        <v xml:space="preserve">Operational Projects Support </v>
      </c>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10"/>
    </row>
    <row r="343" spans="1:42">
      <c r="A343" s="39"/>
      <c r="B343" s="7" t="s">
        <v>189</v>
      </c>
      <c r="C343" s="134" t="str">
        <f>'F1 Ops project support'!D47</f>
        <v>D - Moderate</v>
      </c>
      <c r="D343" s="176">
        <f>VLOOKUP(C343,'Confidence Factors'!$B$6:$D$9,3)</f>
        <v>0.55000000000000004</v>
      </c>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10"/>
    </row>
    <row r="344" spans="1:42">
      <c r="A344" s="39"/>
      <c r="B344" s="7" t="s">
        <v>30</v>
      </c>
      <c r="C344" s="128">
        <f>SUM(D344:AN344)</f>
        <v>12100000</v>
      </c>
      <c r="D344" s="177">
        <v>0</v>
      </c>
      <c r="E344" s="124">
        <v>0</v>
      </c>
      <c r="F344" s="124">
        <f>'F1 Ops project support'!N$59*'F1 Ops project support'!$D75*'Calcs - Scen 4'!$D343</f>
        <v>302500</v>
      </c>
      <c r="G344" s="124">
        <f>'F1 Ops project support'!O$59*'F1 Ops project support'!$D75*'Calcs - Scen 4'!$D343</f>
        <v>1210000</v>
      </c>
      <c r="H344" s="124">
        <f>'F1 Ops project support'!P$59*'F1 Ops project support'!$D75*'Calcs - Scen 4'!$D343</f>
        <v>1512500.0000000002</v>
      </c>
      <c r="I344" s="124">
        <f>'F1 Ops project support'!Q$59*'F1 Ops project support'!$D75*'Calcs - Scen 4'!$D343</f>
        <v>1512500.0000000002</v>
      </c>
      <c r="J344" s="124">
        <f>'F1 Ops project support'!R$59*'F1 Ops project support'!$D75*'Calcs - Scen 4'!$D343</f>
        <v>1512500.0000000002</v>
      </c>
      <c r="K344" s="124">
        <f>'F1 Ops project support'!S$59*'F1 Ops project support'!$D75*'Calcs - Scen 4'!$D343</f>
        <v>1512500.0000000002</v>
      </c>
      <c r="L344" s="124">
        <f>'F1 Ops project support'!T$59*'F1 Ops project support'!$D75*'Calcs - Scen 4'!$D343</f>
        <v>1512500.0000000002</v>
      </c>
      <c r="M344" s="124">
        <f>'F1 Ops project support'!U$59*'F1 Ops project support'!$D75*'Calcs - Scen 4'!$D343</f>
        <v>1512500.0000000002</v>
      </c>
      <c r="N344" s="124">
        <f>'F1 Ops project support'!V$59*'F1 Ops project support'!$D75*'Calcs - Scen 4'!$D343</f>
        <v>1512500.0000000002</v>
      </c>
      <c r="O344" s="124">
        <v>0</v>
      </c>
      <c r="P344" s="124">
        <v>0</v>
      </c>
      <c r="Q344" s="124">
        <v>0</v>
      </c>
      <c r="R344" s="124">
        <v>0</v>
      </c>
      <c r="S344" s="124">
        <v>0</v>
      </c>
      <c r="T344" s="124">
        <v>0</v>
      </c>
      <c r="U344" s="124">
        <v>0</v>
      </c>
      <c r="V344" s="124">
        <v>0</v>
      </c>
      <c r="W344" s="124">
        <v>0</v>
      </c>
      <c r="X344" s="124">
        <v>0</v>
      </c>
      <c r="Y344" s="124">
        <v>0</v>
      </c>
      <c r="Z344" s="124">
        <v>0</v>
      </c>
      <c r="AA344" s="124">
        <v>0</v>
      </c>
      <c r="AB344" s="124">
        <v>0</v>
      </c>
      <c r="AC344" s="124">
        <v>0</v>
      </c>
      <c r="AD344" s="124">
        <v>0</v>
      </c>
      <c r="AE344" s="124">
        <v>0</v>
      </c>
      <c r="AF344" s="124">
        <v>0</v>
      </c>
      <c r="AG344" s="124">
        <v>0</v>
      </c>
      <c r="AH344" s="124">
        <v>0</v>
      </c>
      <c r="AI344" s="124">
        <v>0</v>
      </c>
      <c r="AJ344" s="124">
        <v>0</v>
      </c>
      <c r="AK344" s="124">
        <v>0</v>
      </c>
      <c r="AL344" s="124">
        <v>0</v>
      </c>
      <c r="AM344" s="124">
        <v>0</v>
      </c>
      <c r="AN344" s="124">
        <v>0</v>
      </c>
      <c r="AO344" s="124">
        <v>0</v>
      </c>
      <c r="AP344" s="124">
        <v>0</v>
      </c>
    </row>
    <row r="345" spans="1:42">
      <c r="A345" s="39"/>
      <c r="B345" s="7" t="s">
        <v>31</v>
      </c>
      <c r="C345" s="129">
        <f>NPV($C$7,F344:AO344)+D344+E344</f>
        <v>10055156.73219843</v>
      </c>
      <c r="D345" s="7"/>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10"/>
    </row>
    <row r="346" spans="1:42">
      <c r="A346" s="39"/>
      <c r="B346" s="7" t="s">
        <v>4</v>
      </c>
      <c r="C346" s="130" t="str">
        <f>IF(SUM(D346:AN346)&gt;1,"CHECK"," ")</f>
        <v xml:space="preserve"> </v>
      </c>
      <c r="D346" s="178">
        <v>0.1</v>
      </c>
      <c r="E346" s="15">
        <v>0.15</v>
      </c>
      <c r="F346" s="15">
        <v>0.6</v>
      </c>
      <c r="G346" s="15">
        <v>0.15</v>
      </c>
      <c r="H346" s="15"/>
      <c r="I346" s="15"/>
      <c r="J346" s="15"/>
      <c r="K346" s="15"/>
      <c r="L346" s="15"/>
      <c r="M346" s="15"/>
      <c r="N346" s="15"/>
      <c r="O346" s="15"/>
      <c r="P346" s="15"/>
      <c r="Q346" s="15"/>
      <c r="R346" s="15"/>
      <c r="S346" s="15"/>
      <c r="T346" s="125"/>
      <c r="U346" s="15"/>
      <c r="V346" s="15"/>
      <c r="W346" s="15"/>
      <c r="X346" s="15"/>
      <c r="Y346" s="15"/>
      <c r="Z346" s="15"/>
      <c r="AA346" s="15"/>
      <c r="AB346" s="15"/>
      <c r="AC346" s="15"/>
      <c r="AD346" s="15"/>
      <c r="AE346" s="15"/>
      <c r="AF346" s="15"/>
      <c r="AG346" s="15"/>
      <c r="AH346" s="15"/>
      <c r="AI346" s="15"/>
      <c r="AJ346" s="15"/>
      <c r="AK346" s="15"/>
      <c r="AL346" s="15"/>
      <c r="AM346" s="15"/>
      <c r="AN346" s="146"/>
      <c r="AO346" s="146"/>
      <c r="AP346" s="16"/>
    </row>
    <row r="347" spans="1:42" ht="15.75" thickBot="1">
      <c r="A347" s="39"/>
      <c r="B347" s="11" t="s">
        <v>32</v>
      </c>
      <c r="C347" s="51"/>
      <c r="D347" s="179">
        <f>IF(D346&gt;0,(D346*$C345),0)</f>
        <v>1005515.6732198431</v>
      </c>
      <c r="E347" s="20">
        <f t="shared" ref="E347:AN347" si="75">IF(E346&gt;0,(E346*$C345),0)</f>
        <v>1508273.5098297645</v>
      </c>
      <c r="F347" s="20">
        <f t="shared" si="75"/>
        <v>6033094.0393190579</v>
      </c>
      <c r="G347" s="20">
        <f t="shared" si="75"/>
        <v>1508273.5098297645</v>
      </c>
      <c r="H347" s="20">
        <f t="shared" si="75"/>
        <v>0</v>
      </c>
      <c r="I347" s="20">
        <f t="shared" si="75"/>
        <v>0</v>
      </c>
      <c r="J347" s="20">
        <f t="shared" si="75"/>
        <v>0</v>
      </c>
      <c r="K347" s="20">
        <f t="shared" si="75"/>
        <v>0</v>
      </c>
      <c r="L347" s="20">
        <f t="shared" si="75"/>
        <v>0</v>
      </c>
      <c r="M347" s="20">
        <f t="shared" si="75"/>
        <v>0</v>
      </c>
      <c r="N347" s="20">
        <f t="shared" si="75"/>
        <v>0</v>
      </c>
      <c r="O347" s="20">
        <f t="shared" si="75"/>
        <v>0</v>
      </c>
      <c r="P347" s="20">
        <f t="shared" si="75"/>
        <v>0</v>
      </c>
      <c r="Q347" s="20">
        <f t="shared" si="75"/>
        <v>0</v>
      </c>
      <c r="R347" s="20">
        <f t="shared" si="75"/>
        <v>0</v>
      </c>
      <c r="S347" s="20">
        <f>IF(S346&gt;0,(S346*$C345),0)</f>
        <v>0</v>
      </c>
      <c r="T347" s="126">
        <f t="shared" si="75"/>
        <v>0</v>
      </c>
      <c r="U347" s="20">
        <f t="shared" si="75"/>
        <v>0</v>
      </c>
      <c r="V347" s="20">
        <f t="shared" si="75"/>
        <v>0</v>
      </c>
      <c r="W347" s="20">
        <f t="shared" si="75"/>
        <v>0</v>
      </c>
      <c r="X347" s="20">
        <f t="shared" si="75"/>
        <v>0</v>
      </c>
      <c r="Y347" s="20">
        <f t="shared" si="75"/>
        <v>0</v>
      </c>
      <c r="Z347" s="20">
        <f t="shared" si="75"/>
        <v>0</v>
      </c>
      <c r="AA347" s="20">
        <f t="shared" si="75"/>
        <v>0</v>
      </c>
      <c r="AB347" s="20">
        <f t="shared" si="75"/>
        <v>0</v>
      </c>
      <c r="AC347" s="20">
        <f t="shared" si="75"/>
        <v>0</v>
      </c>
      <c r="AD347" s="20">
        <f t="shared" si="75"/>
        <v>0</v>
      </c>
      <c r="AE347" s="20">
        <f t="shared" si="75"/>
        <v>0</v>
      </c>
      <c r="AF347" s="20">
        <f t="shared" si="75"/>
        <v>0</v>
      </c>
      <c r="AG347" s="20">
        <f t="shared" si="75"/>
        <v>0</v>
      </c>
      <c r="AH347" s="20">
        <f t="shared" si="75"/>
        <v>0</v>
      </c>
      <c r="AI347" s="20">
        <f t="shared" si="75"/>
        <v>0</v>
      </c>
      <c r="AJ347" s="20">
        <f t="shared" si="75"/>
        <v>0</v>
      </c>
      <c r="AK347" s="20">
        <f t="shared" si="75"/>
        <v>0</v>
      </c>
      <c r="AL347" s="20">
        <f t="shared" si="75"/>
        <v>0</v>
      </c>
      <c r="AM347" s="20">
        <f t="shared" si="75"/>
        <v>0</v>
      </c>
      <c r="AN347" s="215">
        <f t="shared" si="75"/>
        <v>0</v>
      </c>
      <c r="AO347" s="215">
        <f>IF(AO346&gt;0,(AO346*$C345),0)</f>
        <v>0</v>
      </c>
      <c r="AP347" s="22">
        <f>IF(AP346&gt;0,(AP346*$C345),0)</f>
        <v>0</v>
      </c>
    </row>
    <row r="348" spans="1:42" ht="15.75" thickBot="1">
      <c r="A348" s="39"/>
      <c r="B348" s="7"/>
      <c r="C348" s="10"/>
      <c r="D348" s="7"/>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10"/>
    </row>
    <row r="349" spans="1:42">
      <c r="A349" s="39"/>
      <c r="B349" s="4" t="s">
        <v>12</v>
      </c>
      <c r="C349" s="133" t="str">
        <f>Summary!B63</f>
        <v>G1</v>
      </c>
      <c r="D349" s="156" t="str">
        <f>Summary!C63</f>
        <v>Waste - Procurement Timetable Benefits - Avoided Disposal Costs - Projects other than Clyde Valley</v>
      </c>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6"/>
    </row>
    <row r="350" spans="1:42">
      <c r="A350" s="39"/>
      <c r="B350" s="7" t="s">
        <v>189</v>
      </c>
      <c r="C350" s="134" t="str">
        <f>'G1 Wst Proc Time Benefits'!D47</f>
        <v>C - Good</v>
      </c>
      <c r="D350" s="176">
        <f>VLOOKUP(C350,'Confidence Factors'!$B$6:$D$9,3)</f>
        <v>0.75</v>
      </c>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10"/>
    </row>
    <row r="351" spans="1:42">
      <c r="A351" s="39"/>
      <c r="B351" s="7" t="s">
        <v>30</v>
      </c>
      <c r="C351" s="128">
        <f>SUM(D351:AN351)</f>
        <v>439687.5</v>
      </c>
      <c r="D351" s="177">
        <v>0</v>
      </c>
      <c r="E351" s="19">
        <v>0</v>
      </c>
      <c r="F351" s="19">
        <v>0</v>
      </c>
      <c r="G351" s="19">
        <v>0</v>
      </c>
      <c r="H351" s="19">
        <v>0</v>
      </c>
      <c r="I351" s="19">
        <f>752500*'G1 Wst Proc Time Benefits'!D75*'Calcs - Scen 4'!D350</f>
        <v>282187.5</v>
      </c>
      <c r="J351" s="19">
        <v>0</v>
      </c>
      <c r="K351" s="19"/>
      <c r="L351" s="19">
        <f>420000*'G1 Wst Proc Time Benefits'!D75*'Calcs - Scen 4'!D350</f>
        <v>157500</v>
      </c>
      <c r="M351" s="19"/>
      <c r="N351" s="19"/>
      <c r="O351" s="19"/>
      <c r="P351" s="19"/>
      <c r="Q351" s="19"/>
      <c r="R351" s="19"/>
      <c r="S351" s="19"/>
      <c r="T351" s="124"/>
      <c r="U351" s="19"/>
      <c r="V351" s="19"/>
      <c r="W351" s="19"/>
      <c r="X351" s="19"/>
      <c r="Y351" s="19"/>
      <c r="Z351" s="19"/>
      <c r="AA351" s="19"/>
      <c r="AB351" s="19"/>
      <c r="AC351" s="19"/>
      <c r="AD351" s="19"/>
      <c r="AE351" s="19"/>
      <c r="AF351" s="19"/>
      <c r="AG351" s="19"/>
      <c r="AH351" s="19"/>
      <c r="AI351" s="19"/>
      <c r="AJ351" s="19"/>
      <c r="AK351" s="19"/>
      <c r="AL351" s="19"/>
      <c r="AM351" s="19"/>
      <c r="AN351" s="216"/>
      <c r="AO351" s="216"/>
      <c r="AP351" s="23"/>
    </row>
    <row r="352" spans="1:42">
      <c r="A352" s="39"/>
      <c r="B352" s="7" t="s">
        <v>31</v>
      </c>
      <c r="C352" s="129">
        <f>NPV($C$7,F351:AO351)+D351+E351</f>
        <v>374036.45510716201</v>
      </c>
      <c r="D352" s="7"/>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10"/>
    </row>
    <row r="353" spans="1:42">
      <c r="A353" s="39"/>
      <c r="B353" s="7" t="s">
        <v>4</v>
      </c>
      <c r="C353" s="130" t="str">
        <f>IF(SUM(D353:AN353)&gt;1,"CHECK"," ")</f>
        <v xml:space="preserve"> </v>
      </c>
      <c r="D353" s="178">
        <v>0.2</v>
      </c>
      <c r="E353" s="15">
        <v>0.3</v>
      </c>
      <c r="F353" s="15">
        <v>0.3</v>
      </c>
      <c r="G353" s="15">
        <v>0.2</v>
      </c>
      <c r="H353" s="15"/>
      <c r="I353" s="15"/>
      <c r="J353" s="15"/>
      <c r="K353" s="15"/>
      <c r="L353" s="15"/>
      <c r="M353" s="15"/>
      <c r="N353" s="15"/>
      <c r="O353" s="15"/>
      <c r="P353" s="15"/>
      <c r="Q353" s="15"/>
      <c r="R353" s="15"/>
      <c r="S353" s="15"/>
      <c r="T353" s="125"/>
      <c r="U353" s="15"/>
      <c r="V353" s="15"/>
      <c r="W353" s="15"/>
      <c r="X353" s="15"/>
      <c r="Y353" s="15"/>
      <c r="Z353" s="15"/>
      <c r="AA353" s="15"/>
      <c r="AB353" s="15"/>
      <c r="AC353" s="15"/>
      <c r="AD353" s="15"/>
      <c r="AE353" s="15"/>
      <c r="AF353" s="15"/>
      <c r="AG353" s="15"/>
      <c r="AH353" s="15"/>
      <c r="AI353" s="15"/>
      <c r="AJ353" s="15"/>
      <c r="AK353" s="15"/>
      <c r="AL353" s="15"/>
      <c r="AM353" s="15"/>
      <c r="AN353" s="146"/>
      <c r="AO353" s="146"/>
      <c r="AP353" s="16"/>
    </row>
    <row r="354" spans="1:42" ht="15.75" thickBot="1">
      <c r="A354" s="39"/>
      <c r="B354" s="11" t="s">
        <v>32</v>
      </c>
      <c r="C354" s="51"/>
      <c r="D354" s="179">
        <f>IF(D353&gt;0,(D353*$C352),0)</f>
        <v>74807.291021432407</v>
      </c>
      <c r="E354" s="20">
        <f t="shared" ref="E354:AN354" si="76">IF(E353&gt;0,(E353*$C352),0)</f>
        <v>112210.9365321486</v>
      </c>
      <c r="F354" s="20">
        <f t="shared" si="76"/>
        <v>112210.9365321486</v>
      </c>
      <c r="G354" s="20">
        <f t="shared" si="76"/>
        <v>74807.291021432407</v>
      </c>
      <c r="H354" s="20">
        <f t="shared" si="76"/>
        <v>0</v>
      </c>
      <c r="I354" s="20">
        <f t="shared" si="76"/>
        <v>0</v>
      </c>
      <c r="J354" s="20">
        <f t="shared" si="76"/>
        <v>0</v>
      </c>
      <c r="K354" s="20">
        <f t="shared" si="76"/>
        <v>0</v>
      </c>
      <c r="L354" s="20">
        <f t="shared" si="76"/>
        <v>0</v>
      </c>
      <c r="M354" s="20">
        <f t="shared" si="76"/>
        <v>0</v>
      </c>
      <c r="N354" s="20">
        <f t="shared" si="76"/>
        <v>0</v>
      </c>
      <c r="O354" s="20">
        <f t="shared" si="76"/>
        <v>0</v>
      </c>
      <c r="P354" s="20">
        <f t="shared" si="76"/>
        <v>0</v>
      </c>
      <c r="Q354" s="20">
        <f t="shared" si="76"/>
        <v>0</v>
      </c>
      <c r="R354" s="20">
        <f t="shared" si="76"/>
        <v>0</v>
      </c>
      <c r="S354" s="20">
        <f>IF(S353&gt;0,(S353*$C352),0)</f>
        <v>0</v>
      </c>
      <c r="T354" s="126">
        <f t="shared" si="76"/>
        <v>0</v>
      </c>
      <c r="U354" s="20">
        <f t="shared" si="76"/>
        <v>0</v>
      </c>
      <c r="V354" s="20">
        <f t="shared" si="76"/>
        <v>0</v>
      </c>
      <c r="W354" s="20">
        <f t="shared" si="76"/>
        <v>0</v>
      </c>
      <c r="X354" s="20">
        <f t="shared" si="76"/>
        <v>0</v>
      </c>
      <c r="Y354" s="20">
        <f t="shared" si="76"/>
        <v>0</v>
      </c>
      <c r="Z354" s="20">
        <f t="shared" si="76"/>
        <v>0</v>
      </c>
      <c r="AA354" s="20">
        <f t="shared" si="76"/>
        <v>0</v>
      </c>
      <c r="AB354" s="20">
        <f t="shared" si="76"/>
        <v>0</v>
      </c>
      <c r="AC354" s="20">
        <f t="shared" si="76"/>
        <v>0</v>
      </c>
      <c r="AD354" s="20">
        <f t="shared" si="76"/>
        <v>0</v>
      </c>
      <c r="AE354" s="20">
        <f t="shared" si="76"/>
        <v>0</v>
      </c>
      <c r="AF354" s="20">
        <f t="shared" si="76"/>
        <v>0</v>
      </c>
      <c r="AG354" s="20">
        <f t="shared" si="76"/>
        <v>0</v>
      </c>
      <c r="AH354" s="20">
        <f t="shared" si="76"/>
        <v>0</v>
      </c>
      <c r="AI354" s="20">
        <f t="shared" si="76"/>
        <v>0</v>
      </c>
      <c r="AJ354" s="20">
        <f t="shared" si="76"/>
        <v>0</v>
      </c>
      <c r="AK354" s="20">
        <f t="shared" si="76"/>
        <v>0</v>
      </c>
      <c r="AL354" s="20">
        <f t="shared" si="76"/>
        <v>0</v>
      </c>
      <c r="AM354" s="20">
        <f t="shared" si="76"/>
        <v>0</v>
      </c>
      <c r="AN354" s="215">
        <f t="shared" si="76"/>
        <v>0</v>
      </c>
      <c r="AO354" s="215">
        <f>IF(AO353&gt;0,(AO353*$C352),0)</f>
        <v>0</v>
      </c>
      <c r="AP354" s="22">
        <f>IF(AP353&gt;0,(AP353*$C352),0)</f>
        <v>0</v>
      </c>
    </row>
    <row r="355" spans="1:42" ht="15.75" thickBot="1">
      <c r="B355" s="7"/>
      <c r="C355" s="10"/>
      <c r="D355" s="7"/>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10"/>
    </row>
    <row r="356" spans="1:42">
      <c r="B356" s="4" t="s">
        <v>12</v>
      </c>
      <c r="C356" s="133" t="str">
        <f>Summary!B64</f>
        <v>G2</v>
      </c>
      <c r="D356" s="156" t="str">
        <f>Summary!C64</f>
        <v>Waste - Service Cost Benefits (Reduced Gate Fees) - Projects other than Clyde Valley</v>
      </c>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6"/>
    </row>
    <row r="357" spans="1:42">
      <c r="B357" s="7" t="s">
        <v>189</v>
      </c>
      <c r="C357" s="134" t="str">
        <f>'G2 Wst Serv Cost Benefits'!D47</f>
        <v>C - Good</v>
      </c>
      <c r="D357" s="176">
        <f>VLOOKUP(C357,'Confidence Factors'!$B$6:$D$9,3)</f>
        <v>0.75</v>
      </c>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10"/>
    </row>
    <row r="358" spans="1:42">
      <c r="B358" s="7" t="s">
        <v>30</v>
      </c>
      <c r="C358" s="128">
        <f>SUM(D358:AN358)</f>
        <v>15247125</v>
      </c>
      <c r="D358" s="177">
        <v>0</v>
      </c>
      <c r="E358" s="19">
        <v>0</v>
      </c>
      <c r="F358" s="19">
        <v>0</v>
      </c>
      <c r="G358" s="19">
        <v>0</v>
      </c>
      <c r="H358" s="19">
        <v>0</v>
      </c>
      <c r="I358" s="19">
        <f>'G2 Wst Serv Cost Benefits'!I$84*'G2 Wst Serv Cost Benefits'!$D75*'Calcs - Scen 4'!$D357</f>
        <v>247725</v>
      </c>
      <c r="J358" s="19">
        <f>'G2 Wst Serv Cost Benefits'!J$84*'G2 Wst Serv Cost Benefits'!$D75*'Calcs - Scen 4'!$D357</f>
        <v>247725</v>
      </c>
      <c r="K358" s="19">
        <f>'G2 Wst Serv Cost Benefits'!K$84*'G2 Wst Serv Cost Benefits'!$D75*'Calcs - Scen 4'!$D357</f>
        <v>247725</v>
      </c>
      <c r="L358" s="19">
        <f>'G2 Wst Serv Cost Benefits'!L$84*'G2 Wst Serv Cost Benefits'!$D75*'Calcs - Scen 4'!$D357</f>
        <v>616725</v>
      </c>
      <c r="M358" s="19">
        <f>'G2 Wst Serv Cost Benefits'!M$84*'G2 Wst Serv Cost Benefits'!$D75*'Calcs - Scen 4'!$D357</f>
        <v>616725</v>
      </c>
      <c r="N358" s="19">
        <f>'G2 Wst Serv Cost Benefits'!N$84*'G2 Wst Serv Cost Benefits'!$D75*'Calcs - Scen 4'!$D357</f>
        <v>616725</v>
      </c>
      <c r="O358" s="19">
        <f>'G2 Wst Serv Cost Benefits'!O$84*'G2 Wst Serv Cost Benefits'!$D75*'Calcs - Scen 4'!$D357</f>
        <v>616725</v>
      </c>
      <c r="P358" s="19">
        <f>'G2 Wst Serv Cost Benefits'!P$84*'G2 Wst Serv Cost Benefits'!$D75*'Calcs - Scen 4'!$D357</f>
        <v>616725</v>
      </c>
      <c r="Q358" s="19">
        <f>'G2 Wst Serv Cost Benefits'!Q$84*'G2 Wst Serv Cost Benefits'!$D75*'Calcs - Scen 4'!$D357</f>
        <v>616725</v>
      </c>
      <c r="R358" s="19">
        <f>'G2 Wst Serv Cost Benefits'!R$84*'G2 Wst Serv Cost Benefits'!$D75*'Calcs - Scen 4'!$D357</f>
        <v>616725</v>
      </c>
      <c r="S358" s="19">
        <f>'G2 Wst Serv Cost Benefits'!S$84*'G2 Wst Serv Cost Benefits'!$D75*'Calcs - Scen 4'!$D357</f>
        <v>616725</v>
      </c>
      <c r="T358" s="19">
        <f>'G2 Wst Serv Cost Benefits'!T$84*'G2 Wst Serv Cost Benefits'!$D75*'Calcs - Scen 4'!$D357</f>
        <v>616725</v>
      </c>
      <c r="U358" s="19">
        <f>'G2 Wst Serv Cost Benefits'!U$84*'G2 Wst Serv Cost Benefits'!$D75*'Calcs - Scen 4'!$D357</f>
        <v>616725</v>
      </c>
      <c r="V358" s="19">
        <f>'G2 Wst Serv Cost Benefits'!V$84*'G2 Wst Serv Cost Benefits'!$D75*'Calcs - Scen 4'!$D357</f>
        <v>616725</v>
      </c>
      <c r="W358" s="19">
        <f>'G2 Wst Serv Cost Benefits'!W$84*'G2 Wst Serv Cost Benefits'!$D75*'Calcs - Scen 4'!$D357</f>
        <v>616725</v>
      </c>
      <c r="X358" s="19">
        <f>'G2 Wst Serv Cost Benefits'!X$84*'G2 Wst Serv Cost Benefits'!$D75*'Calcs - Scen 4'!$D357</f>
        <v>599625</v>
      </c>
      <c r="Y358" s="19">
        <f>'G2 Wst Serv Cost Benefits'!Y$84*'G2 Wst Serv Cost Benefits'!$D75*'Calcs - Scen 4'!$D357</f>
        <v>599625</v>
      </c>
      <c r="Z358" s="19">
        <f>'G2 Wst Serv Cost Benefits'!Z$84*'G2 Wst Serv Cost Benefits'!$D75*'Calcs - Scen 4'!$D357</f>
        <v>599625</v>
      </c>
      <c r="AA358" s="19">
        <f>'G2 Wst Serv Cost Benefits'!AA$84*'G2 Wst Serv Cost Benefits'!$D75*'Calcs - Scen 4'!$D357</f>
        <v>599625</v>
      </c>
      <c r="AB358" s="19">
        <f>'G2 Wst Serv Cost Benefits'!AB$84*'G2 Wst Serv Cost Benefits'!$D75*'Calcs - Scen 4'!$D357</f>
        <v>599625</v>
      </c>
      <c r="AC358" s="19">
        <f>'G2 Wst Serv Cost Benefits'!AC$84*'G2 Wst Serv Cost Benefits'!$D75*'Calcs - Scen 4'!$D357</f>
        <v>599625</v>
      </c>
      <c r="AD358" s="19">
        <f>'G2 Wst Serv Cost Benefits'!AD$84*'G2 Wst Serv Cost Benefits'!$D75*'Calcs - Scen 4'!$D357</f>
        <v>599625</v>
      </c>
      <c r="AE358" s="19">
        <f>'G2 Wst Serv Cost Benefits'!AE$84*'G2 Wst Serv Cost Benefits'!$D75*'Calcs - Scen 4'!$D357</f>
        <v>599625</v>
      </c>
      <c r="AF358" s="19">
        <f>'G2 Wst Serv Cost Benefits'!AF$84*'G2 Wst Serv Cost Benefits'!$D75*'Calcs - Scen 4'!$D357</f>
        <v>599625</v>
      </c>
      <c r="AG358" s="19">
        <f>'G2 Wst Serv Cost Benefits'!AG$84*'G2 Wst Serv Cost Benefits'!$D75*'Calcs - Scen 4'!$D357</f>
        <v>599625</v>
      </c>
      <c r="AH358" s="19">
        <f>'G2 Wst Serv Cost Benefits'!AH$84*'G2 Wst Serv Cost Benefits'!$D75*'Calcs - Scen 4'!$D357</f>
        <v>369000</v>
      </c>
      <c r="AI358" s="19">
        <f>'G2 Wst Serv Cost Benefits'!AI$84*'G2 Wst Serv Cost Benefits'!$D75*'Calcs - Scen 4'!$D357</f>
        <v>369000</v>
      </c>
      <c r="AJ358" s="19">
        <f>'G2 Wst Serv Cost Benefits'!AJ$84*'G2 Wst Serv Cost Benefits'!$D75*'Calcs - Scen 4'!$D357</f>
        <v>369000</v>
      </c>
      <c r="AK358" s="19">
        <f>'G2 Wst Serv Cost Benefits'!AK$84*'G2 Wst Serv Cost Benefits'!$D75*'Calcs - Scen 4'!$D357</f>
        <v>0</v>
      </c>
      <c r="AL358" s="19">
        <f>'G2 Wst Serv Cost Benefits'!AL$84*'G2 Wst Serv Cost Benefits'!$D75*'Calcs - Scen 4'!$D357</f>
        <v>0</v>
      </c>
      <c r="AM358" s="19">
        <f>'G2 Wst Serv Cost Benefits'!AM$84*'G2 Wst Serv Cost Benefits'!$D75*'Calcs - Scen 4'!$D357</f>
        <v>0</v>
      </c>
      <c r="AN358" s="19">
        <f>'G2 Wst Serv Cost Benefits'!AN$84*'G2 Wst Serv Cost Benefits'!$D75*'Calcs - Scen 4'!$D357</f>
        <v>0</v>
      </c>
      <c r="AO358" s="19">
        <f>'G2 Wst Serv Cost Benefits'!AO$84*'G2 Wst Serv Cost Benefits'!$D75*'Calcs - Scen 4'!$D357</f>
        <v>0</v>
      </c>
      <c r="AP358" s="19">
        <f>'G2 Wst Serv Cost Benefits'!AP$84*'G2 Wst Serv Cost Benefits'!$D75*'Calcs - Scen 4'!$D357</f>
        <v>0</v>
      </c>
    </row>
    <row r="359" spans="1:42">
      <c r="B359" s="7" t="s">
        <v>31</v>
      </c>
      <c r="C359" s="129">
        <f>NPV($C$7,F358:AO358)+D358+E358</f>
        <v>8553413.9488039929</v>
      </c>
      <c r="D359" s="7"/>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10"/>
    </row>
    <row r="360" spans="1:42">
      <c r="B360" s="7" t="s">
        <v>4</v>
      </c>
      <c r="C360" s="130" t="str">
        <f>IF(SUM(D360:AN360)&gt;1,"CHECK"," ")</f>
        <v xml:space="preserve"> </v>
      </c>
      <c r="D360" s="178">
        <v>0.2</v>
      </c>
      <c r="E360" s="15">
        <v>0.3</v>
      </c>
      <c r="F360" s="15">
        <v>0.3</v>
      </c>
      <c r="G360" s="15">
        <v>0.2</v>
      </c>
      <c r="H360" s="15"/>
      <c r="I360" s="15"/>
      <c r="J360" s="15"/>
      <c r="K360" s="15"/>
      <c r="L360" s="15"/>
      <c r="M360" s="15"/>
      <c r="N360" s="15"/>
      <c r="O360" s="15"/>
      <c r="P360" s="15"/>
      <c r="Q360" s="15"/>
      <c r="R360" s="15"/>
      <c r="S360" s="15"/>
      <c r="T360" s="125"/>
      <c r="U360" s="15"/>
      <c r="V360" s="15"/>
      <c r="W360" s="15"/>
      <c r="X360" s="15"/>
      <c r="Y360" s="15"/>
      <c r="Z360" s="15"/>
      <c r="AA360" s="15"/>
      <c r="AB360" s="15"/>
      <c r="AC360" s="15"/>
      <c r="AD360" s="15"/>
      <c r="AE360" s="15"/>
      <c r="AF360" s="15"/>
      <c r="AG360" s="15"/>
      <c r="AH360" s="15"/>
      <c r="AI360" s="15"/>
      <c r="AJ360" s="15"/>
      <c r="AK360" s="15"/>
      <c r="AL360" s="15"/>
      <c r="AM360" s="15"/>
      <c r="AN360" s="146"/>
      <c r="AO360" s="146"/>
      <c r="AP360" s="16"/>
    </row>
    <row r="361" spans="1:42" ht="15.75" thickBot="1">
      <c r="B361" s="11" t="s">
        <v>32</v>
      </c>
      <c r="C361" s="51"/>
      <c r="D361" s="179">
        <f>IF(D360&gt;0,(D360*$C359),0)</f>
        <v>1710682.7897607987</v>
      </c>
      <c r="E361" s="20">
        <f t="shared" ref="E361:AN361" si="77">IF(E360&gt;0,(E360*$C359),0)</f>
        <v>2566024.1846411978</v>
      </c>
      <c r="F361" s="20">
        <f t="shared" si="77"/>
        <v>2566024.1846411978</v>
      </c>
      <c r="G361" s="20">
        <f t="shared" si="77"/>
        <v>1710682.7897607987</v>
      </c>
      <c r="H361" s="20">
        <f t="shared" si="77"/>
        <v>0</v>
      </c>
      <c r="I361" s="20">
        <f t="shared" si="77"/>
        <v>0</v>
      </c>
      <c r="J361" s="20">
        <f t="shared" si="77"/>
        <v>0</v>
      </c>
      <c r="K361" s="20">
        <f t="shared" si="77"/>
        <v>0</v>
      </c>
      <c r="L361" s="20">
        <f t="shared" si="77"/>
        <v>0</v>
      </c>
      <c r="M361" s="20">
        <f t="shared" si="77"/>
        <v>0</v>
      </c>
      <c r="N361" s="20">
        <f t="shared" si="77"/>
        <v>0</v>
      </c>
      <c r="O361" s="20">
        <f t="shared" si="77"/>
        <v>0</v>
      </c>
      <c r="P361" s="20">
        <f t="shared" si="77"/>
        <v>0</v>
      </c>
      <c r="Q361" s="20">
        <f t="shared" si="77"/>
        <v>0</v>
      </c>
      <c r="R361" s="20">
        <f t="shared" si="77"/>
        <v>0</v>
      </c>
      <c r="S361" s="20">
        <f>IF(S360&gt;0,(S360*$C359),0)</f>
        <v>0</v>
      </c>
      <c r="T361" s="126">
        <f t="shared" si="77"/>
        <v>0</v>
      </c>
      <c r="U361" s="20">
        <f t="shared" si="77"/>
        <v>0</v>
      </c>
      <c r="V361" s="20">
        <f t="shared" si="77"/>
        <v>0</v>
      </c>
      <c r="W361" s="20">
        <f t="shared" si="77"/>
        <v>0</v>
      </c>
      <c r="X361" s="20">
        <f t="shared" si="77"/>
        <v>0</v>
      </c>
      <c r="Y361" s="20">
        <f t="shared" si="77"/>
        <v>0</v>
      </c>
      <c r="Z361" s="20">
        <f t="shared" si="77"/>
        <v>0</v>
      </c>
      <c r="AA361" s="20">
        <f t="shared" si="77"/>
        <v>0</v>
      </c>
      <c r="AB361" s="20">
        <f t="shared" si="77"/>
        <v>0</v>
      </c>
      <c r="AC361" s="20">
        <f t="shared" si="77"/>
        <v>0</v>
      </c>
      <c r="AD361" s="20">
        <f t="shared" si="77"/>
        <v>0</v>
      </c>
      <c r="AE361" s="20">
        <f t="shared" si="77"/>
        <v>0</v>
      </c>
      <c r="AF361" s="20">
        <f t="shared" si="77"/>
        <v>0</v>
      </c>
      <c r="AG361" s="20">
        <f t="shared" si="77"/>
        <v>0</v>
      </c>
      <c r="AH361" s="20">
        <f t="shared" si="77"/>
        <v>0</v>
      </c>
      <c r="AI361" s="20">
        <f t="shared" si="77"/>
        <v>0</v>
      </c>
      <c r="AJ361" s="20">
        <f t="shared" si="77"/>
        <v>0</v>
      </c>
      <c r="AK361" s="20">
        <f t="shared" si="77"/>
        <v>0</v>
      </c>
      <c r="AL361" s="20">
        <f t="shared" si="77"/>
        <v>0</v>
      </c>
      <c r="AM361" s="20">
        <f t="shared" si="77"/>
        <v>0</v>
      </c>
      <c r="AN361" s="215">
        <f t="shared" si="77"/>
        <v>0</v>
      </c>
      <c r="AO361" s="215">
        <f>IF(AO360&gt;0,(AO360*$C359),0)</f>
        <v>0</v>
      </c>
      <c r="AP361" s="22">
        <f>IF(AP360&gt;0,(AP360*$C359),0)</f>
        <v>0</v>
      </c>
    </row>
    <row r="362" spans="1:42" ht="15.75" thickBot="1">
      <c r="B362" s="7"/>
      <c r="C362" s="10"/>
      <c r="D362" s="7"/>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10"/>
    </row>
    <row r="363" spans="1:42">
      <c r="B363" s="4" t="s">
        <v>12</v>
      </c>
      <c r="C363" s="133" t="str">
        <f>Summary!B65</f>
        <v>G3</v>
      </c>
      <c r="D363" s="156" t="str">
        <f>Summary!C65</f>
        <v>Waste - Reduced Gate Fees - Clyde Valley</v>
      </c>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6"/>
    </row>
    <row r="364" spans="1:42">
      <c r="B364" s="7" t="s">
        <v>189</v>
      </c>
      <c r="C364" s="134" t="str">
        <f>'G3 Waste Reduced Gate Fees CV'!D47</f>
        <v>D - Moderate</v>
      </c>
      <c r="D364" s="176">
        <f>VLOOKUP(C364,'Confidence Factors'!$B$6:$D$9,3)</f>
        <v>0.55000000000000004</v>
      </c>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10"/>
    </row>
    <row r="365" spans="1:42">
      <c r="B365" s="7" t="s">
        <v>30</v>
      </c>
      <c r="C365" s="128">
        <f>SUM(D365:AN365)</f>
        <v>17857125</v>
      </c>
      <c r="D365" s="177">
        <v>0</v>
      </c>
      <c r="E365" s="19">
        <v>0</v>
      </c>
      <c r="F365" s="19">
        <v>0</v>
      </c>
      <c r="G365" s="19">
        <v>0</v>
      </c>
      <c r="H365" s="19">
        <v>0</v>
      </c>
      <c r="I365" s="19">
        <f>'G3 Waste Reduced Gate Fees CV'!H$75*'G3 Waste Reduced Gate Fees CV'!$D75*'Calcs - Scen 4'!$D364</f>
        <v>824175.00000000012</v>
      </c>
      <c r="J365" s="19">
        <f>'G3 Waste Reduced Gate Fees CV'!I$75*'G3 Waste Reduced Gate Fees CV'!$D75*'Calcs - Scen 4'!$D364</f>
        <v>1098900</v>
      </c>
      <c r="K365" s="19">
        <f>'G3 Waste Reduced Gate Fees CV'!J$75*'G3 Waste Reduced Gate Fees CV'!$D75*'Calcs - Scen 4'!$D364</f>
        <v>2051280.0000000002</v>
      </c>
      <c r="L365" s="19">
        <f>'G3 Waste Reduced Gate Fees CV'!K$75*'G3 Waste Reduced Gate Fees CV'!$D75*'Calcs - Scen 4'!$D364</f>
        <v>1996335.0000000002</v>
      </c>
      <c r="M365" s="19">
        <f>'G3 Waste Reduced Gate Fees CV'!L$75*'G3 Waste Reduced Gate Fees CV'!$D75*'Calcs - Scen 4'!$D364</f>
        <v>1941390.0000000002</v>
      </c>
      <c r="N365" s="19">
        <f>'G3 Waste Reduced Gate Fees CV'!M$75*'G3 Waste Reduced Gate Fees CV'!$D75*'Calcs - Scen 4'!$D364</f>
        <v>1886445.0000000002</v>
      </c>
      <c r="O365" s="19">
        <f>'G3 Waste Reduced Gate Fees CV'!N$75*'G3 Waste Reduced Gate Fees CV'!$D75*'Calcs - Scen 4'!$D364</f>
        <v>1794870.0000000002</v>
      </c>
      <c r="P365" s="19">
        <f>'G3 Waste Reduced Gate Fees CV'!O$75*'G3 Waste Reduced Gate Fees CV'!$D75*'Calcs - Scen 4'!$D364</f>
        <v>1703295.0000000002</v>
      </c>
      <c r="Q365" s="19">
        <f>'G3 Waste Reduced Gate Fees CV'!P$75*'G3 Waste Reduced Gate Fees CV'!$D75*'Calcs - Scen 4'!$D364</f>
        <v>1611720.0000000002</v>
      </c>
      <c r="R365" s="19">
        <f>'G3 Waste Reduced Gate Fees CV'!Q$75*'G3 Waste Reduced Gate Fees CV'!$D75*'Calcs - Scen 4'!$D364</f>
        <v>1520145.0000000002</v>
      </c>
      <c r="S365" s="19">
        <f>'G3 Waste Reduced Gate Fees CV'!R$75*'G3 Waste Reduced Gate Fees CV'!$D75*'Calcs - Scen 4'!$D364</f>
        <v>1428570</v>
      </c>
      <c r="T365" s="19">
        <f>'G3 Waste Reduced Gate Fees CV'!S$75*'G3 Waste Reduced Gate Fees CV'!$D75*'Calcs - Scen 4'!$D364</f>
        <v>0</v>
      </c>
      <c r="U365" s="19">
        <v>0</v>
      </c>
      <c r="V365" s="19">
        <f>'G3 Waste Reduced Gate Fees CV'!U$75*'G3 Waste Reduced Gate Fees CV'!$D75*'Calcs - Scen 4'!$D364</f>
        <v>0</v>
      </c>
      <c r="W365" s="19">
        <f>'G3 Waste Reduced Gate Fees CV'!V$75*'G3 Waste Reduced Gate Fees CV'!$D75*'Calcs - Scen 4'!$D364</f>
        <v>0</v>
      </c>
      <c r="X365" s="19">
        <f>'G3 Waste Reduced Gate Fees CV'!W$75*'G3 Waste Reduced Gate Fees CV'!$D75*'Calcs - Scen 4'!$D364</f>
        <v>0</v>
      </c>
      <c r="Y365" s="19">
        <f>'G3 Waste Reduced Gate Fees CV'!X$75*'G3 Waste Reduced Gate Fees CV'!$D75*'Calcs - Scen 4'!$D364</f>
        <v>0</v>
      </c>
      <c r="Z365" s="19">
        <f>'G3 Waste Reduced Gate Fees CV'!Y$75*'G3 Waste Reduced Gate Fees CV'!$D75*'Calcs - Scen 4'!$D364</f>
        <v>0</v>
      </c>
      <c r="AA365" s="19">
        <f>'G3 Waste Reduced Gate Fees CV'!Z$75*'G3 Waste Reduced Gate Fees CV'!$D75*'Calcs - Scen 4'!$D364</f>
        <v>0</v>
      </c>
      <c r="AB365" s="19">
        <f>'G3 Waste Reduced Gate Fees CV'!AA$75*'G3 Waste Reduced Gate Fees CV'!$D75*'Calcs - Scen 4'!$D364</f>
        <v>0</v>
      </c>
      <c r="AC365" s="19">
        <f>'G3 Waste Reduced Gate Fees CV'!AB$75*'G3 Waste Reduced Gate Fees CV'!$D75*'Calcs - Scen 4'!$D364</f>
        <v>0</v>
      </c>
      <c r="AD365" s="19">
        <f>'G3 Waste Reduced Gate Fees CV'!AC$75*'G3 Waste Reduced Gate Fees CV'!$D75*'Calcs - Scen 4'!$D364</f>
        <v>0</v>
      </c>
      <c r="AE365" s="19">
        <f>'G3 Waste Reduced Gate Fees CV'!AD$75*'G3 Waste Reduced Gate Fees CV'!$D75*'Calcs - Scen 4'!$D364</f>
        <v>0</v>
      </c>
      <c r="AF365" s="19">
        <f>'G3 Waste Reduced Gate Fees CV'!AE$75*'G3 Waste Reduced Gate Fees CV'!$D75*'Calcs - Scen 4'!$D364</f>
        <v>0</v>
      </c>
      <c r="AG365" s="19">
        <f>'G3 Waste Reduced Gate Fees CV'!AF$75*'G3 Waste Reduced Gate Fees CV'!$D75*'Calcs - Scen 4'!$D364</f>
        <v>0</v>
      </c>
      <c r="AH365" s="19">
        <f>'G3 Waste Reduced Gate Fees CV'!AG$75*'G3 Waste Reduced Gate Fees CV'!$D75*'Calcs - Scen 4'!$D364</f>
        <v>0</v>
      </c>
      <c r="AI365" s="19">
        <f>'G3 Waste Reduced Gate Fees CV'!AH$75*'G3 Waste Reduced Gate Fees CV'!$D75*'Calcs - Scen 4'!$D364</f>
        <v>0</v>
      </c>
      <c r="AJ365" s="19">
        <f>'G3 Waste Reduced Gate Fees CV'!AI$75*'G3 Waste Reduced Gate Fees CV'!$D75*'Calcs - Scen 4'!$D364</f>
        <v>0</v>
      </c>
      <c r="AK365" s="19">
        <f>'G3 Waste Reduced Gate Fees CV'!AJ$75*'G3 Waste Reduced Gate Fees CV'!$D75*'Calcs - Scen 4'!$D364</f>
        <v>0</v>
      </c>
      <c r="AL365" s="19">
        <f>'G3 Waste Reduced Gate Fees CV'!AK$75*'G3 Waste Reduced Gate Fees CV'!$D75*'Calcs - Scen 4'!$D364</f>
        <v>0</v>
      </c>
      <c r="AM365" s="19">
        <f>'G3 Waste Reduced Gate Fees CV'!AL$75*'G3 Waste Reduced Gate Fees CV'!$D75*'Calcs - Scen 4'!$D364</f>
        <v>0</v>
      </c>
      <c r="AN365" s="19">
        <f>'G3 Waste Reduced Gate Fees CV'!AM$75*'G3 Waste Reduced Gate Fees CV'!$D75*'Calcs - Scen 4'!$D364</f>
        <v>0</v>
      </c>
      <c r="AO365" s="19">
        <f>'G3 Waste Reduced Gate Fees CV'!AN$75*'G3 Waste Reduced Gate Fees CV'!$D75*'Calcs - Scen 4'!$D364</f>
        <v>0</v>
      </c>
      <c r="AP365" s="19">
        <f>'G3 Waste Reduced Gate Fees CV'!AO$75*'G3 Waste Reduced Gate Fees CV'!$D75*'Calcs - Scen 4'!$D364</f>
        <v>0</v>
      </c>
    </row>
    <row r="366" spans="1:42">
      <c r="B366" s="7" t="s">
        <v>31</v>
      </c>
      <c r="C366" s="129">
        <f>NPV($C$7,F365:AO365)+D365+E365</f>
        <v>13099963.858530808</v>
      </c>
      <c r="D366" s="7"/>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10"/>
    </row>
    <row r="367" spans="1:42">
      <c r="B367" s="7" t="s">
        <v>4</v>
      </c>
      <c r="C367" s="130" t="str">
        <f>IF(SUM(D367:AN367)&gt;1,"CHECK"," ")</f>
        <v xml:space="preserve"> </v>
      </c>
      <c r="D367" s="178">
        <v>0</v>
      </c>
      <c r="E367" s="15">
        <f>1/3</f>
        <v>0.33333333333333331</v>
      </c>
      <c r="F367" s="15">
        <f t="shared" ref="F367:G367" si="78">1/3</f>
        <v>0.33333333333333331</v>
      </c>
      <c r="G367" s="15">
        <f t="shared" si="78"/>
        <v>0.33333333333333331</v>
      </c>
      <c r="H367" s="15"/>
      <c r="I367" s="15"/>
      <c r="J367" s="15"/>
      <c r="K367" s="15"/>
      <c r="L367" s="15"/>
      <c r="M367" s="15"/>
      <c r="N367" s="15"/>
      <c r="O367" s="15"/>
      <c r="P367" s="15"/>
      <c r="Q367" s="15"/>
      <c r="R367" s="15"/>
      <c r="S367" s="15"/>
      <c r="T367" s="125"/>
      <c r="U367" s="15"/>
      <c r="V367" s="15"/>
      <c r="W367" s="15"/>
      <c r="X367" s="15"/>
      <c r="Y367" s="15"/>
      <c r="Z367" s="15"/>
      <c r="AA367" s="15"/>
      <c r="AB367" s="15"/>
      <c r="AC367" s="15"/>
      <c r="AD367" s="15"/>
      <c r="AE367" s="15"/>
      <c r="AF367" s="15"/>
      <c r="AG367" s="15"/>
      <c r="AH367" s="15"/>
      <c r="AI367" s="15"/>
      <c r="AJ367" s="15"/>
      <c r="AK367" s="15"/>
      <c r="AL367" s="15"/>
      <c r="AM367" s="15"/>
      <c r="AN367" s="146"/>
      <c r="AO367" s="146"/>
      <c r="AP367" s="16"/>
    </row>
    <row r="368" spans="1:42" ht="15.75" thickBot="1">
      <c r="B368" s="11" t="s">
        <v>32</v>
      </c>
      <c r="C368" s="51"/>
      <c r="D368" s="179">
        <f>IF(D367&gt;0,(D367*$C366),0)</f>
        <v>0</v>
      </c>
      <c r="E368" s="20">
        <f t="shared" ref="E368:R368" si="79">IF(E367&gt;0,(E367*$C366),0)</f>
        <v>4366654.6195102688</v>
      </c>
      <c r="F368" s="20">
        <f t="shared" si="79"/>
        <v>4366654.6195102688</v>
      </c>
      <c r="G368" s="20">
        <f t="shared" si="79"/>
        <v>4366654.6195102688</v>
      </c>
      <c r="H368" s="20">
        <f t="shared" si="79"/>
        <v>0</v>
      </c>
      <c r="I368" s="20">
        <f t="shared" si="79"/>
        <v>0</v>
      </c>
      <c r="J368" s="20">
        <f t="shared" si="79"/>
        <v>0</v>
      </c>
      <c r="K368" s="20">
        <f t="shared" si="79"/>
        <v>0</v>
      </c>
      <c r="L368" s="20">
        <f t="shared" si="79"/>
        <v>0</v>
      </c>
      <c r="M368" s="20">
        <f t="shared" si="79"/>
        <v>0</v>
      </c>
      <c r="N368" s="20">
        <f t="shared" si="79"/>
        <v>0</v>
      </c>
      <c r="O368" s="20">
        <f t="shared" si="79"/>
        <v>0</v>
      </c>
      <c r="P368" s="20">
        <f t="shared" si="79"/>
        <v>0</v>
      </c>
      <c r="Q368" s="20">
        <f t="shared" si="79"/>
        <v>0</v>
      </c>
      <c r="R368" s="20">
        <f t="shared" si="79"/>
        <v>0</v>
      </c>
      <c r="S368" s="20">
        <f>IF(S367&gt;0,(S367*$C366),0)</f>
        <v>0</v>
      </c>
      <c r="T368" s="126">
        <f t="shared" ref="T368:AN368" si="80">IF(T367&gt;0,(T367*$C366),0)</f>
        <v>0</v>
      </c>
      <c r="U368" s="20">
        <f t="shared" si="80"/>
        <v>0</v>
      </c>
      <c r="V368" s="20">
        <f t="shared" si="80"/>
        <v>0</v>
      </c>
      <c r="W368" s="20">
        <f t="shared" si="80"/>
        <v>0</v>
      </c>
      <c r="X368" s="20">
        <f t="shared" si="80"/>
        <v>0</v>
      </c>
      <c r="Y368" s="20">
        <f t="shared" si="80"/>
        <v>0</v>
      </c>
      <c r="Z368" s="20">
        <f t="shared" si="80"/>
        <v>0</v>
      </c>
      <c r="AA368" s="20">
        <f t="shared" si="80"/>
        <v>0</v>
      </c>
      <c r="AB368" s="20">
        <f t="shared" si="80"/>
        <v>0</v>
      </c>
      <c r="AC368" s="20">
        <f t="shared" si="80"/>
        <v>0</v>
      </c>
      <c r="AD368" s="20">
        <f t="shared" si="80"/>
        <v>0</v>
      </c>
      <c r="AE368" s="20">
        <f t="shared" si="80"/>
        <v>0</v>
      </c>
      <c r="AF368" s="20">
        <f t="shared" si="80"/>
        <v>0</v>
      </c>
      <c r="AG368" s="20">
        <f t="shared" si="80"/>
        <v>0</v>
      </c>
      <c r="AH368" s="20">
        <f t="shared" si="80"/>
        <v>0</v>
      </c>
      <c r="AI368" s="20">
        <f t="shared" si="80"/>
        <v>0</v>
      </c>
      <c r="AJ368" s="20">
        <f t="shared" si="80"/>
        <v>0</v>
      </c>
      <c r="AK368" s="20">
        <f t="shared" si="80"/>
        <v>0</v>
      </c>
      <c r="AL368" s="20">
        <f t="shared" si="80"/>
        <v>0</v>
      </c>
      <c r="AM368" s="20">
        <f t="shared" si="80"/>
        <v>0</v>
      </c>
      <c r="AN368" s="215">
        <f t="shared" si="80"/>
        <v>0</v>
      </c>
      <c r="AO368" s="215">
        <f>IF(AO367&gt;0,(AO367*$C366),0)</f>
        <v>0</v>
      </c>
      <c r="AP368" s="22">
        <f>IF(AP367&gt;0,(AP367*$C366),0)</f>
        <v>0</v>
      </c>
    </row>
    <row r="369" spans="2:42" ht="15.75" thickBot="1">
      <c r="B369" s="7"/>
      <c r="C369" s="10"/>
      <c r="D369" s="7"/>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10"/>
    </row>
    <row r="370" spans="2:42">
      <c r="B370" s="4" t="s">
        <v>12</v>
      </c>
      <c r="C370" s="133" t="str">
        <f>Summary!B66</f>
        <v>G4</v>
      </c>
      <c r="D370" s="156" t="str">
        <f>Summary!C66</f>
        <v>Budget Recast - Initial Benefit Identification</v>
      </c>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6"/>
    </row>
    <row r="371" spans="2:42">
      <c r="B371" s="7" t="s">
        <v>189</v>
      </c>
      <c r="C371" s="134" t="str">
        <f>'G4 Budget Recast Immediate Save'!D47</f>
        <v>C - Good</v>
      </c>
      <c r="D371" s="176">
        <f>VLOOKUP(C371,'Confidence Factors'!$B$6:$D$9,3)</f>
        <v>0.75</v>
      </c>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10"/>
    </row>
    <row r="372" spans="2:42">
      <c r="B372" s="7" t="s">
        <v>30</v>
      </c>
      <c r="C372" s="128">
        <f>SUM(D372:AN372)</f>
        <v>37717875</v>
      </c>
      <c r="D372" s="177">
        <v>0</v>
      </c>
      <c r="E372" s="19">
        <v>0</v>
      </c>
      <c r="F372" s="19">
        <f>'G4 Budget Recast Immediate Save'!I$73*'G4 Budget Recast Immediate Save'!$D75*'Calcs - Scen 4'!$D371</f>
        <v>7406250</v>
      </c>
      <c r="G372" s="19">
        <f>'G4 Budget Recast Immediate Save'!J$73*'G4 Budget Recast Immediate Save'!$D75*'Calcs - Scen 4'!$D371</f>
        <v>7406250</v>
      </c>
      <c r="H372" s="19">
        <f>'G4 Budget Recast Immediate Save'!K$73*'G4 Budget Recast Immediate Save'!$D75*'Calcs - Scen 4'!$D371</f>
        <v>8562375</v>
      </c>
      <c r="I372" s="19">
        <f>'G4 Budget Recast Immediate Save'!L$73*'G4 Budget Recast Immediate Save'!$D75*'Calcs - Scen 4'!$D371</f>
        <v>8562375</v>
      </c>
      <c r="J372" s="19">
        <f>'G4 Budget Recast Immediate Save'!M$73*'G4 Budget Recast Immediate Save'!$D75*'Calcs - Scen 4'!$D371</f>
        <v>1156125</v>
      </c>
      <c r="K372" s="19">
        <f>'G4 Budget Recast Immediate Save'!N$73*'G4 Budget Recast Immediate Save'!$D75*'Calcs - Scen 4'!$D371</f>
        <v>1156125</v>
      </c>
      <c r="L372" s="19">
        <f>'G4 Budget Recast Immediate Save'!O$73*'G4 Budget Recast Immediate Save'!$D75*'Calcs - Scen 4'!$D371</f>
        <v>1156125</v>
      </c>
      <c r="M372" s="19">
        <f>'G4 Budget Recast Immediate Save'!P$73*'G4 Budget Recast Immediate Save'!$D75*'Calcs - Scen 4'!$D371</f>
        <v>1156125</v>
      </c>
      <c r="N372" s="19">
        <f>'G4 Budget Recast Immediate Save'!Q$73*'G4 Budget Recast Immediate Save'!$D75*'Calcs - Scen 4'!$D371</f>
        <v>1156125</v>
      </c>
      <c r="O372" s="19">
        <v>0</v>
      </c>
      <c r="P372" s="19">
        <v>0</v>
      </c>
      <c r="Q372" s="19">
        <v>0</v>
      </c>
      <c r="R372" s="19">
        <v>0</v>
      </c>
      <c r="S372" s="19">
        <v>0</v>
      </c>
      <c r="T372" s="19">
        <v>0</v>
      </c>
      <c r="U372" s="19">
        <v>0</v>
      </c>
      <c r="V372" s="19">
        <v>0</v>
      </c>
      <c r="W372" s="19">
        <v>0</v>
      </c>
      <c r="X372" s="19">
        <v>0</v>
      </c>
      <c r="Y372" s="19">
        <v>0</v>
      </c>
      <c r="Z372" s="19">
        <v>0</v>
      </c>
      <c r="AA372" s="19">
        <v>0</v>
      </c>
      <c r="AB372" s="19">
        <v>0</v>
      </c>
      <c r="AC372" s="19">
        <v>0</v>
      </c>
      <c r="AD372" s="19">
        <v>0</v>
      </c>
      <c r="AE372" s="19">
        <v>0</v>
      </c>
      <c r="AF372" s="19">
        <v>0</v>
      </c>
      <c r="AG372" s="19">
        <v>0</v>
      </c>
      <c r="AH372" s="19">
        <v>0</v>
      </c>
      <c r="AI372" s="19">
        <v>0</v>
      </c>
      <c r="AJ372" s="19">
        <v>0</v>
      </c>
      <c r="AK372" s="19">
        <v>0</v>
      </c>
      <c r="AL372" s="19">
        <v>0</v>
      </c>
      <c r="AM372" s="19">
        <v>0</v>
      </c>
      <c r="AN372" s="19">
        <v>0</v>
      </c>
      <c r="AO372" s="19">
        <v>0</v>
      </c>
      <c r="AP372" s="19">
        <v>0</v>
      </c>
    </row>
    <row r="373" spans="2:42">
      <c r="B373" s="7" t="s">
        <v>31</v>
      </c>
      <c r="C373" s="129">
        <f>NPV($C$7,F372:AO372)+D372+E372</f>
        <v>33802895.409881175</v>
      </c>
      <c r="D373" s="7"/>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10"/>
    </row>
    <row r="374" spans="2:42">
      <c r="B374" s="7" t="s">
        <v>4</v>
      </c>
      <c r="C374" s="130" t="str">
        <f>IF(SUM(D374:AN374)&gt;1,"CHECK"," ")</f>
        <v xml:space="preserve"> </v>
      </c>
      <c r="D374" s="178">
        <v>0</v>
      </c>
      <c r="E374" s="15">
        <v>0.9</v>
      </c>
      <c r="F374" s="15">
        <v>0.1</v>
      </c>
      <c r="G374" s="15"/>
      <c r="H374" s="15"/>
      <c r="I374" s="15"/>
      <c r="J374" s="15"/>
      <c r="K374" s="15"/>
      <c r="L374" s="15"/>
      <c r="M374" s="15"/>
      <c r="N374" s="15"/>
      <c r="O374" s="15"/>
      <c r="P374" s="15"/>
      <c r="Q374" s="15"/>
      <c r="R374" s="15"/>
      <c r="S374" s="15"/>
      <c r="T374" s="125"/>
      <c r="U374" s="15"/>
      <c r="V374" s="15"/>
      <c r="W374" s="15"/>
      <c r="X374" s="15"/>
      <c r="Y374" s="15"/>
      <c r="Z374" s="15"/>
      <c r="AA374" s="15"/>
      <c r="AB374" s="15"/>
      <c r="AC374" s="15"/>
      <c r="AD374" s="15"/>
      <c r="AE374" s="15"/>
      <c r="AF374" s="15"/>
      <c r="AG374" s="15"/>
      <c r="AH374" s="15"/>
      <c r="AI374" s="15"/>
      <c r="AJ374" s="15"/>
      <c r="AK374" s="15"/>
      <c r="AL374" s="15"/>
      <c r="AM374" s="15"/>
      <c r="AN374" s="146"/>
      <c r="AO374" s="146"/>
      <c r="AP374" s="16"/>
    </row>
    <row r="375" spans="2:42" ht="15.75" thickBot="1">
      <c r="B375" s="11" t="s">
        <v>32</v>
      </c>
      <c r="C375" s="51"/>
      <c r="D375" s="179">
        <f>IF(D374&gt;0,(D374*$C373),0)</f>
        <v>0</v>
      </c>
      <c r="E375" s="20">
        <f t="shared" ref="E375:R375" si="81">IF(E374&gt;0,(E374*$C373),0)</f>
        <v>30422605.868893057</v>
      </c>
      <c r="F375" s="20">
        <f t="shared" si="81"/>
        <v>3380289.5409881175</v>
      </c>
      <c r="G375" s="20">
        <f t="shared" si="81"/>
        <v>0</v>
      </c>
      <c r="H375" s="20">
        <f t="shared" si="81"/>
        <v>0</v>
      </c>
      <c r="I375" s="20">
        <f t="shared" si="81"/>
        <v>0</v>
      </c>
      <c r="J375" s="20">
        <f t="shared" si="81"/>
        <v>0</v>
      </c>
      <c r="K375" s="20">
        <f t="shared" si="81"/>
        <v>0</v>
      </c>
      <c r="L375" s="20">
        <f t="shared" si="81"/>
        <v>0</v>
      </c>
      <c r="M375" s="20">
        <f t="shared" si="81"/>
        <v>0</v>
      </c>
      <c r="N375" s="20">
        <f t="shared" si="81"/>
        <v>0</v>
      </c>
      <c r="O375" s="20">
        <f t="shared" si="81"/>
        <v>0</v>
      </c>
      <c r="P375" s="20">
        <f t="shared" si="81"/>
        <v>0</v>
      </c>
      <c r="Q375" s="20">
        <f t="shared" si="81"/>
        <v>0</v>
      </c>
      <c r="R375" s="20">
        <f t="shared" si="81"/>
        <v>0</v>
      </c>
      <c r="S375" s="20">
        <f>IF(S374&gt;0,(S374*$C373),0)</f>
        <v>0</v>
      </c>
      <c r="T375" s="126">
        <f t="shared" ref="T375:AN375" si="82">IF(T374&gt;0,(T374*$C373),0)</f>
        <v>0</v>
      </c>
      <c r="U375" s="20">
        <f t="shared" si="82"/>
        <v>0</v>
      </c>
      <c r="V375" s="20">
        <f t="shared" si="82"/>
        <v>0</v>
      </c>
      <c r="W375" s="20">
        <f t="shared" si="82"/>
        <v>0</v>
      </c>
      <c r="X375" s="20">
        <f t="shared" si="82"/>
        <v>0</v>
      </c>
      <c r="Y375" s="20">
        <f t="shared" si="82"/>
        <v>0</v>
      </c>
      <c r="Z375" s="20">
        <f t="shared" si="82"/>
        <v>0</v>
      </c>
      <c r="AA375" s="20">
        <f t="shared" si="82"/>
        <v>0</v>
      </c>
      <c r="AB375" s="20">
        <f t="shared" si="82"/>
        <v>0</v>
      </c>
      <c r="AC375" s="20">
        <f t="shared" si="82"/>
        <v>0</v>
      </c>
      <c r="AD375" s="20">
        <f t="shared" si="82"/>
        <v>0</v>
      </c>
      <c r="AE375" s="20">
        <f t="shared" si="82"/>
        <v>0</v>
      </c>
      <c r="AF375" s="20">
        <f t="shared" si="82"/>
        <v>0</v>
      </c>
      <c r="AG375" s="20">
        <f t="shared" si="82"/>
        <v>0</v>
      </c>
      <c r="AH375" s="20">
        <f t="shared" si="82"/>
        <v>0</v>
      </c>
      <c r="AI375" s="20">
        <f t="shared" si="82"/>
        <v>0</v>
      </c>
      <c r="AJ375" s="20">
        <f t="shared" si="82"/>
        <v>0</v>
      </c>
      <c r="AK375" s="20">
        <f t="shared" si="82"/>
        <v>0</v>
      </c>
      <c r="AL375" s="20">
        <f t="shared" si="82"/>
        <v>0</v>
      </c>
      <c r="AM375" s="20">
        <f t="shared" si="82"/>
        <v>0</v>
      </c>
      <c r="AN375" s="215">
        <f t="shared" si="82"/>
        <v>0</v>
      </c>
      <c r="AO375" s="215">
        <f>IF(AO374&gt;0,(AO374*$C373),0)</f>
        <v>0</v>
      </c>
      <c r="AP375" s="22">
        <f>IF(AP374&gt;0,(AP374*$C373),0)</f>
        <v>0</v>
      </c>
    </row>
    <row r="376" spans="2:42" ht="15.75" thickBot="1">
      <c r="B376" s="221"/>
      <c r="C376" s="222"/>
      <c r="D376" s="221"/>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222"/>
    </row>
    <row r="377" spans="2:42">
      <c r="B377" s="4" t="s">
        <v>12</v>
      </c>
      <c r="C377" s="133" t="str">
        <f>Summary!B67</f>
        <v>G5</v>
      </c>
      <c r="D377" s="156" t="str">
        <f>Summary!C67</f>
        <v xml:space="preserve">Asset Management </v>
      </c>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6"/>
    </row>
    <row r="378" spans="2:42">
      <c r="B378" s="7" t="s">
        <v>189</v>
      </c>
      <c r="C378" s="134" t="str">
        <f>'G5 Asset Mgt'!D47</f>
        <v>D - Moderate</v>
      </c>
      <c r="D378" s="176">
        <f>VLOOKUP(C378,'Confidence Factors'!$B$6:$D$9,3)</f>
        <v>0.55000000000000004</v>
      </c>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10"/>
    </row>
    <row r="379" spans="2:42">
      <c r="B379" s="7" t="s">
        <v>30</v>
      </c>
      <c r="C379" s="128">
        <f>SUM(D379:AN379)</f>
        <v>173525000</v>
      </c>
      <c r="D379" s="177">
        <v>0</v>
      </c>
      <c r="E379" s="19">
        <v>0</v>
      </c>
      <c r="F379" s="19">
        <f>'G5 Asset Mgt'!J$103*'G5 Asset Mgt'!$D75*'Calcs - Scen 1'!$D378</f>
        <v>2062500.0000000002</v>
      </c>
      <c r="G379" s="19">
        <f>'G5 Asset Mgt'!K$103*'G5 Asset Mgt'!$D75*'Calcs - Scen 1'!$D378</f>
        <v>4812500</v>
      </c>
      <c r="H379" s="19">
        <f>'G5 Asset Mgt'!L$103*'G5 Asset Mgt'!$D75*'Calcs - Scen 1'!$D378</f>
        <v>10312500</v>
      </c>
      <c r="I379" s="19">
        <f>'G5 Asset Mgt'!M$103*'G5 Asset Mgt'!$D75*'Calcs - Scen 1'!$D378</f>
        <v>19662500</v>
      </c>
      <c r="J379" s="19">
        <f>'G5 Asset Mgt'!N$103*'G5 Asset Mgt'!$D75*'Calcs - Scen 1'!$D378</f>
        <v>31075000.000000004</v>
      </c>
      <c r="K379" s="19">
        <f>'G5 Asset Mgt'!O$103*'G5 Asset Mgt'!$D75*'Calcs - Scen 1'!$D378</f>
        <v>30937500.000000004</v>
      </c>
      <c r="L379" s="19">
        <f>'G5 Asset Mgt'!P$103*'G5 Asset Mgt'!$D75*'Calcs - Scen 1'!$D378</f>
        <v>30387500.000000004</v>
      </c>
      <c r="M379" s="19">
        <f>'G5 Asset Mgt'!Q$103*'G5 Asset Mgt'!$D75*'Calcs - Scen 1'!$D378</f>
        <v>26262500.000000004</v>
      </c>
      <c r="N379" s="19">
        <f>'G5 Asset Mgt'!R$103*'G5 Asset Mgt'!$D75*'Calcs - Scen 1'!$D378</f>
        <v>18012500</v>
      </c>
      <c r="O379" s="19">
        <v>0</v>
      </c>
      <c r="P379" s="19">
        <v>0</v>
      </c>
      <c r="Q379" s="19">
        <v>0</v>
      </c>
      <c r="R379" s="19">
        <v>0</v>
      </c>
      <c r="S379" s="19">
        <v>0</v>
      </c>
      <c r="T379" s="19">
        <v>0</v>
      </c>
      <c r="U379" s="19">
        <v>0</v>
      </c>
      <c r="V379" s="19">
        <v>0</v>
      </c>
      <c r="W379" s="19">
        <v>0</v>
      </c>
      <c r="X379" s="19">
        <v>0</v>
      </c>
      <c r="Y379" s="19">
        <v>0</v>
      </c>
      <c r="Z379" s="19">
        <v>0</v>
      </c>
      <c r="AA379" s="19">
        <v>0</v>
      </c>
      <c r="AB379" s="19">
        <v>0</v>
      </c>
      <c r="AC379" s="19">
        <v>0</v>
      </c>
      <c r="AD379" s="19">
        <v>0</v>
      </c>
      <c r="AE379" s="19">
        <v>0</v>
      </c>
      <c r="AF379" s="19">
        <v>0</v>
      </c>
      <c r="AG379" s="19">
        <v>0</v>
      </c>
      <c r="AH379" s="19">
        <v>0</v>
      </c>
      <c r="AI379" s="19">
        <v>0</v>
      </c>
      <c r="AJ379" s="19">
        <v>0</v>
      </c>
      <c r="AK379" s="19">
        <v>0</v>
      </c>
      <c r="AL379" s="19">
        <v>0</v>
      </c>
      <c r="AM379" s="19">
        <v>0</v>
      </c>
      <c r="AN379" s="19">
        <v>0</v>
      </c>
      <c r="AO379" s="19">
        <v>0</v>
      </c>
      <c r="AP379" s="19">
        <v>0</v>
      </c>
    </row>
    <row r="380" spans="2:42">
      <c r="B380" s="7" t="s">
        <v>31</v>
      </c>
      <c r="C380" s="129">
        <f>NPV($C$7,F379:AO379)+D379+E379</f>
        <v>141297958.6159004</v>
      </c>
      <c r="D380" s="7"/>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10"/>
    </row>
    <row r="381" spans="2:42">
      <c r="B381" s="7" t="s">
        <v>4</v>
      </c>
      <c r="C381" s="130" t="str">
        <f>IF(SUM(D381:AN381)&gt;1,"CHECK"," ")</f>
        <v xml:space="preserve"> </v>
      </c>
      <c r="D381" s="178">
        <v>0</v>
      </c>
      <c r="E381" s="15">
        <v>0.05</v>
      </c>
      <c r="F381" s="15">
        <v>0.35</v>
      </c>
      <c r="G381" s="15">
        <v>0.3</v>
      </c>
      <c r="H381" s="15">
        <v>0.1</v>
      </c>
      <c r="I381" s="15">
        <v>0.1</v>
      </c>
      <c r="J381" s="15">
        <v>0.1</v>
      </c>
      <c r="K381" s="15"/>
      <c r="L381" s="15"/>
      <c r="M381" s="15"/>
      <c r="N381" s="15"/>
      <c r="O381" s="15"/>
      <c r="P381" s="15"/>
      <c r="Q381" s="15"/>
      <c r="R381" s="15"/>
      <c r="S381" s="15"/>
      <c r="T381" s="125"/>
      <c r="U381" s="15"/>
      <c r="V381" s="15"/>
      <c r="W381" s="15"/>
      <c r="X381" s="15"/>
      <c r="Y381" s="15"/>
      <c r="Z381" s="15"/>
      <c r="AA381" s="15"/>
      <c r="AB381" s="15"/>
      <c r="AC381" s="15"/>
      <c r="AD381" s="15"/>
      <c r="AE381" s="15"/>
      <c r="AF381" s="15"/>
      <c r="AG381" s="15"/>
      <c r="AH381" s="15"/>
      <c r="AI381" s="15"/>
      <c r="AJ381" s="15"/>
      <c r="AK381" s="15"/>
      <c r="AL381" s="15"/>
      <c r="AM381" s="15"/>
      <c r="AN381" s="146"/>
      <c r="AO381" s="146"/>
      <c r="AP381" s="16"/>
    </row>
    <row r="382" spans="2:42" ht="15.75" thickBot="1">
      <c r="B382" s="11" t="s">
        <v>32</v>
      </c>
      <c r="C382" s="51"/>
      <c r="D382" s="179">
        <f>IF(D381&gt;0,(D381*$C380),0)</f>
        <v>0</v>
      </c>
      <c r="E382" s="20">
        <f t="shared" ref="E382:R382" si="83">IF(E381&gt;0,(E381*$C380),0)</f>
        <v>7064897.9307950204</v>
      </c>
      <c r="F382" s="20">
        <f t="shared" si="83"/>
        <v>49454285.515565135</v>
      </c>
      <c r="G382" s="20">
        <f t="shared" si="83"/>
        <v>42389387.584770121</v>
      </c>
      <c r="H382" s="20">
        <f t="shared" si="83"/>
        <v>14129795.861590041</v>
      </c>
      <c r="I382" s="20">
        <f t="shared" si="83"/>
        <v>14129795.861590041</v>
      </c>
      <c r="J382" s="20">
        <f t="shared" si="83"/>
        <v>14129795.861590041</v>
      </c>
      <c r="K382" s="20">
        <f t="shared" si="83"/>
        <v>0</v>
      </c>
      <c r="L382" s="20">
        <f t="shared" si="83"/>
        <v>0</v>
      </c>
      <c r="M382" s="20">
        <f t="shared" si="83"/>
        <v>0</v>
      </c>
      <c r="N382" s="20">
        <f t="shared" si="83"/>
        <v>0</v>
      </c>
      <c r="O382" s="20">
        <f t="shared" si="83"/>
        <v>0</v>
      </c>
      <c r="P382" s="20">
        <f t="shared" si="83"/>
        <v>0</v>
      </c>
      <c r="Q382" s="20">
        <f t="shared" si="83"/>
        <v>0</v>
      </c>
      <c r="R382" s="20">
        <f t="shared" si="83"/>
        <v>0</v>
      </c>
      <c r="S382" s="20">
        <f>IF(S381&gt;0,(S381*$C380),0)</f>
        <v>0</v>
      </c>
      <c r="T382" s="126">
        <f t="shared" ref="T382:AN382" si="84">IF(T381&gt;0,(T381*$C380),0)</f>
        <v>0</v>
      </c>
      <c r="U382" s="20">
        <f t="shared" si="84"/>
        <v>0</v>
      </c>
      <c r="V382" s="20">
        <f t="shared" si="84"/>
        <v>0</v>
      </c>
      <c r="W382" s="20">
        <f t="shared" si="84"/>
        <v>0</v>
      </c>
      <c r="X382" s="20">
        <f t="shared" si="84"/>
        <v>0</v>
      </c>
      <c r="Y382" s="20">
        <f t="shared" si="84"/>
        <v>0</v>
      </c>
      <c r="Z382" s="20">
        <f t="shared" si="84"/>
        <v>0</v>
      </c>
      <c r="AA382" s="20">
        <f t="shared" si="84"/>
        <v>0</v>
      </c>
      <c r="AB382" s="20">
        <f t="shared" si="84"/>
        <v>0</v>
      </c>
      <c r="AC382" s="20">
        <f t="shared" si="84"/>
        <v>0</v>
      </c>
      <c r="AD382" s="20">
        <f t="shared" si="84"/>
        <v>0</v>
      </c>
      <c r="AE382" s="20">
        <f t="shared" si="84"/>
        <v>0</v>
      </c>
      <c r="AF382" s="20">
        <f t="shared" si="84"/>
        <v>0</v>
      </c>
      <c r="AG382" s="20">
        <f t="shared" si="84"/>
        <v>0</v>
      </c>
      <c r="AH382" s="20">
        <f t="shared" si="84"/>
        <v>0</v>
      </c>
      <c r="AI382" s="20">
        <f t="shared" si="84"/>
        <v>0</v>
      </c>
      <c r="AJ382" s="20">
        <f t="shared" si="84"/>
        <v>0</v>
      </c>
      <c r="AK382" s="20">
        <f t="shared" si="84"/>
        <v>0</v>
      </c>
      <c r="AL382" s="20">
        <f t="shared" si="84"/>
        <v>0</v>
      </c>
      <c r="AM382" s="20">
        <f t="shared" si="84"/>
        <v>0</v>
      </c>
      <c r="AN382" s="215">
        <f t="shared" si="84"/>
        <v>0</v>
      </c>
      <c r="AO382" s="215">
        <f>IF(AO381&gt;0,(AO381*$C380),0)</f>
        <v>0</v>
      </c>
      <c r="AP382" s="22">
        <f>IF(AP381&gt;0,(AP381*$C380),0)</f>
        <v>0</v>
      </c>
    </row>
    <row r="383" spans="2:42" ht="15.75" thickBot="1">
      <c r="B383" s="221"/>
      <c r="C383" s="222"/>
      <c r="D383" s="221"/>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222"/>
    </row>
    <row r="384" spans="2:42">
      <c r="B384" s="4" t="s">
        <v>12</v>
      </c>
      <c r="C384" s="133" t="str">
        <f>Summary!B68</f>
        <v>G6</v>
      </c>
      <c r="D384" s="156" t="str">
        <f>Summary!C68</f>
        <v xml:space="preserve">NPD Programme - Needs not Wants - Scrutiny &amp; Challenge </v>
      </c>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6"/>
    </row>
    <row r="385" spans="2:42">
      <c r="B385" s="7" t="s">
        <v>189</v>
      </c>
      <c r="C385" s="134" t="str">
        <f>'G6 NPD Prog Scrutiny &amp;Challenge'!D47</f>
        <v>D - Moderate</v>
      </c>
      <c r="D385" s="176">
        <f>VLOOKUP(C385,'Confidence Factors'!$B$6:$D$9,3)</f>
        <v>0.55000000000000004</v>
      </c>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10"/>
    </row>
    <row r="386" spans="2:42">
      <c r="B386" s="7" t="s">
        <v>30</v>
      </c>
      <c r="C386" s="128">
        <f>SUM(D386:AN386)</f>
        <v>31460000</v>
      </c>
      <c r="D386" s="177">
        <v>0</v>
      </c>
      <c r="E386" s="19">
        <v>0</v>
      </c>
      <c r="F386" s="19">
        <f>'G4 Budget Recast Immediate Save'!I$73*'G4 Budget Recast Immediate Save'!$D89*'Calcs - Scen 1'!$D385</f>
        <v>0</v>
      </c>
      <c r="G386" s="19">
        <f>'G4 Budget Recast Immediate Save'!J$73*'G4 Budget Recast Immediate Save'!$D89*'Calcs - Scen 1'!$D385</f>
        <v>0</v>
      </c>
      <c r="H386" s="19">
        <v>0</v>
      </c>
      <c r="I386" s="19">
        <f>'G6 NPD Prog Scrutiny &amp;Challenge'!P$87*'G6 NPD Prog Scrutiny &amp;Challenge'!$D75*'Calcs - Scen 1'!$D385</f>
        <v>110000.00000000001</v>
      </c>
      <c r="J386" s="19">
        <f>'G6 NPD Prog Scrutiny &amp;Challenge'!Q$87*'G6 NPD Prog Scrutiny &amp;Challenge'!$D75*'Calcs - Scen 1'!$D385</f>
        <v>770000.00000000012</v>
      </c>
      <c r="K386" s="19">
        <f>'G6 NPD Prog Scrutiny &amp;Challenge'!R$87*'G6 NPD Prog Scrutiny &amp;Challenge'!$D75*'Calcs - Scen 1'!$D385</f>
        <v>1210000</v>
      </c>
      <c r="L386" s="19">
        <f>'G6 NPD Prog Scrutiny &amp;Challenge'!S$87*'G6 NPD Prog Scrutiny &amp;Challenge'!$D75*'Calcs - Scen 1'!$D385</f>
        <v>1210000</v>
      </c>
      <c r="M386" s="19">
        <f>'G6 NPD Prog Scrutiny &amp;Challenge'!T$87*'G6 NPD Prog Scrutiny &amp;Challenge'!$D75*'Calcs - Scen 1'!$D385</f>
        <v>1210000</v>
      </c>
      <c r="N386" s="19">
        <f>'G6 NPD Prog Scrutiny &amp;Challenge'!U$87*'G6 NPD Prog Scrutiny &amp;Challenge'!$D75*'Calcs - Scen 1'!$D385</f>
        <v>1210000</v>
      </c>
      <c r="O386" s="19">
        <f>'G6 NPD Prog Scrutiny &amp;Challenge'!V$87*'G6 NPD Prog Scrutiny &amp;Challenge'!$D75*'Calcs - Scen 1'!$D385</f>
        <v>1210000</v>
      </c>
      <c r="P386" s="19">
        <f>'G6 NPD Prog Scrutiny &amp;Challenge'!W$87*'G6 NPD Prog Scrutiny &amp;Challenge'!$D75*'Calcs - Scen 1'!$D385</f>
        <v>1210000</v>
      </c>
      <c r="Q386" s="19">
        <f>'G6 NPD Prog Scrutiny &amp;Challenge'!X$87*'G6 NPD Prog Scrutiny &amp;Challenge'!$D75*'Calcs - Scen 1'!$D385</f>
        <v>1210000</v>
      </c>
      <c r="R386" s="19">
        <f>'G6 NPD Prog Scrutiny &amp;Challenge'!Y$87*'G6 NPD Prog Scrutiny &amp;Challenge'!$D75*'Calcs - Scen 1'!$D385</f>
        <v>1210000</v>
      </c>
      <c r="S386" s="19">
        <f>'G6 NPD Prog Scrutiny &amp;Challenge'!Z$87*'G6 NPD Prog Scrutiny &amp;Challenge'!$D75*'Calcs - Scen 1'!$D385</f>
        <v>1210000</v>
      </c>
      <c r="T386" s="19">
        <f>'G6 NPD Prog Scrutiny &amp;Challenge'!AA$87*'G6 NPD Prog Scrutiny &amp;Challenge'!$D75*'Calcs - Scen 1'!$D385</f>
        <v>1210000</v>
      </c>
      <c r="U386" s="19">
        <f>'G6 NPD Prog Scrutiny &amp;Challenge'!AB$87*'G6 NPD Prog Scrutiny &amp;Challenge'!$D75*'Calcs - Scen 1'!$D385</f>
        <v>1210000</v>
      </c>
      <c r="V386" s="19">
        <f>'G6 NPD Prog Scrutiny &amp;Challenge'!AC$87*'G6 NPD Prog Scrutiny &amp;Challenge'!$D75*'Calcs - Scen 1'!$D385</f>
        <v>1210000</v>
      </c>
      <c r="W386" s="19">
        <f>'G6 NPD Prog Scrutiny &amp;Challenge'!AD$87*'G6 NPD Prog Scrutiny &amp;Challenge'!$D75*'Calcs - Scen 1'!$D385</f>
        <v>1210000</v>
      </c>
      <c r="X386" s="19">
        <f>'G6 NPD Prog Scrutiny &amp;Challenge'!AE$87*'G6 NPD Prog Scrutiny &amp;Challenge'!$D75*'Calcs - Scen 1'!$D385</f>
        <v>1210000</v>
      </c>
      <c r="Y386" s="19">
        <f>'G6 NPD Prog Scrutiny &amp;Challenge'!AF$87*'G6 NPD Prog Scrutiny &amp;Challenge'!$D75*'Calcs - Scen 1'!$D385</f>
        <v>1210000</v>
      </c>
      <c r="Z386" s="19">
        <f>'G6 NPD Prog Scrutiny &amp;Challenge'!AG$87*'G6 NPD Prog Scrutiny &amp;Challenge'!$D75*'Calcs - Scen 1'!$D385</f>
        <v>1210000</v>
      </c>
      <c r="AA386" s="19">
        <f>'G6 NPD Prog Scrutiny &amp;Challenge'!AH$87*'G6 NPD Prog Scrutiny &amp;Challenge'!$D75*'Calcs - Scen 1'!$D385</f>
        <v>1210000</v>
      </c>
      <c r="AB386" s="19">
        <f>'G6 NPD Prog Scrutiny &amp;Challenge'!AI$87*'G6 NPD Prog Scrutiny &amp;Challenge'!$D75*'Calcs - Scen 1'!$D385</f>
        <v>1210000</v>
      </c>
      <c r="AC386" s="19">
        <f>'G6 NPD Prog Scrutiny &amp;Challenge'!AJ$87*'G6 NPD Prog Scrutiny &amp;Challenge'!$D75*'Calcs - Scen 1'!$D385</f>
        <v>1210000</v>
      </c>
      <c r="AD386" s="19">
        <f>'G6 NPD Prog Scrutiny &amp;Challenge'!AK$87*'G6 NPD Prog Scrutiny &amp;Challenge'!$D75*'Calcs - Scen 1'!$D385</f>
        <v>1210000</v>
      </c>
      <c r="AE386" s="19">
        <f>'G6 NPD Prog Scrutiny &amp;Challenge'!AL$87*'G6 NPD Prog Scrutiny &amp;Challenge'!$D75*'Calcs - Scen 1'!$D385</f>
        <v>1210000</v>
      </c>
      <c r="AF386" s="19">
        <f>'G6 NPD Prog Scrutiny &amp;Challenge'!AM$87*'G6 NPD Prog Scrutiny &amp;Challenge'!$D75*'Calcs - Scen 1'!$D385</f>
        <v>1210000</v>
      </c>
      <c r="AG386" s="19">
        <f>'G6 NPD Prog Scrutiny &amp;Challenge'!AN$87*'G6 NPD Prog Scrutiny &amp;Challenge'!$D75*'Calcs - Scen 1'!$D385</f>
        <v>1210000</v>
      </c>
      <c r="AH386" s="19">
        <f>'G6 NPD Prog Scrutiny &amp;Challenge'!AO$87*'G6 NPD Prog Scrutiny &amp;Challenge'!$D75*'Calcs - Scen 1'!$D385</f>
        <v>1210000</v>
      </c>
      <c r="AI386" s="19">
        <f>'G6 NPD Prog Scrutiny &amp;Challenge'!AP$87*'G6 NPD Prog Scrutiny &amp;Challenge'!$D75*'Calcs - Scen 1'!$D385</f>
        <v>1100000</v>
      </c>
      <c r="AJ386" s="19">
        <f>'G6 NPD Prog Scrutiny &amp;Challenge'!AQ$87*'G6 NPD Prog Scrutiny &amp;Challenge'!$D75*'Calcs - Scen 1'!$D385</f>
        <v>440000.00000000006</v>
      </c>
      <c r="AK386" s="19">
        <f>'G6 NPD Prog Scrutiny &amp;Challenge'!AR$87*'G6 NPD Prog Scrutiny &amp;Challenge'!$D75*'Calcs - Scen 1'!$D385</f>
        <v>0</v>
      </c>
      <c r="AL386" s="19">
        <f>'G6 NPD Prog Scrutiny &amp;Challenge'!AS$87*'G6 NPD Prog Scrutiny &amp;Challenge'!$D75*'Calcs - Scen 1'!$D385</f>
        <v>0</v>
      </c>
      <c r="AM386" s="19">
        <f>'G6 NPD Prog Scrutiny &amp;Challenge'!AT$87*'G6 NPD Prog Scrutiny &amp;Challenge'!$D75*'Calcs - Scen 1'!$D385</f>
        <v>0</v>
      </c>
      <c r="AN386" s="19">
        <f>'G6 NPD Prog Scrutiny &amp;Challenge'!AU$87*'G6 NPD Prog Scrutiny &amp;Challenge'!$D75*'Calcs - Scen 1'!$D385</f>
        <v>0</v>
      </c>
      <c r="AO386" s="19">
        <f>'G6 NPD Prog Scrutiny &amp;Challenge'!AV$87*'G6 NPD Prog Scrutiny &amp;Challenge'!$D75*'Calcs - Scen 1'!$D385</f>
        <v>0</v>
      </c>
      <c r="AP386" s="19">
        <f>'G6 NPD Prog Scrutiny &amp;Challenge'!AW$87*'G6 NPD Prog Scrutiny &amp;Challenge'!$D75*'Calcs - Scen 1'!$D385</f>
        <v>0</v>
      </c>
    </row>
    <row r="387" spans="2:42">
      <c r="B387" s="7" t="s">
        <v>31</v>
      </c>
      <c r="C387" s="129">
        <f>NPV($C$7,F386:AO386)+D386+E386</f>
        <v>17647610.285090607</v>
      </c>
      <c r="D387" s="7"/>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10"/>
    </row>
    <row r="388" spans="2:42">
      <c r="B388" s="7" t="s">
        <v>4</v>
      </c>
      <c r="C388" s="130" t="str">
        <f>IF(SUM(D388:AN388)&gt;1,"CHECK"," ")</f>
        <v xml:space="preserve"> </v>
      </c>
      <c r="D388" s="178">
        <v>0</v>
      </c>
      <c r="E388" s="15">
        <v>0.1</v>
      </c>
      <c r="F388" s="15">
        <v>0.6</v>
      </c>
      <c r="G388" s="15">
        <v>0.3</v>
      </c>
      <c r="H388" s="15">
        <v>0</v>
      </c>
      <c r="I388" s="15">
        <v>0</v>
      </c>
      <c r="J388" s="15">
        <v>0</v>
      </c>
      <c r="K388" s="15"/>
      <c r="L388" s="15"/>
      <c r="M388" s="15"/>
      <c r="N388" s="15"/>
      <c r="O388" s="15"/>
      <c r="P388" s="15"/>
      <c r="Q388" s="15"/>
      <c r="R388" s="15"/>
      <c r="S388" s="15"/>
      <c r="T388" s="125"/>
      <c r="U388" s="15"/>
      <c r="V388" s="15"/>
      <c r="W388" s="15"/>
      <c r="X388" s="15"/>
      <c r="Y388" s="15"/>
      <c r="Z388" s="15"/>
      <c r="AA388" s="15"/>
      <c r="AB388" s="15"/>
      <c r="AC388" s="15"/>
      <c r="AD388" s="15"/>
      <c r="AE388" s="15"/>
      <c r="AF388" s="15"/>
      <c r="AG388" s="15"/>
      <c r="AH388" s="15"/>
      <c r="AI388" s="15"/>
      <c r="AJ388" s="15"/>
      <c r="AK388" s="15"/>
      <c r="AL388" s="15"/>
      <c r="AM388" s="15"/>
      <c r="AN388" s="146"/>
      <c r="AO388" s="146"/>
      <c r="AP388" s="16"/>
    </row>
    <row r="389" spans="2:42" ht="15.75" thickBot="1">
      <c r="B389" s="11" t="s">
        <v>32</v>
      </c>
      <c r="C389" s="51"/>
      <c r="D389" s="179">
        <f>IF(D388&gt;0,(D388*$C387),0)</f>
        <v>0</v>
      </c>
      <c r="E389" s="20">
        <f t="shared" ref="E389:R389" si="85">IF(E388&gt;0,(E388*$C387),0)</f>
        <v>1764761.0285090609</v>
      </c>
      <c r="F389" s="20">
        <f t="shared" si="85"/>
        <v>10588566.171054363</v>
      </c>
      <c r="G389" s="20">
        <f t="shared" si="85"/>
        <v>5294283.0855271816</v>
      </c>
      <c r="H389" s="20">
        <f t="shared" si="85"/>
        <v>0</v>
      </c>
      <c r="I389" s="20">
        <f t="shared" si="85"/>
        <v>0</v>
      </c>
      <c r="J389" s="20">
        <f t="shared" si="85"/>
        <v>0</v>
      </c>
      <c r="K389" s="20">
        <f t="shared" si="85"/>
        <v>0</v>
      </c>
      <c r="L389" s="20">
        <f t="shared" si="85"/>
        <v>0</v>
      </c>
      <c r="M389" s="20">
        <f t="shared" si="85"/>
        <v>0</v>
      </c>
      <c r="N389" s="20">
        <f t="shared" si="85"/>
        <v>0</v>
      </c>
      <c r="O389" s="20">
        <f t="shared" si="85"/>
        <v>0</v>
      </c>
      <c r="P389" s="20">
        <f t="shared" si="85"/>
        <v>0</v>
      </c>
      <c r="Q389" s="20">
        <f t="shared" si="85"/>
        <v>0</v>
      </c>
      <c r="R389" s="20">
        <f t="shared" si="85"/>
        <v>0</v>
      </c>
      <c r="S389" s="20">
        <f>IF(S388&gt;0,(S388*$C387),0)</f>
        <v>0</v>
      </c>
      <c r="T389" s="126">
        <f t="shared" ref="T389:AN389" si="86">IF(T388&gt;0,(T388*$C387),0)</f>
        <v>0</v>
      </c>
      <c r="U389" s="20">
        <f t="shared" si="86"/>
        <v>0</v>
      </c>
      <c r="V389" s="20">
        <f t="shared" si="86"/>
        <v>0</v>
      </c>
      <c r="W389" s="20">
        <f t="shared" si="86"/>
        <v>0</v>
      </c>
      <c r="X389" s="20">
        <f t="shared" si="86"/>
        <v>0</v>
      </c>
      <c r="Y389" s="20">
        <f t="shared" si="86"/>
        <v>0</v>
      </c>
      <c r="Z389" s="20">
        <f t="shared" si="86"/>
        <v>0</v>
      </c>
      <c r="AA389" s="20">
        <f t="shared" si="86"/>
        <v>0</v>
      </c>
      <c r="AB389" s="20">
        <f t="shared" si="86"/>
        <v>0</v>
      </c>
      <c r="AC389" s="20">
        <f t="shared" si="86"/>
        <v>0</v>
      </c>
      <c r="AD389" s="20">
        <f t="shared" si="86"/>
        <v>0</v>
      </c>
      <c r="AE389" s="20">
        <f t="shared" si="86"/>
        <v>0</v>
      </c>
      <c r="AF389" s="20">
        <f t="shared" si="86"/>
        <v>0</v>
      </c>
      <c r="AG389" s="20">
        <f t="shared" si="86"/>
        <v>0</v>
      </c>
      <c r="AH389" s="20">
        <f t="shared" si="86"/>
        <v>0</v>
      </c>
      <c r="AI389" s="20">
        <f t="shared" si="86"/>
        <v>0</v>
      </c>
      <c r="AJ389" s="20">
        <f t="shared" si="86"/>
        <v>0</v>
      </c>
      <c r="AK389" s="20">
        <f t="shared" si="86"/>
        <v>0</v>
      </c>
      <c r="AL389" s="20">
        <f t="shared" si="86"/>
        <v>0</v>
      </c>
      <c r="AM389" s="20">
        <f t="shared" si="86"/>
        <v>0</v>
      </c>
      <c r="AN389" s="215">
        <f t="shared" si="86"/>
        <v>0</v>
      </c>
      <c r="AO389" s="215">
        <f>IF(AO388&gt;0,(AO388*$C387),0)</f>
        <v>0</v>
      </c>
      <c r="AP389" s="22">
        <f>IF(AP388&gt;0,(AP388*$C387),0)</f>
        <v>0</v>
      </c>
    </row>
    <row r="390" spans="2:42" ht="15.75" thickBot="1">
      <c r="B390" s="221"/>
      <c r="C390" s="222"/>
      <c r="D390" s="221"/>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222"/>
    </row>
  </sheetData>
  <pageMargins left="0.7" right="0.7" top="0.75" bottom="0.75" header="0.3" footer="0.3"/>
  <pageSetup paperSize="9" scale="25"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B1:L9"/>
  <sheetViews>
    <sheetView zoomScale="75" zoomScaleNormal="75" workbookViewId="0">
      <selection activeCell="C47" sqref="C47"/>
    </sheetView>
  </sheetViews>
  <sheetFormatPr defaultRowHeight="15"/>
  <cols>
    <col min="1" max="1" width="2.85546875" style="88" customWidth="1"/>
    <col min="2" max="2" width="26.85546875" style="88" bestFit="1" customWidth="1"/>
    <col min="3" max="3" width="139.85546875" style="88" customWidth="1"/>
    <col min="4" max="4" width="13.28515625" style="89" bestFit="1" customWidth="1"/>
    <col min="5" max="7" width="9.140625" style="88"/>
    <col min="8" max="8" width="13.28515625" style="88" bestFit="1" customWidth="1"/>
    <col min="9" max="16384" width="9.140625" style="88"/>
  </cols>
  <sheetData>
    <row r="1" spans="2:12" ht="18.75">
      <c r="B1" s="86" t="s">
        <v>60</v>
      </c>
      <c r="C1" s="87"/>
      <c r="F1" s="89"/>
      <c r="J1" s="89"/>
      <c r="L1" s="89"/>
    </row>
    <row r="2" spans="2:12" ht="18.75">
      <c r="B2" s="25" t="s">
        <v>347</v>
      </c>
      <c r="C2" s="87"/>
      <c r="F2" s="89"/>
      <c r="J2" s="89"/>
      <c r="L2" s="89"/>
    </row>
    <row r="3" spans="2:12" ht="18.75">
      <c r="B3" s="86" t="s">
        <v>165</v>
      </c>
      <c r="C3" s="87"/>
      <c r="F3" s="89"/>
      <c r="J3" s="89"/>
      <c r="L3" s="89"/>
    </row>
    <row r="5" spans="2:12">
      <c r="B5" s="90" t="s">
        <v>188</v>
      </c>
      <c r="C5" s="91" t="s">
        <v>37</v>
      </c>
      <c r="D5" s="92" t="s">
        <v>187</v>
      </c>
      <c r="F5" s="89"/>
    </row>
    <row r="6" spans="2:12">
      <c r="B6" s="94" t="s">
        <v>209</v>
      </c>
      <c r="C6" s="212" t="s">
        <v>284</v>
      </c>
      <c r="D6" s="173">
        <v>1</v>
      </c>
      <c r="F6" s="89"/>
    </row>
    <row r="7" spans="2:12">
      <c r="B7" s="94" t="s">
        <v>277</v>
      </c>
      <c r="C7" s="93" t="s">
        <v>285</v>
      </c>
      <c r="D7" s="173">
        <v>0.9</v>
      </c>
      <c r="F7" s="89"/>
    </row>
    <row r="8" spans="2:12">
      <c r="B8" s="94" t="s">
        <v>276</v>
      </c>
      <c r="C8" s="93" t="s">
        <v>286</v>
      </c>
      <c r="D8" s="173">
        <v>0.75</v>
      </c>
      <c r="F8" s="89"/>
    </row>
    <row r="9" spans="2:12">
      <c r="B9" s="94" t="s">
        <v>278</v>
      </c>
      <c r="C9" s="93" t="s">
        <v>287</v>
      </c>
      <c r="D9" s="173">
        <v>0.55000000000000004</v>
      </c>
      <c r="F9" s="89"/>
    </row>
  </sheetData>
  <phoneticPr fontId="19" type="noConversion"/>
  <pageMargins left="0.7" right="0.7" top="0.75" bottom="0.75" header="0.3" footer="0.3"/>
  <pageSetup paperSize="9"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C9455F7B5A08438C561ABB607EE7FE" ma:contentTypeVersion="0" ma:contentTypeDescription="Create a new document." ma:contentTypeScope="" ma:versionID="bf8a6236ef13d4a4e2788d3e0c9ebe5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ADA204-7177-4FA0-8B5B-EDA372008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4781F4B-8F10-41DB-9BCD-16554E04396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16405664-3E97-47BA-B774-1FF32F280F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68</vt:i4>
      </vt:variant>
      <vt:variant>
        <vt:lpstr>Charts</vt:lpstr>
      </vt:variant>
      <vt:variant>
        <vt:i4>2</vt:i4>
      </vt:variant>
      <vt:variant>
        <vt:lpstr>Named Ranges</vt:lpstr>
      </vt:variant>
      <vt:variant>
        <vt:i4>7</vt:i4>
      </vt:variant>
    </vt:vector>
  </HeadingPairs>
  <TitlesOfParts>
    <vt:vector size="77" baseType="lpstr">
      <vt:lpstr>Cover</vt:lpstr>
      <vt:lpstr>Top 10</vt:lpstr>
      <vt:lpstr>Summary</vt:lpstr>
      <vt:lpstr>2010-11 Sharing %</vt:lpstr>
      <vt:lpstr>Calcs - Scen 1</vt:lpstr>
      <vt:lpstr>Calcs - Scen 2</vt:lpstr>
      <vt:lpstr>Calcs - Scen 3</vt:lpstr>
      <vt:lpstr>Calcs - Scen 4</vt:lpstr>
      <vt:lpstr>Confidence Factors</vt:lpstr>
      <vt:lpstr>A1 PUK KSR Fees</vt:lpstr>
      <vt:lpstr>A2 Waste Validation Fees</vt:lpstr>
      <vt:lpstr>A3 Waste Data Capture</vt:lpstr>
      <vt:lpstr>A4 Waste Prog Support</vt:lpstr>
      <vt:lpstr>A5 Waste Proc Cost Benefits </vt:lpstr>
      <vt:lpstr>A6 ESA95 Consult Fees</vt:lpstr>
      <vt:lpstr>A7 TIF Consult Fees</vt:lpstr>
      <vt:lpstr>A8 NHT Consult Fees</vt:lpstr>
      <vt:lpstr>A9 URC Consult Fees</vt:lpstr>
      <vt:lpstr>A10 CMAL Consult Fees </vt:lpstr>
      <vt:lpstr>A11 CH Consult Fees</vt:lpstr>
      <vt:lpstr>A12 Waste Avoided Abort Cost CV</vt:lpstr>
      <vt:lpstr>A13 Waste Avoid Advisor Non CV </vt:lpstr>
      <vt:lpstr>A14 Waste Avoid Advisor CV </vt:lpstr>
      <vt:lpstr>A15 Waste Avoid Disposal Non CV</vt:lpstr>
      <vt:lpstr>A16 Waste Food Treatment Suppor</vt:lpstr>
      <vt:lpstr>A17 Wst Avoid Future Variations</vt:lpstr>
      <vt:lpstr>A18 NPD Contract-Avoid Consulta</vt:lpstr>
      <vt:lpstr>A19 hub consultancy avoided</vt:lpstr>
      <vt:lpstr>A20 hub performance mngt</vt:lpstr>
      <vt:lpstr>A21 Asset Mgt Avoided Dev Work</vt:lpstr>
      <vt:lpstr>A22 Optimism Bias &amp; Contingency</vt:lpstr>
      <vt:lpstr>B1 TIF Develop</vt:lpstr>
      <vt:lpstr>B2 NHT Develop</vt:lpstr>
      <vt:lpstr>C1 West &amp; Ork</vt:lpstr>
      <vt:lpstr>C2 Borders Rail Fin</vt:lpstr>
      <vt:lpstr>C3 Borders Rail Comp</vt:lpstr>
      <vt:lpstr>C4 Orkney Schools Fin</vt:lpstr>
      <vt:lpstr>C5 RHSC DCN Comp</vt:lpstr>
      <vt:lpstr>C6 NPD Saved Proc Time</vt:lpstr>
      <vt:lpstr>C7 NPD Optimal Risk Transfer</vt:lpstr>
      <vt:lpstr>C8 Reduced Cost of Capital</vt:lpstr>
      <vt:lpstr>C9 hub Return on Workg Cap Inv</vt:lpstr>
      <vt:lpstr>D1 hub Reduced Proc Time</vt:lpstr>
      <vt:lpstr>D2 hub Cont Improvement</vt:lpstr>
      <vt:lpstr>D3 hub Savings in Bid Costs</vt:lpstr>
      <vt:lpstr>D4 hub Public Sector Inv Return</vt:lpstr>
      <vt:lpstr>D5 hub Reduced IRR</vt:lpstr>
      <vt:lpstr>D1-D5 hub Benefit Summary</vt:lpstr>
      <vt:lpstr>D1-D5 hub Benefit Assumptions</vt:lpstr>
      <vt:lpstr>D6 hub dialogue savings</vt:lpstr>
      <vt:lpstr>D7 Schools Pilot Project</vt:lpstr>
      <vt:lpstr>D8 Schools Needs Ident</vt:lpstr>
      <vt:lpstr>D8 cont - Needs ID</vt:lpstr>
      <vt:lpstr>D9 Schools Cont Improv</vt:lpstr>
      <vt:lpstr>D10 Blank - Nil Benefit</vt:lpstr>
      <vt:lpstr>E1 Valdn Non-Std Civils FRC</vt:lpstr>
      <vt:lpstr>E2 Validation Std Accom</vt:lpstr>
      <vt:lpstr>E3 Validation CMAL</vt:lpstr>
      <vt:lpstr>E4 Valdn Non-Std Civils (BOR)</vt:lpstr>
      <vt:lpstr>F1 Ops project support</vt:lpstr>
      <vt:lpstr>G1 Wst Proc Time Benefits</vt:lpstr>
      <vt:lpstr>G2 Wst Serv Cost Benefits</vt:lpstr>
      <vt:lpstr>G3 Waste Reduced Gate Fees CV</vt:lpstr>
      <vt:lpstr>G4 Budget Recast Immediate Save</vt:lpstr>
      <vt:lpstr>G5 Asset Mgt</vt:lpstr>
      <vt:lpstr>G6 NPD Prog Scrutiny &amp;Challenge</vt:lpstr>
      <vt:lpstr>Resource Input</vt:lpstr>
      <vt:lpstr>Ends</vt:lpstr>
      <vt:lpstr>Benefits Split</vt:lpstr>
      <vt:lpstr>Benefit Sharing</vt:lpstr>
      <vt:lpstr>'C3 Borders Rail Comp'!Print_Area</vt:lpstr>
      <vt:lpstr>'C4 Orkney Schools Fin'!Print_Area</vt:lpstr>
      <vt:lpstr>'C5 RHSC DCN Comp'!Print_Area</vt:lpstr>
      <vt:lpstr>'C6 NPD Saved Proc Time'!Print_Area</vt:lpstr>
      <vt:lpstr>'C7 NPD Optimal Risk Transfer'!Print_Area</vt:lpstr>
      <vt:lpstr>'D10 Blank - Nil Benefit'!Print_Area</vt:lpstr>
      <vt:lpstr>'D9 Schools Cont Improv'!Print_Area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2010/11 Benefits Calculations LMT</dc:title>
  <dc:creator>Lynne-Marie Thom</dc:creator>
  <cp:lastModifiedBy>Vicky Kirk</cp:lastModifiedBy>
  <cp:lastPrinted>2011-06-03T12:41:32Z</cp:lastPrinted>
  <dcterms:created xsi:type="dcterms:W3CDTF">2010-03-04T12:53:43Z</dcterms:created>
  <dcterms:modified xsi:type="dcterms:W3CDTF">2011-06-29T10:00:13Z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0x010100FCC9455F7B5A08438C561ABB607EE7FE</vt:lpwstr>
  </property>
</Properties>
</file>