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45" windowWidth="6000" windowHeight="4710" tabRatio="737"/>
  </bookViews>
  <sheets>
    <sheet name="Title Page" sheetId="20" r:id="rId1"/>
    <sheet name="Input Constants" sheetId="1" r:id="rId2"/>
    <sheet name="Input Profile" sheetId="9" r:id="rId3"/>
    <sheet name="Flags" sheetId="4" r:id="rId4"/>
    <sheet name="Workings" sheetId="10" r:id="rId5"/>
    <sheet name="Financing" sheetId="11" r:id="rId6"/>
    <sheet name="Comparison of Cashflows" sheetId="5" r:id="rId7"/>
    <sheet name="Results Summary" sheetId="19" r:id="rId8"/>
    <sheet name="GT_Custom" sheetId="6" state="hidden" r:id="rId9"/>
  </sheets>
  <definedNames>
    <definedName name="_xlnm._FilterDatabase" localSheetId="1" hidden="1">'Input Constants'!$J$5:$P$5</definedName>
    <definedName name="_xlnm.Print_Area" localSheetId="6">'Comparison of Cashflows'!$A$1:$AQ$90</definedName>
    <definedName name="_xlnm.Print_Area" localSheetId="4">Workings!$A$1:$AQ$87</definedName>
    <definedName name="_xlnm.Print_Titles" localSheetId="6">'Comparison of Cashflows'!$A:$I,'Comparison of Cashflows'!$1:$5</definedName>
    <definedName name="_xlnm.Print_Titles" localSheetId="5">Financing!$A:$I,Financing!$1:$5</definedName>
    <definedName name="_xlnm.Print_Titles" localSheetId="3">Flags!$A:$I,Flags!$1:$5</definedName>
    <definedName name="_xlnm.Print_Titles" localSheetId="2">'Input Profile'!$A:$I,'Input Profile'!$1:$5</definedName>
    <definedName name="_xlnm.Print_Titles" localSheetId="4">Workings!$A:$I,Workings!$1:$5</definedName>
  </definedNames>
  <calcPr calcId="125725"/>
</workbook>
</file>

<file path=xl/calcChain.xml><?xml version="1.0" encoding="utf-8"?>
<calcChain xmlns="http://schemas.openxmlformats.org/spreadsheetml/2006/main">
  <c r="F36" i="1"/>
  <c r="J48"/>
  <c r="E27" i="10"/>
  <c r="F21" i="1" l="1"/>
  <c r="G27" i="4"/>
  <c r="E27"/>
  <c r="G22"/>
  <c r="E22"/>
  <c r="G17"/>
  <c r="E17"/>
  <c r="AQ14"/>
  <c r="AP14"/>
  <c r="AO14"/>
  <c r="AN14"/>
  <c r="AM14"/>
  <c r="AL14"/>
  <c r="AK14"/>
  <c r="AJ14"/>
  <c r="AI14"/>
  <c r="AH14"/>
  <c r="AG14"/>
  <c r="AF14"/>
  <c r="AE14"/>
  <c r="AD14"/>
  <c r="AC14"/>
  <c r="AB14"/>
  <c r="AA14"/>
  <c r="Z14"/>
  <c r="Y14"/>
  <c r="X14"/>
  <c r="W14"/>
  <c r="V14"/>
  <c r="U14"/>
  <c r="T14"/>
  <c r="S14"/>
  <c r="R14"/>
  <c r="Q14"/>
  <c r="P14"/>
  <c r="O14"/>
  <c r="N14"/>
  <c r="M14"/>
  <c r="L14"/>
  <c r="K14"/>
  <c r="J14"/>
  <c r="E74" i="11"/>
  <c r="E44" i="19"/>
  <c r="E43"/>
  <c r="F3" i="5" l="1"/>
  <c r="F3" i="11"/>
  <c r="F3" i="10"/>
  <c r="F3" i="9"/>
  <c r="H23"/>
  <c r="E50" i="10" l="1"/>
  <c r="E49"/>
  <c r="E48"/>
  <c r="F19" i="1"/>
  <c r="E81" i="11" l="1"/>
  <c r="E60"/>
  <c r="G86" i="10"/>
  <c r="E86"/>
  <c r="G76"/>
  <c r="E76"/>
  <c r="AQ70"/>
  <c r="AP70"/>
  <c r="AO70"/>
  <c r="AN70"/>
  <c r="AM70"/>
  <c r="AL70"/>
  <c r="AK70"/>
  <c r="AJ70"/>
  <c r="AI70"/>
  <c r="AH70"/>
  <c r="AG70"/>
  <c r="AF70"/>
  <c r="AE70"/>
  <c r="AD70"/>
  <c r="AC70"/>
  <c r="AB70"/>
  <c r="AA70"/>
  <c r="Z70"/>
  <c r="Y70"/>
  <c r="X70"/>
  <c r="W70"/>
  <c r="V70"/>
  <c r="U70"/>
  <c r="T70"/>
  <c r="S70"/>
  <c r="R70"/>
  <c r="Q70"/>
  <c r="P70"/>
  <c r="O70"/>
  <c r="N70"/>
  <c r="M70"/>
  <c r="L70"/>
  <c r="K70"/>
  <c r="J70"/>
  <c r="E70"/>
  <c r="E68"/>
  <c r="E67"/>
  <c r="E39" i="11"/>
  <c r="AR89" i="5"/>
  <c r="E89"/>
  <c r="AR86"/>
  <c r="E86"/>
  <c r="AR83"/>
  <c r="E83"/>
  <c r="G78"/>
  <c r="F78"/>
  <c r="E78"/>
  <c r="E80"/>
  <c r="AR80"/>
  <c r="F5" i="20"/>
  <c r="E66" i="10"/>
  <c r="G66" i="11"/>
  <c r="E66"/>
  <c r="G65"/>
  <c r="E65"/>
  <c r="G45"/>
  <c r="G44"/>
  <c r="E45"/>
  <c r="E44"/>
  <c r="E9" i="4"/>
  <c r="E8"/>
  <c r="G24" i="11"/>
  <c r="G23"/>
  <c r="E24"/>
  <c r="E23"/>
  <c r="F2" i="9"/>
  <c r="F1"/>
  <c r="H43"/>
  <c r="H41"/>
  <c r="H39"/>
  <c r="H37"/>
  <c r="H32"/>
  <c r="H31"/>
  <c r="H30"/>
  <c r="H25"/>
  <c r="H24"/>
  <c r="AQ13"/>
  <c r="AP13"/>
  <c r="AO13"/>
  <c r="AN13"/>
  <c r="AM13"/>
  <c r="AL13"/>
  <c r="AK13"/>
  <c r="AJ13"/>
  <c r="AI13"/>
  <c r="AH13"/>
  <c r="AG13"/>
  <c r="AF13"/>
  <c r="AE13"/>
  <c r="AD13"/>
  <c r="AC13"/>
  <c r="AB13"/>
  <c r="AA13"/>
  <c r="Z13"/>
  <c r="Y13"/>
  <c r="X13"/>
  <c r="W13"/>
  <c r="V13"/>
  <c r="U13"/>
  <c r="T13"/>
  <c r="S13"/>
  <c r="R13"/>
  <c r="Q13"/>
  <c r="P13"/>
  <c r="O13"/>
  <c r="N13"/>
  <c r="M13"/>
  <c r="L13"/>
  <c r="K13"/>
  <c r="J13"/>
  <c r="H17"/>
  <c r="H16"/>
  <c r="H12"/>
  <c r="H11"/>
  <c r="H10"/>
  <c r="A2" i="1"/>
  <c r="A2" i="19" s="1"/>
  <c r="H13" i="9" l="1"/>
  <c r="A2"/>
  <c r="A2" i="10"/>
  <c r="A2" i="5"/>
  <c r="A2" i="4"/>
  <c r="A2" i="11"/>
  <c r="F55" i="1" l="1"/>
  <c r="F56" s="1"/>
  <c r="F57" s="1"/>
  <c r="F58" s="1"/>
  <c r="F59" s="1"/>
  <c r="F60" s="1"/>
  <c r="F61" s="1"/>
  <c r="AQ11" i="10" l="1"/>
  <c r="AP11"/>
  <c r="AO11"/>
  <c r="AN11"/>
  <c r="AM11"/>
  <c r="AL11"/>
  <c r="AK11"/>
  <c r="AJ11"/>
  <c r="AI11"/>
  <c r="AH11"/>
  <c r="AG11"/>
  <c r="AF11"/>
  <c r="AE11"/>
  <c r="AD11"/>
  <c r="AC11"/>
  <c r="AB11"/>
  <c r="AA11"/>
  <c r="Z11"/>
  <c r="Y11"/>
  <c r="X11"/>
  <c r="W11"/>
  <c r="V11"/>
  <c r="U11"/>
  <c r="T11"/>
  <c r="S11"/>
  <c r="R11"/>
  <c r="Q11"/>
  <c r="P11"/>
  <c r="O11"/>
  <c r="N11"/>
  <c r="M11"/>
  <c r="L11"/>
  <c r="K11"/>
  <c r="AQ10"/>
  <c r="AP10"/>
  <c r="AO10"/>
  <c r="AN10"/>
  <c r="AM10"/>
  <c r="AL10"/>
  <c r="AK10"/>
  <c r="AJ10"/>
  <c r="AI10"/>
  <c r="AH10"/>
  <c r="AG10"/>
  <c r="AF10"/>
  <c r="AE10"/>
  <c r="AD10"/>
  <c r="AC10"/>
  <c r="AB10"/>
  <c r="AA10"/>
  <c r="Z10"/>
  <c r="Y10"/>
  <c r="X10"/>
  <c r="W10"/>
  <c r="V10"/>
  <c r="U10"/>
  <c r="T10"/>
  <c r="S10"/>
  <c r="R10"/>
  <c r="Q10"/>
  <c r="P10"/>
  <c r="O10"/>
  <c r="N10"/>
  <c r="M10"/>
  <c r="L10"/>
  <c r="K10"/>
  <c r="AQ9"/>
  <c r="AP9"/>
  <c r="AO9"/>
  <c r="AN9"/>
  <c r="AM9"/>
  <c r="AL9"/>
  <c r="AK9"/>
  <c r="AJ9"/>
  <c r="AI9"/>
  <c r="AH9"/>
  <c r="AG9"/>
  <c r="AF9"/>
  <c r="AE9"/>
  <c r="AD9"/>
  <c r="AC9"/>
  <c r="AB9"/>
  <c r="AA9"/>
  <c r="Z9"/>
  <c r="Y9"/>
  <c r="X9"/>
  <c r="W9"/>
  <c r="V9"/>
  <c r="U9"/>
  <c r="T9"/>
  <c r="S9"/>
  <c r="R9"/>
  <c r="Q9"/>
  <c r="P9"/>
  <c r="O9"/>
  <c r="N9"/>
  <c r="M9"/>
  <c r="L9"/>
  <c r="K9"/>
  <c r="J11"/>
  <c r="J10"/>
  <c r="J9"/>
  <c r="G43" i="4"/>
  <c r="G14" i="10" s="1"/>
  <c r="E43" i="4"/>
  <c r="E14" i="10" s="1"/>
  <c r="E41" i="4"/>
  <c r="E39"/>
  <c r="E11" i="10"/>
  <c r="E10"/>
  <c r="E9"/>
  <c r="D8"/>
  <c r="E19"/>
  <c r="E18"/>
  <c r="E17"/>
  <c r="E37" i="4"/>
  <c r="E35"/>
  <c r="E33"/>
  <c r="E31"/>
  <c r="E11" i="11"/>
  <c r="H9" i="10" l="1"/>
  <c r="H10"/>
  <c r="K12"/>
  <c r="M12"/>
  <c r="O12"/>
  <c r="Q12"/>
  <c r="S12"/>
  <c r="U12"/>
  <c r="W12"/>
  <c r="Y12"/>
  <c r="AA12"/>
  <c r="AC12"/>
  <c r="AE12"/>
  <c r="AG12"/>
  <c r="AI12"/>
  <c r="AK12"/>
  <c r="AM12"/>
  <c r="AO12"/>
  <c r="AQ12"/>
  <c r="L12"/>
  <c r="N12"/>
  <c r="P12"/>
  <c r="R12"/>
  <c r="T12"/>
  <c r="V12"/>
  <c r="X12"/>
  <c r="Z12"/>
  <c r="AB12"/>
  <c r="AD12"/>
  <c r="AF12"/>
  <c r="AH12"/>
  <c r="AJ12"/>
  <c r="AL12"/>
  <c r="AN12"/>
  <c r="AP12"/>
  <c r="H11"/>
  <c r="J12"/>
  <c r="H12" l="1"/>
  <c r="A1" i="19" l="1"/>
  <c r="E56" i="10" l="1"/>
  <c r="E55"/>
  <c r="E54"/>
  <c r="E53"/>
  <c r="G39" i="4" l="1"/>
  <c r="G33"/>
  <c r="AQ50" i="10" l="1"/>
  <c r="AP50"/>
  <c r="AO50"/>
  <c r="AN50"/>
  <c r="AM50"/>
  <c r="AL50"/>
  <c r="AK50"/>
  <c r="AJ50"/>
  <c r="AI50"/>
  <c r="AH50"/>
  <c r="AG50"/>
  <c r="AF50"/>
  <c r="AE50"/>
  <c r="AD50"/>
  <c r="AC50"/>
  <c r="AB50"/>
  <c r="AA50"/>
  <c r="Z50"/>
  <c r="Y50"/>
  <c r="X50"/>
  <c r="W50"/>
  <c r="V50"/>
  <c r="U50"/>
  <c r="T50"/>
  <c r="S50"/>
  <c r="R50"/>
  <c r="Q50"/>
  <c r="P50"/>
  <c r="O50"/>
  <c r="N50"/>
  <c r="M50"/>
  <c r="L50"/>
  <c r="K50"/>
  <c r="J50"/>
  <c r="AQ49"/>
  <c r="AP49"/>
  <c r="AO49"/>
  <c r="AN49"/>
  <c r="AM49"/>
  <c r="AL49"/>
  <c r="AK49"/>
  <c r="AJ49"/>
  <c r="AI49"/>
  <c r="AH49"/>
  <c r="AG49"/>
  <c r="AF49"/>
  <c r="AE49"/>
  <c r="AD49"/>
  <c r="AC49"/>
  <c r="AB49"/>
  <c r="AA49"/>
  <c r="Z49"/>
  <c r="Y49"/>
  <c r="X49"/>
  <c r="W49"/>
  <c r="V49"/>
  <c r="U49"/>
  <c r="T49"/>
  <c r="S49"/>
  <c r="R49"/>
  <c r="Q49"/>
  <c r="P49"/>
  <c r="O49"/>
  <c r="N49"/>
  <c r="M49"/>
  <c r="L49"/>
  <c r="K49"/>
  <c r="J49"/>
  <c r="AQ48"/>
  <c r="AQ51" s="1"/>
  <c r="AP48"/>
  <c r="AP51" s="1"/>
  <c r="AO48"/>
  <c r="AO51" s="1"/>
  <c r="AN48"/>
  <c r="AN51" s="1"/>
  <c r="AM48"/>
  <c r="AM51" s="1"/>
  <c r="AL48"/>
  <c r="AL51" s="1"/>
  <c r="AK48"/>
  <c r="AK51" s="1"/>
  <c r="AJ48"/>
  <c r="AJ51" s="1"/>
  <c r="AI48"/>
  <c r="AI51" s="1"/>
  <c r="AH48"/>
  <c r="AH51" s="1"/>
  <c r="AG48"/>
  <c r="AG51" s="1"/>
  <c r="AF48"/>
  <c r="AF51" s="1"/>
  <c r="AE48"/>
  <c r="AE51" s="1"/>
  <c r="AD48"/>
  <c r="AD51" s="1"/>
  <c r="AC48"/>
  <c r="AC51" s="1"/>
  <c r="AB48"/>
  <c r="AB51" s="1"/>
  <c r="AA48"/>
  <c r="AA51" s="1"/>
  <c r="Z48"/>
  <c r="Z51" s="1"/>
  <c r="Y48"/>
  <c r="Y51" s="1"/>
  <c r="X48"/>
  <c r="X51" s="1"/>
  <c r="W48"/>
  <c r="W51" s="1"/>
  <c r="V48"/>
  <c r="V51" s="1"/>
  <c r="U48"/>
  <c r="U51" s="1"/>
  <c r="T48"/>
  <c r="T51" s="1"/>
  <c r="S48"/>
  <c r="S51" s="1"/>
  <c r="R48"/>
  <c r="R51" s="1"/>
  <c r="Q48"/>
  <c r="Q51" s="1"/>
  <c r="P48"/>
  <c r="P51" s="1"/>
  <c r="O48"/>
  <c r="O51" s="1"/>
  <c r="N48"/>
  <c r="N51" s="1"/>
  <c r="M48"/>
  <c r="M51" s="1"/>
  <c r="L48"/>
  <c r="L51" s="1"/>
  <c r="K48"/>
  <c r="K51" s="1"/>
  <c r="J48"/>
  <c r="H50" l="1"/>
  <c r="H49"/>
  <c r="H48"/>
  <c r="J51"/>
  <c r="H51" s="1"/>
  <c r="AW39" i="5"/>
  <c r="AV39"/>
  <c r="AU39"/>
  <c r="AT39"/>
  <c r="AS39"/>
  <c r="A1"/>
  <c r="E79" i="11"/>
  <c r="E70"/>
  <c r="J73"/>
  <c r="E58"/>
  <c r="E49"/>
  <c r="E53"/>
  <c r="J52"/>
  <c r="E37"/>
  <c r="I28"/>
  <c r="E28"/>
  <c r="E32"/>
  <c r="J31"/>
  <c r="E15"/>
  <c r="E14"/>
  <c r="E13"/>
  <c r="E8"/>
  <c r="E7"/>
  <c r="A1"/>
  <c r="E38" i="10"/>
  <c r="E37"/>
  <c r="E36"/>
  <c r="E35"/>
  <c r="AQ32"/>
  <c r="AP32"/>
  <c r="AO32"/>
  <c r="AN32"/>
  <c r="AM32"/>
  <c r="AL32"/>
  <c r="AK32"/>
  <c r="AJ32"/>
  <c r="AI32"/>
  <c r="AH32"/>
  <c r="AG32"/>
  <c r="AF32"/>
  <c r="AE32"/>
  <c r="AD32"/>
  <c r="AC32"/>
  <c r="AB32"/>
  <c r="AA32"/>
  <c r="Z32"/>
  <c r="Y32"/>
  <c r="X32"/>
  <c r="W32"/>
  <c r="V32"/>
  <c r="U32"/>
  <c r="T32"/>
  <c r="S32"/>
  <c r="R32"/>
  <c r="Q32"/>
  <c r="P32"/>
  <c r="O32"/>
  <c r="N32"/>
  <c r="M32"/>
  <c r="L32"/>
  <c r="K32"/>
  <c r="J32"/>
  <c r="E32"/>
  <c r="AQ31"/>
  <c r="AP31"/>
  <c r="AO31"/>
  <c r="AN31"/>
  <c r="AM31"/>
  <c r="AL31"/>
  <c r="AK31"/>
  <c r="AJ31"/>
  <c r="AI31"/>
  <c r="AH31"/>
  <c r="AG31"/>
  <c r="AF31"/>
  <c r="AE31"/>
  <c r="AD31"/>
  <c r="AC31"/>
  <c r="AB31"/>
  <c r="AA31"/>
  <c r="Z31"/>
  <c r="Y31"/>
  <c r="X31"/>
  <c r="W31"/>
  <c r="V31"/>
  <c r="U31"/>
  <c r="T31"/>
  <c r="S31"/>
  <c r="R31"/>
  <c r="Q31"/>
  <c r="P31"/>
  <c r="O31"/>
  <c r="N31"/>
  <c r="M31"/>
  <c r="L31"/>
  <c r="K31"/>
  <c r="J31"/>
  <c r="E31"/>
  <c r="AQ30"/>
  <c r="AP30"/>
  <c r="AO30"/>
  <c r="AN30"/>
  <c r="AM30"/>
  <c r="AL30"/>
  <c r="AK30"/>
  <c r="AJ30"/>
  <c r="AI30"/>
  <c r="AH30"/>
  <c r="AG30"/>
  <c r="AF30"/>
  <c r="AE30"/>
  <c r="AD30"/>
  <c r="AC30"/>
  <c r="AB30"/>
  <c r="AA30"/>
  <c r="Z30"/>
  <c r="Y30"/>
  <c r="X30"/>
  <c r="W30"/>
  <c r="V30"/>
  <c r="U30"/>
  <c r="T30"/>
  <c r="S30"/>
  <c r="R30"/>
  <c r="Q30"/>
  <c r="P30"/>
  <c r="O30"/>
  <c r="N30"/>
  <c r="M30"/>
  <c r="L30"/>
  <c r="K30"/>
  <c r="J30"/>
  <c r="E30"/>
  <c r="E23"/>
  <c r="A1"/>
  <c r="G41" i="4"/>
  <c r="G37"/>
  <c r="G55" i="10" s="1"/>
  <c r="G35" i="4"/>
  <c r="G31"/>
  <c r="A1"/>
  <c r="AQ33" i="9"/>
  <c r="AP33"/>
  <c r="AO33"/>
  <c r="AN33"/>
  <c r="AM33"/>
  <c r="AL33"/>
  <c r="AK33"/>
  <c r="AJ33"/>
  <c r="AI33"/>
  <c r="AH33"/>
  <c r="AG33"/>
  <c r="AF33"/>
  <c r="AE33"/>
  <c r="AD33"/>
  <c r="AC33"/>
  <c r="AB33"/>
  <c r="AA33"/>
  <c r="Z33"/>
  <c r="Y33"/>
  <c r="X33"/>
  <c r="W33"/>
  <c r="V33"/>
  <c r="U33"/>
  <c r="T33"/>
  <c r="S33"/>
  <c r="R33"/>
  <c r="Q33"/>
  <c r="P33"/>
  <c r="O33"/>
  <c r="N33"/>
  <c r="M33"/>
  <c r="L33"/>
  <c r="K33"/>
  <c r="J33"/>
  <c r="AQ26"/>
  <c r="AP26"/>
  <c r="AO26"/>
  <c r="AN26"/>
  <c r="AM26"/>
  <c r="AL26"/>
  <c r="AK26"/>
  <c r="AJ26"/>
  <c r="AI26"/>
  <c r="AH26"/>
  <c r="AG26"/>
  <c r="AF26"/>
  <c r="AE26"/>
  <c r="AD26"/>
  <c r="AC26"/>
  <c r="AB26"/>
  <c r="AA26"/>
  <c r="Z26"/>
  <c r="Y26"/>
  <c r="X26"/>
  <c r="W26"/>
  <c r="V26"/>
  <c r="U26"/>
  <c r="T26"/>
  <c r="S26"/>
  <c r="R26"/>
  <c r="Q26"/>
  <c r="P26"/>
  <c r="O26"/>
  <c r="N26"/>
  <c r="M26"/>
  <c r="L26"/>
  <c r="K26"/>
  <c r="J26"/>
  <c r="AQ18"/>
  <c r="AP18"/>
  <c r="AO18"/>
  <c r="AN18"/>
  <c r="AM18"/>
  <c r="AL18"/>
  <c r="AK18"/>
  <c r="AJ18"/>
  <c r="AI18"/>
  <c r="AH18"/>
  <c r="AG18"/>
  <c r="AF18"/>
  <c r="AE18"/>
  <c r="AD18"/>
  <c r="AC18"/>
  <c r="AB18"/>
  <c r="AA18"/>
  <c r="Z18"/>
  <c r="Y18"/>
  <c r="X18"/>
  <c r="W18"/>
  <c r="V18"/>
  <c r="U18"/>
  <c r="T18"/>
  <c r="S18"/>
  <c r="R18"/>
  <c r="Q18"/>
  <c r="P18"/>
  <c r="O18"/>
  <c r="N18"/>
  <c r="M18"/>
  <c r="L18"/>
  <c r="K18"/>
  <c r="J18"/>
  <c r="A1"/>
  <c r="F8" i="1"/>
  <c r="F40" s="1"/>
  <c r="F15" l="1"/>
  <c r="E41" i="19" s="1"/>
  <c r="F46" i="1"/>
  <c r="K33" i="10"/>
  <c r="M33"/>
  <c r="O33"/>
  <c r="Q33"/>
  <c r="S33"/>
  <c r="U33"/>
  <c r="W33"/>
  <c r="Y33"/>
  <c r="AA33"/>
  <c r="AC33"/>
  <c r="AE33"/>
  <c r="AG33"/>
  <c r="AI33"/>
  <c r="AK33"/>
  <c r="AM33"/>
  <c r="AO33"/>
  <c r="AQ33"/>
  <c r="H18" i="9"/>
  <c r="H26"/>
  <c r="H33"/>
  <c r="J33" i="10"/>
  <c r="L33"/>
  <c r="N33"/>
  <c r="P33"/>
  <c r="R33"/>
  <c r="T33"/>
  <c r="V33"/>
  <c r="X33"/>
  <c r="Z33"/>
  <c r="AB33"/>
  <c r="AD33"/>
  <c r="AF33"/>
  <c r="AH33"/>
  <c r="AJ33"/>
  <c r="AL33"/>
  <c r="AN33"/>
  <c r="AP33"/>
  <c r="H31"/>
  <c r="H32"/>
  <c r="F33" i="1"/>
  <c r="F25"/>
  <c r="F30"/>
  <c r="F39" i="4" s="1"/>
  <c r="F33"/>
  <c r="E60" i="10"/>
  <c r="E59"/>
  <c r="E61"/>
  <c r="F29" i="1"/>
  <c r="F37" i="4" s="1"/>
  <c r="F11" i="11"/>
  <c r="F39" i="1"/>
  <c r="F24" i="11" s="1"/>
  <c r="F42" i="1"/>
  <c r="F44"/>
  <c r="F47"/>
  <c r="F66" i="11" s="1"/>
  <c r="F11" i="1"/>
  <c r="F12" s="1"/>
  <c r="F24"/>
  <c r="F31" i="4" s="1"/>
  <c r="F26" i="1"/>
  <c r="F35" i="4" s="1"/>
  <c r="F31" i="1"/>
  <c r="F41" i="4" s="1"/>
  <c r="F38" i="1"/>
  <c r="F43"/>
  <c r="F45" i="11" s="1"/>
  <c r="F48" i="1"/>
  <c r="H30" i="10"/>
  <c r="G54"/>
  <c r="G56"/>
  <c r="F23" i="11" l="1"/>
  <c r="F17" i="4"/>
  <c r="F44" i="11"/>
  <c r="F22" i="4"/>
  <c r="F65" i="11"/>
  <c r="F27" i="4"/>
  <c r="E75" i="11"/>
  <c r="E54"/>
  <c r="E33"/>
  <c r="E40" i="19"/>
  <c r="F14" i="11"/>
  <c r="H55" i="19"/>
  <c r="H33" i="10"/>
  <c r="F14" i="1"/>
  <c r="J2" i="4"/>
  <c r="F43"/>
  <c r="F55" i="10"/>
  <c r="F56"/>
  <c r="F54"/>
  <c r="F36"/>
  <c r="F13" i="11"/>
  <c r="J43" i="4" l="1"/>
  <c r="J33"/>
  <c r="J31"/>
  <c r="J41"/>
  <c r="J56" i="10" s="1"/>
  <c r="J39" i="4"/>
  <c r="J55" i="10" s="1"/>
  <c r="J37" i="4"/>
  <c r="J54" i="10" s="1"/>
  <c r="J35" i="4"/>
  <c r="F16" i="1"/>
  <c r="F8" i="4"/>
  <c r="F14" i="10"/>
  <c r="K2" i="4"/>
  <c r="J1"/>
  <c r="J3" s="1"/>
  <c r="J3" i="10" l="1"/>
  <c r="J3" i="9"/>
  <c r="J3" i="5"/>
  <c r="J3" i="11"/>
  <c r="K35" i="4"/>
  <c r="K37"/>
  <c r="K39"/>
  <c r="K41"/>
  <c r="K31"/>
  <c r="K33"/>
  <c r="K43"/>
  <c r="F9"/>
  <c r="K10" s="1"/>
  <c r="J1" i="9"/>
  <c r="J10" i="4"/>
  <c r="J12" s="1"/>
  <c r="J1" i="11"/>
  <c r="J1" i="10"/>
  <c r="L2" i="4"/>
  <c r="J1" i="5"/>
  <c r="J14" i="10"/>
  <c r="J2" i="5"/>
  <c r="J2" i="9"/>
  <c r="J2" i="11"/>
  <c r="J2" i="10"/>
  <c r="J67" l="1"/>
  <c r="J27"/>
  <c r="L35" i="4"/>
  <c r="L37"/>
  <c r="L39"/>
  <c r="L41"/>
  <c r="L31"/>
  <c r="L33"/>
  <c r="L43"/>
  <c r="K12"/>
  <c r="J66" i="10"/>
  <c r="J13" i="4"/>
  <c r="K66" i="10"/>
  <c r="L10" i="4"/>
  <c r="L12" s="1"/>
  <c r="J19" i="10"/>
  <c r="J18"/>
  <c r="J17"/>
  <c r="M2" i="4"/>
  <c r="J35" i="10"/>
  <c r="L67" l="1"/>
  <c r="L27"/>
  <c r="K67"/>
  <c r="K27"/>
  <c r="K86"/>
  <c r="K76"/>
  <c r="K80"/>
  <c r="K81" s="1"/>
  <c r="K73"/>
  <c r="K74" s="1"/>
  <c r="J86"/>
  <c r="J76"/>
  <c r="J80"/>
  <c r="J81" s="1"/>
  <c r="J73"/>
  <c r="M35" i="4"/>
  <c r="M37"/>
  <c r="M39"/>
  <c r="M41"/>
  <c r="M31"/>
  <c r="M33"/>
  <c r="M43"/>
  <c r="J39" i="11"/>
  <c r="J60"/>
  <c r="J68" i="10"/>
  <c r="J81" i="11"/>
  <c r="K13" i="4"/>
  <c r="L66" i="10"/>
  <c r="M10" i="4"/>
  <c r="M12" s="1"/>
  <c r="J20" i="10"/>
  <c r="N2" i="4"/>
  <c r="J53" i="10"/>
  <c r="J36"/>
  <c r="J41" s="1"/>
  <c r="J37"/>
  <c r="J42" s="1"/>
  <c r="J38"/>
  <c r="J43" s="1"/>
  <c r="J8" i="11"/>
  <c r="K8"/>
  <c r="L8"/>
  <c r="M8"/>
  <c r="N8"/>
  <c r="O8"/>
  <c r="P8"/>
  <c r="Q8"/>
  <c r="R8"/>
  <c r="S8"/>
  <c r="T8"/>
  <c r="U8"/>
  <c r="V8"/>
  <c r="W8"/>
  <c r="X8"/>
  <c r="Y8"/>
  <c r="Z8"/>
  <c r="AA8"/>
  <c r="AB8"/>
  <c r="AB16" i="5" s="1"/>
  <c r="AC8" i="11"/>
  <c r="AD8"/>
  <c r="AE8"/>
  <c r="AF8"/>
  <c r="AG8"/>
  <c r="AH8"/>
  <c r="AH16" i="5" s="1"/>
  <c r="AI8" i="11"/>
  <c r="AJ8"/>
  <c r="AK8"/>
  <c r="AL8"/>
  <c r="AM8"/>
  <c r="AN8"/>
  <c r="AO8"/>
  <c r="AP8"/>
  <c r="AP16" i="5" s="1"/>
  <c r="AQ8" i="11"/>
  <c r="E43" i="10"/>
  <c r="G38"/>
  <c r="F38"/>
  <c r="E42"/>
  <c r="G37"/>
  <c r="F37"/>
  <c r="G36"/>
  <c r="F15" i="11"/>
  <c r="AN16" i="5"/>
  <c r="K1" i="10"/>
  <c r="E41"/>
  <c r="E24"/>
  <c r="M67" l="1"/>
  <c r="M27"/>
  <c r="K77"/>
  <c r="J7" i="11"/>
  <c r="J10" s="1"/>
  <c r="J18" s="1"/>
  <c r="J22" i="10"/>
  <c r="J87"/>
  <c r="L86"/>
  <c r="L76"/>
  <c r="L77" s="1"/>
  <c r="L80"/>
  <c r="L73"/>
  <c r="J77"/>
  <c r="J74"/>
  <c r="N35" i="4"/>
  <c r="N37"/>
  <c r="N39"/>
  <c r="N41"/>
  <c r="N31"/>
  <c r="N33"/>
  <c r="N43"/>
  <c r="J23" i="10"/>
  <c r="K39" i="11"/>
  <c r="K81"/>
  <c r="K60"/>
  <c r="K68" i="10"/>
  <c r="K87" s="1"/>
  <c r="L81"/>
  <c r="L74"/>
  <c r="L13" i="4"/>
  <c r="N10"/>
  <c r="N12" s="1"/>
  <c r="M66" i="10"/>
  <c r="J11" i="5"/>
  <c r="H8" i="11"/>
  <c r="O2" i="4"/>
  <c r="J24" i="10"/>
  <c r="J15" i="5" s="1"/>
  <c r="J56" s="1"/>
  <c r="P16"/>
  <c r="AA16"/>
  <c r="AJ16"/>
  <c r="L16"/>
  <c r="X16"/>
  <c r="AF16"/>
  <c r="T16"/>
  <c r="V16"/>
  <c r="N16"/>
  <c r="Z16"/>
  <c r="R16"/>
  <c r="J16"/>
  <c r="AL16"/>
  <c r="AD16"/>
  <c r="K16"/>
  <c r="AQ16"/>
  <c r="AE16"/>
  <c r="O16"/>
  <c r="AI16"/>
  <c r="S16"/>
  <c r="AM16"/>
  <c r="W16"/>
  <c r="AO16"/>
  <c r="AK16"/>
  <c r="AG16"/>
  <c r="AC16"/>
  <c r="Y16"/>
  <c r="U16"/>
  <c r="Q16"/>
  <c r="M16"/>
  <c r="J59" i="10"/>
  <c r="J61"/>
  <c r="J60"/>
  <c r="J44"/>
  <c r="J7" i="5" s="1"/>
  <c r="N67" i="10" l="1"/>
  <c r="N27"/>
  <c r="M86"/>
  <c r="M76"/>
  <c r="M80"/>
  <c r="M81" s="1"/>
  <c r="M73"/>
  <c r="O35" i="4"/>
  <c r="O37"/>
  <c r="O39"/>
  <c r="O41"/>
  <c r="O31"/>
  <c r="O33"/>
  <c r="O43"/>
  <c r="L39" i="11"/>
  <c r="L60"/>
  <c r="L68" i="10"/>
  <c r="L87" s="1"/>
  <c r="L81" i="11"/>
  <c r="N66" i="10"/>
  <c r="M13" i="4"/>
  <c r="J19" i="11"/>
  <c r="J74" s="1"/>
  <c r="J78" s="1"/>
  <c r="O10" i="4"/>
  <c r="O12" s="1"/>
  <c r="J17" i="11"/>
  <c r="J18" i="5" s="1"/>
  <c r="J53" i="11"/>
  <c r="J57" s="1"/>
  <c r="P2" i="4"/>
  <c r="J19" i="5"/>
  <c r="J42"/>
  <c r="H16"/>
  <c r="H13" i="19" s="1"/>
  <c r="J62" i="10"/>
  <c r="O67" l="1"/>
  <c r="O27"/>
  <c r="J20" i="5"/>
  <c r="M77" i="10"/>
  <c r="M74"/>
  <c r="N86"/>
  <c r="N76"/>
  <c r="N77" s="1"/>
  <c r="N80"/>
  <c r="N81" s="1"/>
  <c r="N73"/>
  <c r="P35" i="4"/>
  <c r="P37"/>
  <c r="P39"/>
  <c r="P41"/>
  <c r="P31"/>
  <c r="P33"/>
  <c r="P43"/>
  <c r="J32" i="11"/>
  <c r="J36" s="1"/>
  <c r="M39"/>
  <c r="M81"/>
  <c r="M60"/>
  <c r="M68" i="10"/>
  <c r="M87" s="1"/>
  <c r="N13" i="4"/>
  <c r="P10"/>
  <c r="P12" s="1"/>
  <c r="O66" i="10"/>
  <c r="J10" i="5"/>
  <c r="J72" s="1"/>
  <c r="J89" s="1"/>
  <c r="Q2" i="4"/>
  <c r="P67" i="10" l="1"/>
  <c r="P27"/>
  <c r="O86"/>
  <c r="O76"/>
  <c r="O77" s="1"/>
  <c r="O80"/>
  <c r="O73"/>
  <c r="O74" s="1"/>
  <c r="N74"/>
  <c r="Q35" i="4"/>
  <c r="Q37"/>
  <c r="Q39"/>
  <c r="Q41"/>
  <c r="Q31"/>
  <c r="Q33"/>
  <c r="Q43"/>
  <c r="N39" i="11"/>
  <c r="N60"/>
  <c r="N68" i="10"/>
  <c r="N87" s="1"/>
  <c r="N81" i="11"/>
  <c r="P66" i="10"/>
  <c r="O13" i="4"/>
  <c r="O81" i="10"/>
  <c r="Q10" i="4"/>
  <c r="Q12" s="1"/>
  <c r="K11" i="5"/>
  <c r="J37" i="11"/>
  <c r="J79"/>
  <c r="R2" i="4"/>
  <c r="Q67" i="10" l="1"/>
  <c r="Q27"/>
  <c r="P86"/>
  <c r="P76"/>
  <c r="P77" s="1"/>
  <c r="P80"/>
  <c r="P81" s="1"/>
  <c r="P73"/>
  <c r="P74" s="1"/>
  <c r="R35" i="4"/>
  <c r="R37"/>
  <c r="R39"/>
  <c r="R41"/>
  <c r="R31"/>
  <c r="R33"/>
  <c r="R43"/>
  <c r="O39" i="11"/>
  <c r="O81"/>
  <c r="O60"/>
  <c r="O68" i="10"/>
  <c r="O87" s="1"/>
  <c r="P13" i="4"/>
  <c r="Q66" i="10"/>
  <c r="R10" i="4"/>
  <c r="J24" i="5"/>
  <c r="J26"/>
  <c r="S2" i="4"/>
  <c r="Q86" i="10" l="1"/>
  <c r="Q76"/>
  <c r="Q80"/>
  <c r="Q81" s="1"/>
  <c r="Q73"/>
  <c r="Q74" s="1"/>
  <c r="S35" i="4"/>
  <c r="S37"/>
  <c r="S39"/>
  <c r="S41"/>
  <c r="S31"/>
  <c r="S33"/>
  <c r="S43"/>
  <c r="Q13"/>
  <c r="R12"/>
  <c r="P39" i="11"/>
  <c r="P60"/>
  <c r="P68" i="10"/>
  <c r="P87" s="1"/>
  <c r="P81" i="11"/>
  <c r="R66" i="10"/>
  <c r="S10" i="4"/>
  <c r="S12" s="1"/>
  <c r="L11" i="5"/>
  <c r="T2" i="4"/>
  <c r="S67" i="10" l="1"/>
  <c r="S27"/>
  <c r="R67"/>
  <c r="R27"/>
  <c r="R86"/>
  <c r="R76"/>
  <c r="R80"/>
  <c r="R81" s="1"/>
  <c r="R73"/>
  <c r="R74" s="1"/>
  <c r="Q77"/>
  <c r="T35" i="4"/>
  <c r="T37"/>
  <c r="T39"/>
  <c r="T41"/>
  <c r="T31"/>
  <c r="T33"/>
  <c r="T43"/>
  <c r="R13"/>
  <c r="R39" i="11" s="1"/>
  <c r="Q39"/>
  <c r="Q81"/>
  <c r="Q60"/>
  <c r="Q68" i="10"/>
  <c r="Q87" s="1"/>
  <c r="S66"/>
  <c r="T10" i="4"/>
  <c r="T12" s="1"/>
  <c r="U2"/>
  <c r="R77" i="10" l="1"/>
  <c r="T67"/>
  <c r="T27"/>
  <c r="S86"/>
  <c r="S76"/>
  <c r="S77" s="1"/>
  <c r="S80"/>
  <c r="S81" s="1"/>
  <c r="S73"/>
  <c r="S74" s="1"/>
  <c r="U35" i="4"/>
  <c r="U37"/>
  <c r="U39"/>
  <c r="U41"/>
  <c r="U31"/>
  <c r="U33"/>
  <c r="U43"/>
  <c r="S13"/>
  <c r="S81" i="11" s="1"/>
  <c r="R81"/>
  <c r="R60"/>
  <c r="R68" i="10"/>
  <c r="R87" s="1"/>
  <c r="T66"/>
  <c r="U10" i="4"/>
  <c r="U12" s="1"/>
  <c r="M11" i="5"/>
  <c r="V2" i="4"/>
  <c r="N11" i="5"/>
  <c r="U67" i="10" l="1"/>
  <c r="U27"/>
  <c r="T86"/>
  <c r="T76"/>
  <c r="T77" s="1"/>
  <c r="T80"/>
  <c r="T81" s="1"/>
  <c r="T73"/>
  <c r="T74" s="1"/>
  <c r="S39" i="11"/>
  <c r="S68" i="10"/>
  <c r="S87" s="1"/>
  <c r="V35" i="4"/>
  <c r="V37"/>
  <c r="V39"/>
  <c r="V41"/>
  <c r="V31"/>
  <c r="V33"/>
  <c r="V43"/>
  <c r="S60" i="11"/>
  <c r="T13" i="4"/>
  <c r="U66" i="10"/>
  <c r="V10" i="4"/>
  <c r="V12" s="1"/>
  <c r="W2"/>
  <c r="O11" i="5"/>
  <c r="V67" i="10" l="1"/>
  <c r="V27"/>
  <c r="U86"/>
  <c r="U76"/>
  <c r="U77" s="1"/>
  <c r="U80"/>
  <c r="U81" s="1"/>
  <c r="U73"/>
  <c r="U74" s="1"/>
  <c r="W35" i="4"/>
  <c r="W37"/>
  <c r="W39"/>
  <c r="W41"/>
  <c r="W31"/>
  <c r="W33"/>
  <c r="W43"/>
  <c r="T39" i="11"/>
  <c r="T60"/>
  <c r="T68" i="10"/>
  <c r="T87" s="1"/>
  <c r="T81" i="11"/>
  <c r="U13" i="4"/>
  <c r="V66" i="10"/>
  <c r="W10" i="4"/>
  <c r="W12" s="1"/>
  <c r="X2"/>
  <c r="P11" i="5"/>
  <c r="W67" i="10" l="1"/>
  <c r="W27"/>
  <c r="V86"/>
  <c r="V76"/>
  <c r="V77" s="1"/>
  <c r="V80"/>
  <c r="V81" s="1"/>
  <c r="V73"/>
  <c r="V74" s="1"/>
  <c r="X35" i="4"/>
  <c r="X37"/>
  <c r="X39"/>
  <c r="X41"/>
  <c r="X31"/>
  <c r="X33"/>
  <c r="X43"/>
  <c r="U39" i="11"/>
  <c r="U81"/>
  <c r="U60"/>
  <c r="U68" i="10"/>
  <c r="U87" s="1"/>
  <c r="W66"/>
  <c r="V13" i="4"/>
  <c r="X10"/>
  <c r="X12" s="1"/>
  <c r="Y2"/>
  <c r="Q11" i="5"/>
  <c r="X67" i="10" l="1"/>
  <c r="X27"/>
  <c r="W86"/>
  <c r="W76"/>
  <c r="W77" s="1"/>
  <c r="W80"/>
  <c r="W81" s="1"/>
  <c r="W73"/>
  <c r="W74" s="1"/>
  <c r="Y35" i="4"/>
  <c r="Y37"/>
  <c r="Y39"/>
  <c r="Y41"/>
  <c r="Y31"/>
  <c r="Y33"/>
  <c r="Y43"/>
  <c r="V39" i="11"/>
  <c r="V60"/>
  <c r="V68" i="10"/>
  <c r="V87" s="1"/>
  <c r="V81" i="11"/>
  <c r="X66" i="10"/>
  <c r="W13" i="4"/>
  <c r="Y10"/>
  <c r="Y12" s="1"/>
  <c r="Z2"/>
  <c r="R11" i="5"/>
  <c r="Y67" i="10" l="1"/>
  <c r="Y27"/>
  <c r="X86"/>
  <c r="X76"/>
  <c r="X77" s="1"/>
  <c r="X80"/>
  <c r="X81" s="1"/>
  <c r="X73"/>
  <c r="X74" s="1"/>
  <c r="Z35" i="4"/>
  <c r="Z37"/>
  <c r="Z39"/>
  <c r="Z41"/>
  <c r="Z31"/>
  <c r="Z33"/>
  <c r="Z43"/>
  <c r="W39" i="11"/>
  <c r="W81"/>
  <c r="W60"/>
  <c r="W68" i="10"/>
  <c r="W87" s="1"/>
  <c r="Y66"/>
  <c r="X13" i="4"/>
  <c r="Z10"/>
  <c r="Z12" s="1"/>
  <c r="AA2"/>
  <c r="T11" i="5"/>
  <c r="S11" s="1"/>
  <c r="Z67" i="10" l="1"/>
  <c r="Z27"/>
  <c r="Y86"/>
  <c r="Y76"/>
  <c r="Y77" s="1"/>
  <c r="Y80"/>
  <c r="Y81" s="1"/>
  <c r="Y73"/>
  <c r="Y74" s="1"/>
  <c r="AA35" i="4"/>
  <c r="AA37"/>
  <c r="AA39"/>
  <c r="AA41"/>
  <c r="AA31"/>
  <c r="AA33"/>
  <c r="AA43"/>
  <c r="X39" i="11"/>
  <c r="X60"/>
  <c r="X68" i="10"/>
  <c r="X87" s="1"/>
  <c r="X81" i="11"/>
  <c r="Z66" i="10"/>
  <c r="Y13" i="4"/>
  <c r="AA10"/>
  <c r="AA12" s="1"/>
  <c r="AB2"/>
  <c r="U11" i="5"/>
  <c r="AA67" i="10" l="1"/>
  <c r="AA27"/>
  <c r="Z86"/>
  <c r="Z76"/>
  <c r="Z77" s="1"/>
  <c r="Z80"/>
  <c r="Z81" s="1"/>
  <c r="Z73"/>
  <c r="Z74" s="1"/>
  <c r="AB35" i="4"/>
  <c r="AB37"/>
  <c r="AB39"/>
  <c r="AB41"/>
  <c r="AB31"/>
  <c r="AB33"/>
  <c r="AB43"/>
  <c r="Y39" i="11"/>
  <c r="Y81"/>
  <c r="Y60"/>
  <c r="Y68" i="10"/>
  <c r="Y87" s="1"/>
  <c r="AA66"/>
  <c r="Z13" i="4"/>
  <c r="AB10"/>
  <c r="AB12" s="1"/>
  <c r="AC2"/>
  <c r="V11" i="5"/>
  <c r="AB67" i="10" l="1"/>
  <c r="AB27"/>
  <c r="AA86"/>
  <c r="AA76"/>
  <c r="AA77" s="1"/>
  <c r="AA80"/>
  <c r="AA81" s="1"/>
  <c r="AA73"/>
  <c r="AA74" s="1"/>
  <c r="AC35" i="4"/>
  <c r="AC37"/>
  <c r="AC39"/>
  <c r="AC41"/>
  <c r="AC31"/>
  <c r="AC33"/>
  <c r="AC43"/>
  <c r="Z39" i="11"/>
  <c r="Z60"/>
  <c r="Z68" i="10"/>
  <c r="Z87" s="1"/>
  <c r="Z81" i="11"/>
  <c r="AB66" i="10"/>
  <c r="AA13" i="4"/>
  <c r="AC10"/>
  <c r="AC12" s="1"/>
  <c r="AD2"/>
  <c r="W11" i="5"/>
  <c r="AC67" i="10" l="1"/>
  <c r="AC27"/>
  <c r="AB86"/>
  <c r="AB76"/>
  <c r="AB77" s="1"/>
  <c r="AB80"/>
  <c r="AB81" s="1"/>
  <c r="AB73"/>
  <c r="AB74" s="1"/>
  <c r="AD35" i="4"/>
  <c r="AD37"/>
  <c r="AD39"/>
  <c r="AD41"/>
  <c r="AD31"/>
  <c r="AD33"/>
  <c r="AD43"/>
  <c r="AA39" i="11"/>
  <c r="AA81"/>
  <c r="AA60"/>
  <c r="AA68" i="10"/>
  <c r="AA87" s="1"/>
  <c r="AC66"/>
  <c r="AB13" i="4"/>
  <c r="AD10"/>
  <c r="AD12" s="1"/>
  <c r="AE2"/>
  <c r="X11" i="5"/>
  <c r="AD67" i="10" l="1"/>
  <c r="AD27"/>
  <c r="AC86"/>
  <c r="AC76"/>
  <c r="AC77" s="1"/>
  <c r="AC80"/>
  <c r="AC81" s="1"/>
  <c r="AC73"/>
  <c r="AC74" s="1"/>
  <c r="AE35" i="4"/>
  <c r="AE37"/>
  <c r="AE39"/>
  <c r="AE41"/>
  <c r="AE31"/>
  <c r="AE33"/>
  <c r="AE43"/>
  <c r="AB39" i="11"/>
  <c r="AB60"/>
  <c r="AB68" i="10"/>
  <c r="AB87" s="1"/>
  <c r="AB81" i="11"/>
  <c r="AD66" i="10"/>
  <c r="AC13" i="4"/>
  <c r="AE10"/>
  <c r="AE12" s="1"/>
  <c r="AF2"/>
  <c r="Y11" i="5"/>
  <c r="AE67" i="10" l="1"/>
  <c r="AE27"/>
  <c r="AD86"/>
  <c r="AD76"/>
  <c r="AD77" s="1"/>
  <c r="AD80"/>
  <c r="AD81" s="1"/>
  <c r="AD73"/>
  <c r="AD74" s="1"/>
  <c r="AF35" i="4"/>
  <c r="AF37"/>
  <c r="AF39"/>
  <c r="AF41"/>
  <c r="AF31"/>
  <c r="AF33"/>
  <c r="AF43"/>
  <c r="AC39" i="11"/>
  <c r="AC81"/>
  <c r="AC60"/>
  <c r="AC68" i="10"/>
  <c r="AC87" s="1"/>
  <c r="AE66"/>
  <c r="AD13" i="4"/>
  <c r="AF10"/>
  <c r="AF12" s="1"/>
  <c r="AG2"/>
  <c r="Z11" i="5"/>
  <c r="AF67" i="10" l="1"/>
  <c r="AF27"/>
  <c r="AE86"/>
  <c r="AE76"/>
  <c r="AE77" s="1"/>
  <c r="AE80"/>
  <c r="AE81" s="1"/>
  <c r="AE73"/>
  <c r="AE74" s="1"/>
  <c r="AG35" i="4"/>
  <c r="AG37"/>
  <c r="AG39"/>
  <c r="AG41"/>
  <c r="AG31"/>
  <c r="AG33"/>
  <c r="AG43"/>
  <c r="AD39" i="11"/>
  <c r="AD60"/>
  <c r="AD68" i="10"/>
  <c r="AD87" s="1"/>
  <c r="AD81" i="11"/>
  <c r="AF66" i="10"/>
  <c r="AE13" i="4"/>
  <c r="AG10"/>
  <c r="AG12" s="1"/>
  <c r="AH2"/>
  <c r="AA11" i="5"/>
  <c r="AG67" i="10" l="1"/>
  <c r="AG27"/>
  <c r="AF86"/>
  <c r="AF76"/>
  <c r="AF77" s="1"/>
  <c r="AF80"/>
  <c r="AF81" s="1"/>
  <c r="AF73"/>
  <c r="AF74" s="1"/>
  <c r="AH35" i="4"/>
  <c r="AH37"/>
  <c r="AH39"/>
  <c r="AH41"/>
  <c r="AH31"/>
  <c r="AH33"/>
  <c r="AH43"/>
  <c r="AE39" i="11"/>
  <c r="AE81"/>
  <c r="AE60"/>
  <c r="AE68" i="10"/>
  <c r="AE87" s="1"/>
  <c r="AG66"/>
  <c r="AF13" i="4"/>
  <c r="AH10"/>
  <c r="AH12" s="1"/>
  <c r="AI2"/>
  <c r="AB11" i="5"/>
  <c r="AH67" i="10" l="1"/>
  <c r="AH27"/>
  <c r="AG86"/>
  <c r="AG76"/>
  <c r="AG77" s="1"/>
  <c r="AG80"/>
  <c r="AG81" s="1"/>
  <c r="AG73"/>
  <c r="AG74" s="1"/>
  <c r="AI35" i="4"/>
  <c r="AI37"/>
  <c r="AI39"/>
  <c r="AI41"/>
  <c r="AI31"/>
  <c r="AI33"/>
  <c r="AI43"/>
  <c r="AF39" i="11"/>
  <c r="AF60"/>
  <c r="AF68" i="10"/>
  <c r="AF87" s="1"/>
  <c r="AF81" i="11"/>
  <c r="AH66" i="10"/>
  <c r="AG13" i="4"/>
  <c r="AI10"/>
  <c r="AI12" s="1"/>
  <c r="AJ2"/>
  <c r="AC11" i="5"/>
  <c r="AI67" i="10" l="1"/>
  <c r="AI27"/>
  <c r="AH86"/>
  <c r="AH76"/>
  <c r="AH77" s="1"/>
  <c r="AH80"/>
  <c r="AH81" s="1"/>
  <c r="AH73"/>
  <c r="AH74" s="1"/>
  <c r="AJ35" i="4"/>
  <c r="AJ37"/>
  <c r="AJ39"/>
  <c r="AJ41"/>
  <c r="AJ31"/>
  <c r="AJ33"/>
  <c r="AJ43"/>
  <c r="AG39" i="11"/>
  <c r="AG81"/>
  <c r="AG60"/>
  <c r="AG68" i="10"/>
  <c r="AG87" s="1"/>
  <c r="AI66"/>
  <c r="AH13" i="4"/>
  <c r="AJ10"/>
  <c r="AJ12" s="1"/>
  <c r="AK2"/>
  <c r="AD11" i="5"/>
  <c r="AJ67" i="10" l="1"/>
  <c r="AJ27"/>
  <c r="AI86"/>
  <c r="AI76"/>
  <c r="AI77" s="1"/>
  <c r="AI80"/>
  <c r="AI81" s="1"/>
  <c r="AI73"/>
  <c r="AI74" s="1"/>
  <c r="AK35" i="4"/>
  <c r="AK37"/>
  <c r="AK39"/>
  <c r="AK41"/>
  <c r="AK31"/>
  <c r="AK33"/>
  <c r="AK43"/>
  <c r="AH39" i="11"/>
  <c r="AH60"/>
  <c r="AH68" i="10"/>
  <c r="AH87" s="1"/>
  <c r="AH81" i="11"/>
  <c r="AJ66" i="10"/>
  <c r="AI13" i="4"/>
  <c r="AK10"/>
  <c r="AK12" s="1"/>
  <c r="AL2"/>
  <c r="AE11" i="5"/>
  <c r="AK67" i="10" l="1"/>
  <c r="AK27"/>
  <c r="AJ86"/>
  <c r="AJ76"/>
  <c r="AJ77" s="1"/>
  <c r="AJ80"/>
  <c r="AJ81" s="1"/>
  <c r="AJ73"/>
  <c r="AJ74" s="1"/>
  <c r="AL35" i="4"/>
  <c r="AL37"/>
  <c r="AL39"/>
  <c r="AL41"/>
  <c r="AL31"/>
  <c r="AL33"/>
  <c r="AL43"/>
  <c r="AI39" i="11"/>
  <c r="AI81"/>
  <c r="AI60"/>
  <c r="AI68" i="10"/>
  <c r="AI87" s="1"/>
  <c r="AK66"/>
  <c r="AJ13" i="4"/>
  <c r="AL10"/>
  <c r="AL12" s="1"/>
  <c r="AM2"/>
  <c r="AF11" i="5"/>
  <c r="AL67" i="10" l="1"/>
  <c r="AL27"/>
  <c r="AK86"/>
  <c r="AK76"/>
  <c r="AK77" s="1"/>
  <c r="AK80"/>
  <c r="AK81" s="1"/>
  <c r="AK73"/>
  <c r="AK74" s="1"/>
  <c r="AM35" i="4"/>
  <c r="AM37"/>
  <c r="AM39"/>
  <c r="AM41"/>
  <c r="AM31"/>
  <c r="AM33"/>
  <c r="AM43"/>
  <c r="AJ39" i="11"/>
  <c r="AJ60"/>
  <c r="AJ68" i="10"/>
  <c r="AJ87" s="1"/>
  <c r="AJ81" i="11"/>
  <c r="AL66" i="10"/>
  <c r="AK13" i="4"/>
  <c r="AM10"/>
  <c r="AM12" s="1"/>
  <c r="AN2"/>
  <c r="AG11" i="5"/>
  <c r="AM67" i="10" l="1"/>
  <c r="AM27"/>
  <c r="AL86"/>
  <c r="AL76"/>
  <c r="AL77" s="1"/>
  <c r="AL80"/>
  <c r="AL81" s="1"/>
  <c r="AL73"/>
  <c r="AL74" s="1"/>
  <c r="AN35" i="4"/>
  <c r="AN37"/>
  <c r="AN39"/>
  <c r="AN41"/>
  <c r="AN31"/>
  <c r="AN33"/>
  <c r="AN43"/>
  <c r="AK39" i="11"/>
  <c r="AK81"/>
  <c r="AK60"/>
  <c r="AK68" i="10"/>
  <c r="AK87" s="1"/>
  <c r="AM66"/>
  <c r="AL13" i="4"/>
  <c r="AN10"/>
  <c r="AN12" s="1"/>
  <c r="AO2"/>
  <c r="AH11" i="5"/>
  <c r="AN67" i="10" l="1"/>
  <c r="AN27"/>
  <c r="AM86"/>
  <c r="AM76"/>
  <c r="AM77" s="1"/>
  <c r="AM80"/>
  <c r="AM81" s="1"/>
  <c r="AM73"/>
  <c r="AM74" s="1"/>
  <c r="AO35" i="4"/>
  <c r="AO37"/>
  <c r="AO39"/>
  <c r="AO41"/>
  <c r="AO31"/>
  <c r="AO33"/>
  <c r="AO43"/>
  <c r="AL39" i="11"/>
  <c r="AL60"/>
  <c r="AL68" i="10"/>
  <c r="AL87" s="1"/>
  <c r="AL81" i="11"/>
  <c r="AN66" i="10"/>
  <c r="AM13" i="4"/>
  <c r="AO10"/>
  <c r="AO12" s="1"/>
  <c r="AP2"/>
  <c r="AI11" i="5"/>
  <c r="AO67" i="10" l="1"/>
  <c r="AO27"/>
  <c r="AN86"/>
  <c r="AN76"/>
  <c r="AN77" s="1"/>
  <c r="AN80"/>
  <c r="AN81" s="1"/>
  <c r="AN73"/>
  <c r="AN74" s="1"/>
  <c r="AP35" i="4"/>
  <c r="AP37"/>
  <c r="AP39"/>
  <c r="AP41"/>
  <c r="AP31"/>
  <c r="AP33"/>
  <c r="AP43"/>
  <c r="AM39" i="11"/>
  <c r="AM81"/>
  <c r="AM60"/>
  <c r="AM68" i="10"/>
  <c r="AM87" s="1"/>
  <c r="AO66"/>
  <c r="AN13" i="4"/>
  <c r="AP10"/>
  <c r="AP12" s="1"/>
  <c r="AQ2"/>
  <c r="F14" s="1"/>
  <c r="AJ11" i="5"/>
  <c r="AP67" i="10" l="1"/>
  <c r="AP27"/>
  <c r="F26" i="4"/>
  <c r="F28" s="1"/>
  <c r="F16"/>
  <c r="F18" s="1"/>
  <c r="F21"/>
  <c r="F23" s="1"/>
  <c r="F65" i="5"/>
  <c r="F51"/>
  <c r="H59" i="19"/>
  <c r="AO86" i="10"/>
  <c r="AO76"/>
  <c r="AO77" s="1"/>
  <c r="AO80"/>
  <c r="AO81" s="1"/>
  <c r="AO73"/>
  <c r="AO74" s="1"/>
  <c r="AQ35" i="4"/>
  <c r="AQ37"/>
  <c r="AQ39"/>
  <c r="AQ41"/>
  <c r="AQ31"/>
  <c r="AQ33"/>
  <c r="AQ43"/>
  <c r="AN39" i="11"/>
  <c r="AN60"/>
  <c r="AN68" i="10"/>
  <c r="AN87" s="1"/>
  <c r="AN81" i="11"/>
  <c r="AP66" i="10"/>
  <c r="AO13" i="4"/>
  <c r="AQ10"/>
  <c r="AK11" i="5"/>
  <c r="AP86" i="10" l="1"/>
  <c r="AP76"/>
  <c r="AP77" s="1"/>
  <c r="AP80"/>
  <c r="AP81" s="1"/>
  <c r="AP73"/>
  <c r="AP74" s="1"/>
  <c r="AQ12" i="4"/>
  <c r="AQ13"/>
  <c r="AQ39" i="11" s="1"/>
  <c r="AO39"/>
  <c r="AO81"/>
  <c r="AO60"/>
  <c r="AO68" i="10"/>
  <c r="AO87" s="1"/>
  <c r="AQ66"/>
  <c r="AP13" i="4"/>
  <c r="AL11" i="5"/>
  <c r="AQ67" i="10" l="1"/>
  <c r="AQ27"/>
  <c r="H10" i="19" s="1"/>
  <c r="J24" i="4"/>
  <c r="J49" i="11" s="1"/>
  <c r="J47" s="1"/>
  <c r="K29" i="4"/>
  <c r="J29"/>
  <c r="J70" i="11" s="1"/>
  <c r="L29" i="4"/>
  <c r="M29"/>
  <c r="N29"/>
  <c r="O29"/>
  <c r="P29"/>
  <c r="Q29"/>
  <c r="R29"/>
  <c r="S29"/>
  <c r="T29"/>
  <c r="U29"/>
  <c r="V29"/>
  <c r="W29"/>
  <c r="X29"/>
  <c r="Y29"/>
  <c r="Z29"/>
  <c r="AA29"/>
  <c r="AB29"/>
  <c r="AC29"/>
  <c r="AD29"/>
  <c r="AE29"/>
  <c r="AF29"/>
  <c r="AG29"/>
  <c r="AH29"/>
  <c r="AI29"/>
  <c r="AJ29"/>
  <c r="AK29"/>
  <c r="AL29"/>
  <c r="AM29"/>
  <c r="AN29"/>
  <c r="AO29"/>
  <c r="AP29"/>
  <c r="AQ29"/>
  <c r="K24"/>
  <c r="L24"/>
  <c r="M24"/>
  <c r="N24"/>
  <c r="O24"/>
  <c r="P24"/>
  <c r="Q24"/>
  <c r="R24"/>
  <c r="S24"/>
  <c r="T24"/>
  <c r="U24"/>
  <c r="V24"/>
  <c r="W24"/>
  <c r="X24"/>
  <c r="Y24"/>
  <c r="Z24"/>
  <c r="AA24"/>
  <c r="AB24"/>
  <c r="AC24"/>
  <c r="AD24"/>
  <c r="AE24"/>
  <c r="AF24"/>
  <c r="AG24"/>
  <c r="AH24"/>
  <c r="AI24"/>
  <c r="AJ24"/>
  <c r="AK24"/>
  <c r="AL24"/>
  <c r="AM24"/>
  <c r="AN24"/>
  <c r="AO24"/>
  <c r="AP24"/>
  <c r="AQ24"/>
  <c r="K19"/>
  <c r="J19"/>
  <c r="J28" i="11" s="1"/>
  <c r="L19" i="4"/>
  <c r="M19"/>
  <c r="N19"/>
  <c r="O19"/>
  <c r="P19"/>
  <c r="Q19"/>
  <c r="R19"/>
  <c r="S19"/>
  <c r="T19"/>
  <c r="U19"/>
  <c r="V19"/>
  <c r="W19"/>
  <c r="X19"/>
  <c r="Y19"/>
  <c r="Z19"/>
  <c r="AA19"/>
  <c r="AB19"/>
  <c r="AC19"/>
  <c r="AD19"/>
  <c r="AE19"/>
  <c r="AF19"/>
  <c r="AG19"/>
  <c r="AH19"/>
  <c r="AI19"/>
  <c r="AJ19"/>
  <c r="AK19"/>
  <c r="AL19"/>
  <c r="AM19"/>
  <c r="AN19"/>
  <c r="AO19"/>
  <c r="AP19"/>
  <c r="AQ19"/>
  <c r="AQ86" i="10"/>
  <c r="H86" s="1"/>
  <c r="AQ76"/>
  <c r="H76" s="1"/>
  <c r="AQ80"/>
  <c r="AQ73"/>
  <c r="H73" s="1"/>
  <c r="H43" i="19" s="1"/>
  <c r="AP39" i="11"/>
  <c r="AP60"/>
  <c r="AP68" i="10"/>
  <c r="AP87" s="1"/>
  <c r="AP81" i="11"/>
  <c r="AM11" i="5"/>
  <c r="J46" i="11" l="1"/>
  <c r="J26"/>
  <c r="J25"/>
  <c r="J68"/>
  <c r="J67"/>
  <c r="AQ77" i="10"/>
  <c r="AQ74"/>
  <c r="H80"/>
  <c r="H44" i="19" s="1"/>
  <c r="H45" s="1"/>
  <c r="H46" s="1"/>
  <c r="AQ81" i="10"/>
  <c r="AQ81" i="11"/>
  <c r="AQ60"/>
  <c r="AQ68" i="10"/>
  <c r="AQ87" s="1"/>
  <c r="AN11" i="5"/>
  <c r="AO11" l="1"/>
  <c r="AP11" l="1"/>
  <c r="AQ11" l="1"/>
  <c r="H29" i="4" l="1"/>
  <c r="H24"/>
  <c r="H19"/>
  <c r="H77" i="10" l="1"/>
  <c r="H39" i="19" s="1"/>
  <c r="H10" i="4"/>
  <c r="H87" i="10" l="1"/>
  <c r="H40" i="19" s="1"/>
  <c r="H41" s="1"/>
  <c r="H11" i="5" l="1"/>
  <c r="H81" i="10"/>
  <c r="AQ83" l="1"/>
  <c r="K8" i="5" l="1"/>
  <c r="K83" i="10"/>
  <c r="AP83"/>
  <c r="AQ8" i="5"/>
  <c r="J83" i="10"/>
  <c r="J84" l="1"/>
  <c r="K84"/>
  <c r="J8" i="5"/>
  <c r="AO83" i="10"/>
  <c r="AP8" i="5"/>
  <c r="J44" l="1"/>
  <c r="AN83" i="10"/>
  <c r="AO8" i="5"/>
  <c r="J46" l="1"/>
  <c r="J48" s="1"/>
  <c r="J49" s="1"/>
  <c r="J70"/>
  <c r="J86" s="1"/>
  <c r="J13"/>
  <c r="J22" s="1"/>
  <c r="AM83" i="10"/>
  <c r="AN8" i="5"/>
  <c r="J35" l="1"/>
  <c r="J80"/>
  <c r="AL83" i="10"/>
  <c r="AM8" i="5"/>
  <c r="AK83" i="10" l="1"/>
  <c r="AL8" i="5"/>
  <c r="AJ83" i="10" l="1"/>
  <c r="AK8" i="5"/>
  <c r="AI83" i="10" l="1"/>
  <c r="AJ8" i="5"/>
  <c r="AH83" i="10" l="1"/>
  <c r="AI8" i="5"/>
  <c r="AG83" i="10" l="1"/>
  <c r="AH8" i="5"/>
  <c r="AF83" i="10" l="1"/>
  <c r="AG8" i="5"/>
  <c r="AE83" i="10" l="1"/>
  <c r="AF8" i="5"/>
  <c r="AD83" i="10" l="1"/>
  <c r="AE8" i="5"/>
  <c r="AC83" i="10" l="1"/>
  <c r="AD8" i="5"/>
  <c r="AB83" i="10" l="1"/>
  <c r="AC8" i="5"/>
  <c r="AA83" i="10" l="1"/>
  <c r="AB8" i="5"/>
  <c r="Z83" i="10" l="1"/>
  <c r="AA8" i="5"/>
  <c r="Y83" i="10" l="1"/>
  <c r="Z8" i="5"/>
  <c r="X83" i="10" l="1"/>
  <c r="Y8" i="5"/>
  <c r="W83" i="10" l="1"/>
  <c r="X8" i="5"/>
  <c r="V83" i="10" l="1"/>
  <c r="W8" i="5"/>
  <c r="U83" i="10" l="1"/>
  <c r="V8" i="5"/>
  <c r="T83" i="10" l="1"/>
  <c r="U8" i="5"/>
  <c r="S83" i="10" l="1"/>
  <c r="T8" i="5"/>
  <c r="R83" i="10" l="1"/>
  <c r="S8" i="5"/>
  <c r="Q83" i="10" l="1"/>
  <c r="R8" i="5"/>
  <c r="P83" i="10" l="1"/>
  <c r="Q8" i="5"/>
  <c r="O83" i="10" l="1"/>
  <c r="P8" i="5"/>
  <c r="N83" i="10" l="1"/>
  <c r="O8" i="5"/>
  <c r="M83" i="10" l="1"/>
  <c r="N8" i="5"/>
  <c r="M8" l="1"/>
  <c r="L8" l="1"/>
  <c r="H8" s="1"/>
  <c r="L83" i="10"/>
  <c r="H74" l="1"/>
  <c r="AN84"/>
  <c r="AJ84"/>
  <c r="AF84"/>
  <c r="AB84"/>
  <c r="X84"/>
  <c r="T84"/>
  <c r="P84"/>
  <c r="L84"/>
  <c r="AQ84"/>
  <c r="AM84"/>
  <c r="AI84"/>
  <c r="AE84"/>
  <c r="AA84"/>
  <c r="W84"/>
  <c r="S84"/>
  <c r="O84"/>
  <c r="AP84"/>
  <c r="AL84"/>
  <c r="AH84"/>
  <c r="AD84"/>
  <c r="Z84"/>
  <c r="V84"/>
  <c r="R84"/>
  <c r="N84"/>
  <c r="AO84"/>
  <c r="AK84"/>
  <c r="AG84"/>
  <c r="AC84"/>
  <c r="Y84"/>
  <c r="U84"/>
  <c r="Q84"/>
  <c r="M84"/>
  <c r="H23" i="19" l="1"/>
  <c r="AQ2" i="9"/>
  <c r="AQ2" i="11"/>
  <c r="AQ2" i="5"/>
  <c r="AQ2" i="10"/>
  <c r="AO2" i="11"/>
  <c r="AO2" i="9"/>
  <c r="AO2" i="5"/>
  <c r="AM2" i="11"/>
  <c r="AM2" i="9"/>
  <c r="AM2" i="10"/>
  <c r="AN1" s="1"/>
  <c r="AM2" i="5"/>
  <c r="AK2" i="11"/>
  <c r="AK2" i="9"/>
  <c r="AK2" i="5"/>
  <c r="AI2" i="9"/>
  <c r="AI2" i="11"/>
  <c r="AI2" i="10"/>
  <c r="AJ1" s="1"/>
  <c r="AI2" i="5"/>
  <c r="AG2" i="11"/>
  <c r="AG2" i="9"/>
  <c r="AG2" i="10"/>
  <c r="AH1" s="1"/>
  <c r="AE2" i="9"/>
  <c r="AE2" i="11"/>
  <c r="AE2" i="5"/>
  <c r="AE2" i="10"/>
  <c r="AF1" s="1"/>
  <c r="AC2" i="11"/>
  <c r="AC2" i="9"/>
  <c r="AC2" i="5"/>
  <c r="AA2" i="11"/>
  <c r="AA2" i="9"/>
  <c r="AA2" i="10"/>
  <c r="AB1" s="1"/>
  <c r="AA2" i="5"/>
  <c r="Y2" i="9"/>
  <c r="Y2" i="11"/>
  <c r="Y2" i="10"/>
  <c r="Z1" s="1"/>
  <c r="W2" i="9"/>
  <c r="W2" i="11"/>
  <c r="W2" i="5"/>
  <c r="W2" i="10"/>
  <c r="X1" s="1"/>
  <c r="U2" i="11"/>
  <c r="U2" i="9"/>
  <c r="U2" i="10"/>
  <c r="V1" s="1"/>
  <c r="S2" i="9"/>
  <c r="S2" i="11"/>
  <c r="S2" i="10"/>
  <c r="T1" s="1"/>
  <c r="S2" i="5"/>
  <c r="Q2" i="11"/>
  <c r="Q2" i="9"/>
  <c r="Q2" i="5"/>
  <c r="O2" i="11"/>
  <c r="O2" i="9"/>
  <c r="M2" i="11"/>
  <c r="M2" i="9"/>
  <c r="K2" i="11"/>
  <c r="K2" i="9"/>
  <c r="AP2"/>
  <c r="AP2" i="11"/>
  <c r="AP2" i="10"/>
  <c r="AQ1" s="1"/>
  <c r="AN2" i="11"/>
  <c r="AN2" i="9"/>
  <c r="AN2" i="10"/>
  <c r="AO1" s="1"/>
  <c r="AN2" i="5"/>
  <c r="AL2" i="9"/>
  <c r="AL2" i="11"/>
  <c r="AL2" i="5"/>
  <c r="AJ2" i="9"/>
  <c r="AJ2" i="11"/>
  <c r="AJ2" i="5"/>
  <c r="AJ2" i="10"/>
  <c r="AK1" s="1"/>
  <c r="AH2" i="11"/>
  <c r="AH2" i="9"/>
  <c r="AH2" i="5"/>
  <c r="AQ49" i="11"/>
  <c r="AQ47" s="1"/>
  <c r="AO2" i="10"/>
  <c r="AP1" s="1"/>
  <c r="AO49" i="11"/>
  <c r="AO47" s="1"/>
  <c r="AM49"/>
  <c r="AM47" s="1"/>
  <c r="AK2" i="10"/>
  <c r="AL1" s="1"/>
  <c r="AK49" i="11"/>
  <c r="AK47" s="1"/>
  <c r="AI49"/>
  <c r="AI47" s="1"/>
  <c r="AG2" i="5"/>
  <c r="AG49" i="11"/>
  <c r="AG47" s="1"/>
  <c r="AE49"/>
  <c r="AE47" s="1"/>
  <c r="AC2" i="10"/>
  <c r="AD1" s="1"/>
  <c r="AC49" i="11"/>
  <c r="AC47" s="1"/>
  <c r="Y2" i="5"/>
  <c r="U2"/>
  <c r="Q2" i="10"/>
  <c r="R1" s="1"/>
  <c r="Q49" i="11"/>
  <c r="O2" i="5"/>
  <c r="O2" i="10"/>
  <c r="P1" s="1"/>
  <c r="O49" i="11"/>
  <c r="M2" i="5"/>
  <c r="M2" i="10"/>
  <c r="N1" s="1"/>
  <c r="M49" i="11"/>
  <c r="K2" i="10"/>
  <c r="L1" s="1"/>
  <c r="AP2" i="5"/>
  <c r="AP49" i="11"/>
  <c r="AP47" s="1"/>
  <c r="AN49"/>
  <c r="AN47" s="1"/>
  <c r="AL2" i="10"/>
  <c r="AM1" s="1"/>
  <c r="AL49" i="11"/>
  <c r="AL47" s="1"/>
  <c r="AJ49"/>
  <c r="AJ47" s="1"/>
  <c r="AH2" i="10"/>
  <c r="AI1" s="1"/>
  <c r="AH49" i="11"/>
  <c r="AH47" s="1"/>
  <c r="AF2" i="9"/>
  <c r="AF2" i="11"/>
  <c r="AF2" i="5"/>
  <c r="AD2" i="9"/>
  <c r="AD2" i="11"/>
  <c r="AD2" i="10"/>
  <c r="AE1" s="1"/>
  <c r="AD2" i="5"/>
  <c r="AB2" i="9"/>
  <c r="AB2" i="11"/>
  <c r="AB2" i="10"/>
  <c r="AC1" s="1"/>
  <c r="Z2" i="9"/>
  <c r="Z2" i="11"/>
  <c r="Z2" i="10"/>
  <c r="AA1" s="1"/>
  <c r="X2" i="11"/>
  <c r="X2" i="9"/>
  <c r="V2"/>
  <c r="V2" i="11"/>
  <c r="V2" i="10"/>
  <c r="W1" s="1"/>
  <c r="V2" i="5"/>
  <c r="T2" i="11"/>
  <c r="T2" i="9"/>
  <c r="T2" i="5"/>
  <c r="R2" i="11"/>
  <c r="R2" i="9"/>
  <c r="P2"/>
  <c r="P2" i="11"/>
  <c r="N2" i="9"/>
  <c r="N2" i="11"/>
  <c r="L2"/>
  <c r="L2" i="9"/>
  <c r="AF2" i="10"/>
  <c r="AG1" s="1"/>
  <c r="AF49" i="11"/>
  <c r="AF47" s="1"/>
  <c r="AD49"/>
  <c r="AD47" s="1"/>
  <c r="AB2" i="5"/>
  <c r="AB49" i="11"/>
  <c r="AB47" s="1"/>
  <c r="Z2" i="5"/>
  <c r="X2" i="10"/>
  <c r="Y1" s="1"/>
  <c r="X2" i="5"/>
  <c r="T2" i="10"/>
  <c r="U1" s="1"/>
  <c r="R2"/>
  <c r="S1" s="1"/>
  <c r="R2" i="5"/>
  <c r="P2"/>
  <c r="P2" i="10"/>
  <c r="Q1" s="1"/>
  <c r="P49" i="11"/>
  <c r="N2" i="5"/>
  <c r="N2" i="10"/>
  <c r="O1" s="1"/>
  <c r="N49" i="11"/>
  <c r="L2" i="10"/>
  <c r="M1" s="1"/>
  <c r="K55"/>
  <c r="K54"/>
  <c r="K36"/>
  <c r="K37"/>
  <c r="L1" i="4"/>
  <c r="L3" s="1"/>
  <c r="M1"/>
  <c r="M3" s="1"/>
  <c r="N1"/>
  <c r="N3" s="1"/>
  <c r="O1"/>
  <c r="O3" s="1"/>
  <c r="P1"/>
  <c r="P3" s="1"/>
  <c r="Q1"/>
  <c r="Q3" s="1"/>
  <c r="Q37" i="10"/>
  <c r="Q36"/>
  <c r="Q54"/>
  <c r="R1" i="4"/>
  <c r="R3" s="1"/>
  <c r="S1"/>
  <c r="S3" s="1"/>
  <c r="T1"/>
  <c r="T3" s="1"/>
  <c r="U1"/>
  <c r="U3" s="1"/>
  <c r="U37" i="10"/>
  <c r="U36"/>
  <c r="U54"/>
  <c r="V1" i="4"/>
  <c r="V3" s="1"/>
  <c r="W1"/>
  <c r="W3" s="1"/>
  <c r="X1"/>
  <c r="X3" s="1"/>
  <c r="Y1"/>
  <c r="Y3" s="1"/>
  <c r="Z1"/>
  <c r="Z3" s="1"/>
  <c r="AA1"/>
  <c r="AA3" s="1"/>
  <c r="AB1"/>
  <c r="AB3" s="1"/>
  <c r="AC1"/>
  <c r="AC3" s="1"/>
  <c r="AD1"/>
  <c r="AD3" s="1"/>
  <c r="AE1"/>
  <c r="AE3" s="1"/>
  <c r="AF1"/>
  <c r="AF3" s="1"/>
  <c r="AG1"/>
  <c r="AG3" s="1"/>
  <c r="AG55" i="10"/>
  <c r="AG36"/>
  <c r="AG54"/>
  <c r="AH1" i="4"/>
  <c r="AH3" s="1"/>
  <c r="AI1"/>
  <c r="AI3" s="1"/>
  <c r="AJ1"/>
  <c r="AJ3" s="1"/>
  <c r="AK1"/>
  <c r="AK3" s="1"/>
  <c r="W36" i="10"/>
  <c r="X38"/>
  <c r="Y54"/>
  <c r="Y55"/>
  <c r="AA55"/>
  <c r="AA36"/>
  <c r="AA54"/>
  <c r="AC37"/>
  <c r="AC38"/>
  <c r="AC54"/>
  <c r="AE55"/>
  <c r="AE38"/>
  <c r="AE54"/>
  <c r="AL1" i="4"/>
  <c r="AL3" s="1"/>
  <c r="AM1"/>
  <c r="AM3" s="1"/>
  <c r="AN1"/>
  <c r="AN3" s="1"/>
  <c r="AO1"/>
  <c r="AO3" s="1"/>
  <c r="AP1"/>
  <c r="AP3" s="1"/>
  <c r="AQ1"/>
  <c r="AQ3" s="1"/>
  <c r="AH55" i="10"/>
  <c r="AH38"/>
  <c r="AI36"/>
  <c r="V36"/>
  <c r="S36"/>
  <c r="T56"/>
  <c r="T55"/>
  <c r="V56"/>
  <c r="P56"/>
  <c r="R36"/>
  <c r="T38"/>
  <c r="N37"/>
  <c r="Z38"/>
  <c r="AI54"/>
  <c r="AI55"/>
  <c r="V38"/>
  <c r="AF54"/>
  <c r="AF37"/>
  <c r="AK37"/>
  <c r="AK38"/>
  <c r="AK56"/>
  <c r="AP37"/>
  <c r="AP38"/>
  <c r="AP54"/>
  <c r="AH54"/>
  <c r="V55"/>
  <c r="W38"/>
  <c r="X36"/>
  <c r="AB36"/>
  <c r="AB54"/>
  <c r="AF36"/>
  <c r="AK36"/>
  <c r="AM55"/>
  <c r="AM36"/>
  <c r="AP36"/>
  <c r="AQ56"/>
  <c r="AQ37"/>
  <c r="K56"/>
  <c r="K38"/>
  <c r="K28" i="11"/>
  <c r="M37" i="10"/>
  <c r="L56"/>
  <c r="L36"/>
  <c r="L37"/>
  <c r="M55"/>
  <c r="O37"/>
  <c r="O38"/>
  <c r="O56"/>
  <c r="N56"/>
  <c r="Z56"/>
  <c r="Z55"/>
  <c r="O36"/>
  <c r="P37"/>
  <c r="P38"/>
  <c r="R54"/>
  <c r="R55"/>
  <c r="S55"/>
  <c r="S38"/>
  <c r="U38"/>
  <c r="N36"/>
  <c r="N55"/>
  <c r="W56"/>
  <c r="AJ37"/>
  <c r="AJ36"/>
  <c r="AJ54"/>
  <c r="AN37"/>
  <c r="AN55"/>
  <c r="L55"/>
  <c r="L54"/>
  <c r="L38"/>
  <c r="M38"/>
  <c r="O54"/>
  <c r="O55"/>
  <c r="P36"/>
  <c r="Q56"/>
  <c r="Q55"/>
  <c r="R37"/>
  <c r="U56"/>
  <c r="U55"/>
  <c r="M54"/>
  <c r="Z37"/>
  <c r="Z36"/>
  <c r="Z54"/>
  <c r="P54"/>
  <c r="P55"/>
  <c r="R38"/>
  <c r="R56"/>
  <c r="S56"/>
  <c r="S37"/>
  <c r="M36"/>
  <c r="N54"/>
  <c r="N38"/>
  <c r="W54"/>
  <c r="AG56"/>
  <c r="AG37"/>
  <c r="AH36"/>
  <c r="AJ56"/>
  <c r="AJ55"/>
  <c r="W37"/>
  <c r="W55"/>
  <c r="Y37"/>
  <c r="Y38"/>
  <c r="Y56"/>
  <c r="AA56"/>
  <c r="AA37"/>
  <c r="AB37"/>
  <c r="AC56"/>
  <c r="AC55"/>
  <c r="AD36"/>
  <c r="AE56"/>
  <c r="AE37"/>
  <c r="AM38"/>
  <c r="AN36"/>
  <c r="AN38"/>
  <c r="AA38"/>
  <c r="AD56"/>
  <c r="AL37"/>
  <c r="AL36"/>
  <c r="AM54"/>
  <c r="X54"/>
  <c r="AB38"/>
  <c r="AD37"/>
  <c r="AO37"/>
  <c r="AO36"/>
  <c r="AN54"/>
  <c r="AG38"/>
  <c r="AH56"/>
  <c r="AH37"/>
  <c r="V37"/>
  <c r="X56"/>
  <c r="T37"/>
  <c r="T36"/>
  <c r="T54"/>
  <c r="V54"/>
  <c r="Q38"/>
  <c r="S54"/>
  <c r="M56"/>
  <c r="AI37"/>
  <c r="AI38"/>
  <c r="AI56"/>
  <c r="AF55"/>
  <c r="AF38"/>
  <c r="AF56"/>
  <c r="AK54"/>
  <c r="AK55"/>
  <c r="AL38"/>
  <c r="AP56"/>
  <c r="AP55"/>
  <c r="AQ38"/>
  <c r="AJ38"/>
  <c r="X55"/>
  <c r="AB56"/>
  <c r="AB55"/>
  <c r="AD54"/>
  <c r="AL56"/>
  <c r="AM56"/>
  <c r="AM37"/>
  <c r="AQ55"/>
  <c r="AQ36"/>
  <c r="AN56"/>
  <c r="X37"/>
  <c r="Y36"/>
  <c r="AC36"/>
  <c r="AD55"/>
  <c r="AD38"/>
  <c r="AE36"/>
  <c r="AL54"/>
  <c r="AL55"/>
  <c r="AQ54"/>
  <c r="AO38"/>
  <c r="AO54"/>
  <c r="AO55"/>
  <c r="AO56"/>
  <c r="L49" i="11"/>
  <c r="L28"/>
  <c r="N70"/>
  <c r="AC70"/>
  <c r="AC68" s="1"/>
  <c r="Q70"/>
  <c r="O70"/>
  <c r="M70"/>
  <c r="AJ70"/>
  <c r="AJ68" s="1"/>
  <c r="AB70"/>
  <c r="AB68" s="1"/>
  <c r="P70"/>
  <c r="AP70"/>
  <c r="AP68" s="1"/>
  <c r="AO70"/>
  <c r="AO68" s="1"/>
  <c r="AI70"/>
  <c r="AI68" s="1"/>
  <c r="AH70"/>
  <c r="AH68" s="1"/>
  <c r="AD70"/>
  <c r="AD68" s="1"/>
  <c r="AQ70"/>
  <c r="AQ68" s="1"/>
  <c r="AN70"/>
  <c r="AN68" s="1"/>
  <c r="AL70"/>
  <c r="AL68" s="1"/>
  <c r="AK70"/>
  <c r="AK68" s="1"/>
  <c r="AM70"/>
  <c r="AM68" s="1"/>
  <c r="AF70"/>
  <c r="AF68" s="1"/>
  <c r="AG70"/>
  <c r="AG68" s="1"/>
  <c r="AE70"/>
  <c r="AE68" s="1"/>
  <c r="L70"/>
  <c r="L2" i="5"/>
  <c r="AG35" i="10"/>
  <c r="AC35"/>
  <c r="S35"/>
  <c r="AL53"/>
  <c r="AK53"/>
  <c r="AH53"/>
  <c r="U53"/>
  <c r="Z35"/>
  <c r="AJ53"/>
  <c r="Q53"/>
  <c r="P35"/>
  <c r="N35"/>
  <c r="T35"/>
  <c r="M35"/>
  <c r="R35"/>
  <c r="AD35"/>
  <c r="AA35"/>
  <c r="AB35"/>
  <c r="AO35"/>
  <c r="AI35"/>
  <c r="V35"/>
  <c r="AE35"/>
  <c r="AP35"/>
  <c r="M28" i="11"/>
  <c r="AM35" i="10"/>
  <c r="AN35"/>
  <c r="AF35"/>
  <c r="W35"/>
  <c r="X35"/>
  <c r="O35"/>
  <c r="Y53"/>
  <c r="AQ35"/>
  <c r="L53"/>
  <c r="N28" i="11"/>
  <c r="R49"/>
  <c r="R70"/>
  <c r="L14" i="10"/>
  <c r="S49" i="11"/>
  <c r="S70"/>
  <c r="O28"/>
  <c r="N14" i="10"/>
  <c r="M14"/>
  <c r="T49" i="11"/>
  <c r="T70"/>
  <c r="O14" i="10"/>
  <c r="U49" i="11"/>
  <c r="P28"/>
  <c r="P14" i="10"/>
  <c r="U70" i="11"/>
  <c r="V49"/>
  <c r="Q14" i="10"/>
  <c r="W49" i="11"/>
  <c r="V70"/>
  <c r="R14" i="10"/>
  <c r="Q28" i="11"/>
  <c r="S14" i="10"/>
  <c r="W70" i="11"/>
  <c r="X49"/>
  <c r="T14" i="10"/>
  <c r="R28" i="11"/>
  <c r="U14" i="10"/>
  <c r="X70" i="11"/>
  <c r="Y49"/>
  <c r="V14" i="10"/>
  <c r="Y70" i="11"/>
  <c r="Z49"/>
  <c r="S28"/>
  <c r="K49"/>
  <c r="AA49"/>
  <c r="W14" i="10"/>
  <c r="Z70" i="11"/>
  <c r="T28"/>
  <c r="X14" i="10"/>
  <c r="K70" i="11"/>
  <c r="AA70"/>
  <c r="Y14" i="10"/>
  <c r="U28" i="11"/>
  <c r="Z14" i="10"/>
  <c r="AA14"/>
  <c r="AB14"/>
  <c r="V28" i="11"/>
  <c r="AC14" i="10"/>
  <c r="AD14"/>
  <c r="W28" i="11"/>
  <c r="AE14" i="10"/>
  <c r="AF14"/>
  <c r="K2" i="5"/>
  <c r="AG14" i="10"/>
  <c r="X28" i="11"/>
  <c r="AH14" i="10"/>
  <c r="AJ14"/>
  <c r="AI14"/>
  <c r="AK14"/>
  <c r="Y28" i="11"/>
  <c r="AL14" i="10"/>
  <c r="AM14"/>
  <c r="Z28" i="11"/>
  <c r="AN14" i="10"/>
  <c r="AO14"/>
  <c r="AP14"/>
  <c r="AA28" i="11"/>
  <c r="AQ14" i="10"/>
  <c r="AB28" i="11"/>
  <c r="AC28"/>
  <c r="AD28"/>
  <c r="AE28"/>
  <c r="AF28"/>
  <c r="AG28"/>
  <c r="AG26" s="1"/>
  <c r="AH28"/>
  <c r="AH26" s="1"/>
  <c r="AI28"/>
  <c r="AI26" s="1"/>
  <c r="AJ28"/>
  <c r="AJ26" s="1"/>
  <c r="AK28"/>
  <c r="AK26" s="1"/>
  <c r="AL28"/>
  <c r="AL26" s="1"/>
  <c r="AM28"/>
  <c r="AM26" s="1"/>
  <c r="AN28"/>
  <c r="AN26" s="1"/>
  <c r="AO28"/>
  <c r="AO26" s="1"/>
  <c r="AP28"/>
  <c r="AQ28"/>
  <c r="K14" i="10"/>
  <c r="K1" i="4"/>
  <c r="K3" s="1"/>
  <c r="K53" i="10"/>
  <c r="AP3" l="1"/>
  <c r="AP3" i="9"/>
  <c r="AP3" i="5"/>
  <c r="AP3" i="11"/>
  <c r="AN3" i="10"/>
  <c r="AN3" i="9"/>
  <c r="AN3" i="5"/>
  <c r="AN3" i="11"/>
  <c r="AL3" i="10"/>
  <c r="AL3" i="9"/>
  <c r="AL3" i="5"/>
  <c r="AL3" i="11"/>
  <c r="AK3" i="5"/>
  <c r="AK3" i="11"/>
  <c r="AK3" i="10"/>
  <c r="AK3" i="9"/>
  <c r="AI3" i="5"/>
  <c r="AI3" i="11"/>
  <c r="AI3" i="10"/>
  <c r="AI3" i="9"/>
  <c r="AF3" i="10"/>
  <c r="AF3" i="9"/>
  <c r="AF3" i="5"/>
  <c r="AF3" i="11"/>
  <c r="AD3" i="10"/>
  <c r="AD3" i="9"/>
  <c r="AD3" i="5"/>
  <c r="AD3" i="11"/>
  <c r="AB3" i="10"/>
  <c r="AB3" i="9"/>
  <c r="AB3" i="5"/>
  <c r="AB3" i="11"/>
  <c r="Z3" i="10"/>
  <c r="Z3" i="9"/>
  <c r="Z3" i="5"/>
  <c r="Z3" i="11"/>
  <c r="X3" i="10"/>
  <c r="X3" i="9"/>
  <c r="X3" i="5"/>
  <c r="X3" i="11"/>
  <c r="V3" i="10"/>
  <c r="V3" i="9"/>
  <c r="V3" i="5"/>
  <c r="V3" i="11"/>
  <c r="U3" i="5"/>
  <c r="U3" i="11"/>
  <c r="U3" i="10"/>
  <c r="U3" i="9"/>
  <c r="S3" i="5"/>
  <c r="S3" i="11"/>
  <c r="S3" i="10"/>
  <c r="S3" i="9"/>
  <c r="P3" i="10"/>
  <c r="P3" i="9"/>
  <c r="P3" i="5"/>
  <c r="P3" i="11"/>
  <c r="N3" i="10"/>
  <c r="N3" i="9"/>
  <c r="N3" i="5"/>
  <c r="N3" i="11"/>
  <c r="L3" i="10"/>
  <c r="L3" i="9"/>
  <c r="L3" i="5"/>
  <c r="L3" i="11"/>
  <c r="K3" i="5"/>
  <c r="K3" i="11"/>
  <c r="K3" i="10"/>
  <c r="K3" i="9"/>
  <c r="AQ3" i="5"/>
  <c r="AQ3" i="11"/>
  <c r="AQ3" i="10"/>
  <c r="AQ3" i="9"/>
  <c r="AO3" i="5"/>
  <c r="AO3" i="11"/>
  <c r="AO3" i="10"/>
  <c r="AO3" i="9"/>
  <c r="AM3" i="5"/>
  <c r="AM3" i="11"/>
  <c r="AM3" i="10"/>
  <c r="AM3" i="9"/>
  <c r="AJ3" i="10"/>
  <c r="AJ3" i="9"/>
  <c r="AJ3" i="5"/>
  <c r="AJ3" i="11"/>
  <c r="AH3" i="10"/>
  <c r="AH3" i="9"/>
  <c r="AH3" i="5"/>
  <c r="AH3" i="11"/>
  <c r="AG3" i="5"/>
  <c r="AG3" i="11"/>
  <c r="AG3" i="10"/>
  <c r="AG3" i="9"/>
  <c r="AE3" i="5"/>
  <c r="AE3" i="11"/>
  <c r="AE3" i="10"/>
  <c r="AE3" i="9"/>
  <c r="AC3" i="5"/>
  <c r="AC3" i="11"/>
  <c r="AC3" i="10"/>
  <c r="AC3" i="9"/>
  <c r="AA3" i="5"/>
  <c r="AA3" i="11"/>
  <c r="AA3" i="10"/>
  <c r="AA3" i="9"/>
  <c r="Y3" i="5"/>
  <c r="Y3" i="11"/>
  <c r="Y3" i="10"/>
  <c r="Y3" i="9"/>
  <c r="W3" i="5"/>
  <c r="W3" i="11"/>
  <c r="W3" i="10"/>
  <c r="W3" i="9"/>
  <c r="T3" i="10"/>
  <c r="T3" i="9"/>
  <c r="T3" i="5"/>
  <c r="T3" i="11"/>
  <c r="R3" i="10"/>
  <c r="R3" i="9"/>
  <c r="R3" i="5"/>
  <c r="R3" i="11"/>
  <c r="Q3" i="5"/>
  <c r="Q3" i="11"/>
  <c r="Q3" i="10"/>
  <c r="Q3" i="9"/>
  <c r="O3" i="5"/>
  <c r="O3" i="11"/>
  <c r="O3" i="10"/>
  <c r="O3" i="9"/>
  <c r="M3" i="5"/>
  <c r="M3" i="11"/>
  <c r="M3" i="10"/>
  <c r="M3" i="9"/>
  <c r="AQ25" i="11"/>
  <c r="AQ26"/>
  <c r="AP25"/>
  <c r="AP26"/>
  <c r="AQ1" i="9"/>
  <c r="AO1"/>
  <c r="AM1" i="11"/>
  <c r="AJ1"/>
  <c r="AH1"/>
  <c r="AG1"/>
  <c r="AE1" i="9"/>
  <c r="Y1" i="5"/>
  <c r="Q1" i="11"/>
  <c r="O1" i="9"/>
  <c r="M1"/>
  <c r="AN1"/>
  <c r="AI1" i="5"/>
  <c r="AF1" i="11"/>
  <c r="AD1" i="5"/>
  <c r="Z1" i="9"/>
  <c r="V1" i="5"/>
  <c r="U1" i="11"/>
  <c r="S1" i="9"/>
  <c r="N1"/>
  <c r="L1"/>
  <c r="AA71" i="11"/>
  <c r="Z71"/>
  <c r="Y71"/>
  <c r="W71"/>
  <c r="V71"/>
  <c r="U71"/>
  <c r="S71"/>
  <c r="L71"/>
  <c r="AG71"/>
  <c r="AG67"/>
  <c r="AM71"/>
  <c r="AM67"/>
  <c r="AK71"/>
  <c r="AK67"/>
  <c r="AN71"/>
  <c r="AN67"/>
  <c r="AH71"/>
  <c r="AH67"/>
  <c r="AP71"/>
  <c r="AP67"/>
  <c r="P71"/>
  <c r="AJ71"/>
  <c r="AJ67"/>
  <c r="Q71"/>
  <c r="N71"/>
  <c r="K71"/>
  <c r="J71"/>
  <c r="J75" s="1"/>
  <c r="X71"/>
  <c r="T71"/>
  <c r="R71"/>
  <c r="AE71"/>
  <c r="AE67"/>
  <c r="AF71"/>
  <c r="AF67"/>
  <c r="AL71"/>
  <c r="AL67"/>
  <c r="AQ71"/>
  <c r="AQ67"/>
  <c r="AD71"/>
  <c r="AD67"/>
  <c r="AI71"/>
  <c r="AI67"/>
  <c r="AO71"/>
  <c r="AO67"/>
  <c r="AB71"/>
  <c r="AB67"/>
  <c r="M71"/>
  <c r="O71"/>
  <c r="AC71"/>
  <c r="AC67"/>
  <c r="AA50"/>
  <c r="Y50"/>
  <c r="AF46"/>
  <c r="AF50"/>
  <c r="AH46"/>
  <c r="AH50"/>
  <c r="AJ46"/>
  <c r="AJ50"/>
  <c r="AP46"/>
  <c r="AP50"/>
  <c r="AC50"/>
  <c r="AC46"/>
  <c r="AE50"/>
  <c r="AE46"/>
  <c r="AK50"/>
  <c r="AK46"/>
  <c r="AM50"/>
  <c r="AM46"/>
  <c r="K50"/>
  <c r="J50"/>
  <c r="J54" s="1"/>
  <c r="Z50"/>
  <c r="X50"/>
  <c r="W50"/>
  <c r="V50"/>
  <c r="AB46"/>
  <c r="AB50"/>
  <c r="AD46"/>
  <c r="AD50"/>
  <c r="AL46"/>
  <c r="AL50"/>
  <c r="AN46"/>
  <c r="AN50"/>
  <c r="AG50"/>
  <c r="AG46"/>
  <c r="AI50"/>
  <c r="AI46"/>
  <c r="AO50"/>
  <c r="AO46"/>
  <c r="AQ50"/>
  <c r="AQ46"/>
  <c r="T50"/>
  <c r="R50"/>
  <c r="P50"/>
  <c r="M50"/>
  <c r="Q50"/>
  <c r="U50"/>
  <c r="S50"/>
  <c r="L50"/>
  <c r="N50"/>
  <c r="O50"/>
  <c r="AP29"/>
  <c r="AN29"/>
  <c r="AL29"/>
  <c r="AK29"/>
  <c r="AI29"/>
  <c r="AH29"/>
  <c r="AG29"/>
  <c r="AF29"/>
  <c r="AE29"/>
  <c r="AC29"/>
  <c r="AA29"/>
  <c r="L29"/>
  <c r="K29"/>
  <c r="J29"/>
  <c r="Z29"/>
  <c r="X29"/>
  <c r="V29"/>
  <c r="U29"/>
  <c r="S29"/>
  <c r="Q29"/>
  <c r="P29"/>
  <c r="M29"/>
  <c r="AQ29"/>
  <c r="AO29"/>
  <c r="AM29"/>
  <c r="AJ29"/>
  <c r="AD29"/>
  <c r="AB29"/>
  <c r="Y29"/>
  <c r="W29"/>
  <c r="T29"/>
  <c r="R29"/>
  <c r="O29"/>
  <c r="N29"/>
  <c r="K17" i="10"/>
  <c r="K19"/>
  <c r="K18"/>
  <c r="AO19"/>
  <c r="AO17"/>
  <c r="AO18"/>
  <c r="AL18"/>
  <c r="AL17"/>
  <c r="AL19"/>
  <c r="AK19"/>
  <c r="AK18"/>
  <c r="AK17"/>
  <c r="AJ19"/>
  <c r="AJ18"/>
  <c r="AJ17"/>
  <c r="AE17"/>
  <c r="AE19"/>
  <c r="AE18"/>
  <c r="AD18"/>
  <c r="AD17"/>
  <c r="AD19"/>
  <c r="AA17"/>
  <c r="AA19"/>
  <c r="AA18"/>
  <c r="X18"/>
  <c r="X17"/>
  <c r="X19"/>
  <c r="U19"/>
  <c r="U17"/>
  <c r="U18"/>
  <c r="T19"/>
  <c r="T18"/>
  <c r="T17"/>
  <c r="Q19"/>
  <c r="Q18"/>
  <c r="Q17"/>
  <c r="O17"/>
  <c r="O19"/>
  <c r="O18"/>
  <c r="N18"/>
  <c r="N17"/>
  <c r="N19"/>
  <c r="L19"/>
  <c r="L18"/>
  <c r="L17"/>
  <c r="AQ17"/>
  <c r="AQ19"/>
  <c r="AQ18"/>
  <c r="AP18"/>
  <c r="AP17"/>
  <c r="AP19"/>
  <c r="AN18"/>
  <c r="AN17"/>
  <c r="AN19"/>
  <c r="AM17"/>
  <c r="AM19"/>
  <c r="AM18"/>
  <c r="AI17"/>
  <c r="AI19"/>
  <c r="AI18"/>
  <c r="AH18"/>
  <c r="AH17"/>
  <c r="AH19"/>
  <c r="AG19"/>
  <c r="AG17"/>
  <c r="AG18"/>
  <c r="AF18"/>
  <c r="AF17"/>
  <c r="AF19"/>
  <c r="AC19"/>
  <c r="AC17"/>
  <c r="AC18"/>
  <c r="AB19"/>
  <c r="AB18"/>
  <c r="AB17"/>
  <c r="Z18"/>
  <c r="Z17"/>
  <c r="Z19"/>
  <c r="Y19"/>
  <c r="Y18"/>
  <c r="Y17"/>
  <c r="W17"/>
  <c r="W19"/>
  <c r="W18"/>
  <c r="V18"/>
  <c r="V17"/>
  <c r="V19"/>
  <c r="S17"/>
  <c r="S19"/>
  <c r="S18"/>
  <c r="R18"/>
  <c r="R17"/>
  <c r="R19"/>
  <c r="P18"/>
  <c r="P17"/>
  <c r="P19"/>
  <c r="M19"/>
  <c r="M17"/>
  <c r="M18"/>
  <c r="L59"/>
  <c r="AG42"/>
  <c r="L35"/>
  <c r="L43" s="1"/>
  <c r="O53"/>
  <c r="O59" s="1"/>
  <c r="AG53"/>
  <c r="AG61" s="1"/>
  <c r="AH1" i="5"/>
  <c r="AH1" i="9"/>
  <c r="R1"/>
  <c r="R1" i="5"/>
  <c r="K35" i="10"/>
  <c r="K43" s="1"/>
  <c r="AD53"/>
  <c r="AD59" s="1"/>
  <c r="AK35"/>
  <c r="AK41" s="1"/>
  <c r="AN1" i="11"/>
  <c r="AF1" i="5"/>
  <c r="AF1" i="9"/>
  <c r="AB1" i="5"/>
  <c r="AB1" i="9"/>
  <c r="X1" i="5"/>
  <c r="X1" i="11"/>
  <c r="P1" i="9"/>
  <c r="P1" i="5"/>
  <c r="L1" i="11"/>
  <c r="AP1" i="9"/>
  <c r="AP1" i="5"/>
  <c r="AN1"/>
  <c r="AL1" i="9"/>
  <c r="AL1" i="5"/>
  <c r="AJ1"/>
  <c r="AJ1" i="9"/>
  <c r="AD1" i="11"/>
  <c r="AB1"/>
  <c r="Z1"/>
  <c r="X1" i="9"/>
  <c r="V1" i="11"/>
  <c r="T1" i="9"/>
  <c r="T1" i="5"/>
  <c r="R1" i="11"/>
  <c r="P1"/>
  <c r="N1"/>
  <c r="L1" i="5"/>
  <c r="AB53" i="10"/>
  <c r="AB59" s="1"/>
  <c r="M53"/>
  <c r="M59" s="1"/>
  <c r="T53"/>
  <c r="T59" s="1"/>
  <c r="N53"/>
  <c r="N59" s="1"/>
  <c r="AL35"/>
  <c r="AL42" s="1"/>
  <c r="AP1" i="11"/>
  <c r="AL1"/>
  <c r="AD1" i="9"/>
  <c r="Z1" i="5"/>
  <c r="V1" i="9"/>
  <c r="T1" i="11"/>
  <c r="N1" i="5"/>
  <c r="K61" i="10"/>
  <c r="K60"/>
  <c r="K59"/>
  <c r="K1" i="5"/>
  <c r="K1" i="11"/>
  <c r="K1" i="9"/>
  <c r="X43" i="10"/>
  <c r="X42"/>
  <c r="X41"/>
  <c r="AM42"/>
  <c r="AM43"/>
  <c r="AM41"/>
  <c r="AE42"/>
  <c r="AE43"/>
  <c r="AE41"/>
  <c r="AO42"/>
  <c r="AO43"/>
  <c r="AO41"/>
  <c r="AB42"/>
  <c r="AB43"/>
  <c r="AB41"/>
  <c r="R42"/>
  <c r="R43"/>
  <c r="R41"/>
  <c r="M43"/>
  <c r="M42"/>
  <c r="M41"/>
  <c r="T43"/>
  <c r="T42"/>
  <c r="T41"/>
  <c r="N43"/>
  <c r="N42"/>
  <c r="N41"/>
  <c r="AJ61"/>
  <c r="AJ60"/>
  <c r="AJ59"/>
  <c r="Z43"/>
  <c r="Z41"/>
  <c r="Z42"/>
  <c r="AH61"/>
  <c r="AH60"/>
  <c r="AH59"/>
  <c r="AL61"/>
  <c r="AL60"/>
  <c r="AL59"/>
  <c r="L60"/>
  <c r="L61"/>
  <c r="Y60"/>
  <c r="Y61"/>
  <c r="Y59"/>
  <c r="O42"/>
  <c r="O43"/>
  <c r="O41"/>
  <c r="W43"/>
  <c r="W42"/>
  <c r="W41"/>
  <c r="AF42"/>
  <c r="AF43"/>
  <c r="AF41"/>
  <c r="AN42"/>
  <c r="AN43"/>
  <c r="AN41"/>
  <c r="AP42"/>
  <c r="AP43"/>
  <c r="AP41"/>
  <c r="V42"/>
  <c r="V43"/>
  <c r="V41"/>
  <c r="AI42"/>
  <c r="AI43"/>
  <c r="AI41"/>
  <c r="AD42"/>
  <c r="AD43"/>
  <c r="AD41"/>
  <c r="P42"/>
  <c r="P43"/>
  <c r="P41"/>
  <c r="Q61"/>
  <c r="Q60"/>
  <c r="Q59"/>
  <c r="U61"/>
  <c r="U60"/>
  <c r="U59"/>
  <c r="AK61"/>
  <c r="AK60"/>
  <c r="AK59"/>
  <c r="S43"/>
  <c r="S42"/>
  <c r="S41"/>
  <c r="AC42"/>
  <c r="AC41"/>
  <c r="AC43"/>
  <c r="AQ53"/>
  <c r="Y35"/>
  <c r="X53"/>
  <c r="W53"/>
  <c r="AF53"/>
  <c r="AN53"/>
  <c r="AM53"/>
  <c r="AP53"/>
  <c r="AE53"/>
  <c r="V53"/>
  <c r="AI53"/>
  <c r="AO53"/>
  <c r="AA53"/>
  <c r="R53"/>
  <c r="P53"/>
  <c r="Q35"/>
  <c r="AJ35"/>
  <c r="Z53"/>
  <c r="U35"/>
  <c r="AQ42"/>
  <c r="AQ41"/>
  <c r="AQ43"/>
  <c r="AA43"/>
  <c r="AA42"/>
  <c r="AA41"/>
  <c r="M60"/>
  <c r="AH35"/>
  <c r="S53"/>
  <c r="AC53"/>
  <c r="AG43"/>
  <c r="AG41"/>
  <c r="AQ1" i="5"/>
  <c r="AO1"/>
  <c r="AK1" i="9"/>
  <c r="AI1"/>
  <c r="AE1" i="5"/>
  <c r="AC1"/>
  <c r="AA1"/>
  <c r="Y1" i="9"/>
  <c r="W1" i="11"/>
  <c r="S1" i="5"/>
  <c r="O1"/>
  <c r="AQ1" i="11"/>
  <c r="AO1"/>
  <c r="AM1" i="5"/>
  <c r="AM1" i="9"/>
  <c r="AK1" i="5"/>
  <c r="AK1" i="11"/>
  <c r="AI1"/>
  <c r="AG1" i="5"/>
  <c r="AG1" i="9"/>
  <c r="AE1" i="11"/>
  <c r="AC1" i="9"/>
  <c r="AC1" i="11"/>
  <c r="AA1" i="9"/>
  <c r="AA1" i="11"/>
  <c r="Y1"/>
  <c r="W1" i="9"/>
  <c r="W1" i="5"/>
  <c r="U1"/>
  <c r="U1" i="9"/>
  <c r="S1" i="11"/>
  <c r="Q1" i="5"/>
  <c r="Q1" i="9"/>
  <c r="O1" i="11"/>
  <c r="M1"/>
  <c r="M1" i="5"/>
  <c r="AK54" i="11" l="1"/>
  <c r="AC54"/>
  <c r="AC29" i="5" s="1"/>
  <c r="AC75" i="11"/>
  <c r="AC30" i="5" s="1"/>
  <c r="AB75" i="11"/>
  <c r="AB30" i="5" s="1"/>
  <c r="AP75" i="11"/>
  <c r="AP30" i="5" s="1"/>
  <c r="AH75" i="11"/>
  <c r="AH30" i="5" s="1"/>
  <c r="AN75" i="11"/>
  <c r="AN30" i="5" s="1"/>
  <c r="AK75" i="11"/>
  <c r="AK30" i="5" s="1"/>
  <c r="AM75" i="11"/>
  <c r="AM30" i="5" s="1"/>
  <c r="AG75" i="11"/>
  <c r="AG30" i="5" s="1"/>
  <c r="AO75" i="11"/>
  <c r="AO30" i="5" s="1"/>
  <c r="AI75" i="11"/>
  <c r="AI30" i="5" s="1"/>
  <c r="AD75" i="11"/>
  <c r="AD30" i="5" s="1"/>
  <c r="AQ75" i="11"/>
  <c r="AQ30" i="5" s="1"/>
  <c r="AL75" i="11"/>
  <c r="AL30" i="5" s="1"/>
  <c r="AF75" i="11"/>
  <c r="AF30" i="5" s="1"/>
  <c r="AE75" i="11"/>
  <c r="AE30" i="5" s="1"/>
  <c r="AJ75" i="11"/>
  <c r="AJ30" i="5" s="1"/>
  <c r="J30"/>
  <c r="J76" i="11"/>
  <c r="AI54"/>
  <c r="AI29" i="5" s="1"/>
  <c r="AF54" i="11"/>
  <c r="AK29" i="5"/>
  <c r="AN54" i="11"/>
  <c r="AD54"/>
  <c r="AO54"/>
  <c r="AG54"/>
  <c r="AL54"/>
  <c r="AB54"/>
  <c r="AM54"/>
  <c r="AE54"/>
  <c r="AP54"/>
  <c r="AH54"/>
  <c r="J29" i="5"/>
  <c r="J55" i="11"/>
  <c r="AQ54"/>
  <c r="AJ54"/>
  <c r="J33"/>
  <c r="K20" i="10"/>
  <c r="P20"/>
  <c r="P7" i="11" s="1"/>
  <c r="P10" s="1"/>
  <c r="S20" i="10"/>
  <c r="S23" s="1"/>
  <c r="S24" s="1"/>
  <c r="S15" i="5" s="1"/>
  <c r="W20" i="10"/>
  <c r="W7" i="11" s="1"/>
  <c r="W10" s="1"/>
  <c r="Z20" i="10"/>
  <c r="Z23" s="1"/>
  <c r="Z24" s="1"/>
  <c r="Z15" i="5" s="1"/>
  <c r="AC20" i="10"/>
  <c r="AC7" i="11" s="1"/>
  <c r="AC10" s="1"/>
  <c r="AG20" i="10"/>
  <c r="AG23" s="1"/>
  <c r="AG24" s="1"/>
  <c r="AG15" i="5" s="1"/>
  <c r="AI20" i="10"/>
  <c r="AI7" i="11" s="1"/>
  <c r="AI10" s="1"/>
  <c r="AN20" i="10"/>
  <c r="AN23" s="1"/>
  <c r="AN24" s="1"/>
  <c r="AN15" i="5" s="1"/>
  <c r="AQ20" i="10"/>
  <c r="AQ7" i="11" s="1"/>
  <c r="AQ10" s="1"/>
  <c r="N20" i="10"/>
  <c r="N7" i="11" s="1"/>
  <c r="N10" s="1"/>
  <c r="Q20" i="10"/>
  <c r="Q7" i="11" s="1"/>
  <c r="Q10" s="1"/>
  <c r="U20" i="10"/>
  <c r="U7" i="11" s="1"/>
  <c r="U10" s="1"/>
  <c r="AA20" i="10"/>
  <c r="AA7" i="11" s="1"/>
  <c r="AA10" s="1"/>
  <c r="AA19" s="1"/>
  <c r="AE20" i="10"/>
  <c r="AE7" i="11" s="1"/>
  <c r="AE10" s="1"/>
  <c r="AK20" i="10"/>
  <c r="AK7" i="11" s="1"/>
  <c r="AK10" s="1"/>
  <c r="AK18" s="1"/>
  <c r="AO20" i="10"/>
  <c r="AO7" i="11" s="1"/>
  <c r="AO10" s="1"/>
  <c r="M20" i="10"/>
  <c r="M23" s="1"/>
  <c r="M24" s="1"/>
  <c r="M15" i="5" s="1"/>
  <c r="R20" i="10"/>
  <c r="R7" i="11" s="1"/>
  <c r="R10" s="1"/>
  <c r="V20" i="10"/>
  <c r="V23" s="1"/>
  <c r="V24" s="1"/>
  <c r="V15" i="5" s="1"/>
  <c r="V42" s="1"/>
  <c r="Y20" i="10"/>
  <c r="Y7" i="11" s="1"/>
  <c r="Y10" s="1"/>
  <c r="AB20" i="10"/>
  <c r="AB7" i="11" s="1"/>
  <c r="AB10" s="1"/>
  <c r="AB17" s="1"/>
  <c r="AF20" i="10"/>
  <c r="AF7" i="11" s="1"/>
  <c r="AF10" s="1"/>
  <c r="AH20" i="10"/>
  <c r="AH7" i="11" s="1"/>
  <c r="AH10" s="1"/>
  <c r="AH19" s="1"/>
  <c r="AM20" i="10"/>
  <c r="AM7" i="11" s="1"/>
  <c r="AM10" s="1"/>
  <c r="AP20" i="10"/>
  <c r="AP23" s="1"/>
  <c r="AP24" s="1"/>
  <c r="AP15" i="5" s="1"/>
  <c r="L20" i="10"/>
  <c r="L23" s="1"/>
  <c r="L24" s="1"/>
  <c r="L15" i="5" s="1"/>
  <c r="O20" i="10"/>
  <c r="O7" i="11" s="1"/>
  <c r="O10" s="1"/>
  <c r="T20" i="10"/>
  <c r="T23" s="1"/>
  <c r="T24" s="1"/>
  <c r="T15" i="5" s="1"/>
  <c r="T42" s="1"/>
  <c r="X20" i="10"/>
  <c r="X7" i="11" s="1"/>
  <c r="X10" s="1"/>
  <c r="AD20" i="10"/>
  <c r="AD23" s="1"/>
  <c r="AD24" s="1"/>
  <c r="AD15" i="5" s="1"/>
  <c r="AJ20" i="10"/>
  <c r="AJ7" i="11" s="1"/>
  <c r="AJ10" s="1"/>
  <c r="AL20" i="10"/>
  <c r="AL23" s="1"/>
  <c r="AL24" s="1"/>
  <c r="AL15" i="5" s="1"/>
  <c r="M7" i="11"/>
  <c r="M10" s="1"/>
  <c r="M17" s="1"/>
  <c r="S7"/>
  <c r="S10" s="1"/>
  <c r="S19" s="1"/>
  <c r="H17" i="10"/>
  <c r="H18"/>
  <c r="H19"/>
  <c r="AG60"/>
  <c r="N60"/>
  <c r="AD61"/>
  <c r="T61"/>
  <c r="L42"/>
  <c r="AG44"/>
  <c r="AG7" i="5" s="1"/>
  <c r="AK42" i="10"/>
  <c r="AB61"/>
  <c r="O60"/>
  <c r="AL41"/>
  <c r="AL43"/>
  <c r="L41"/>
  <c r="K42"/>
  <c r="T60"/>
  <c r="T62" s="1"/>
  <c r="T10" i="5" s="1"/>
  <c r="AL62" i="10"/>
  <c r="AL10" i="5" s="1"/>
  <c r="AH62" i="10"/>
  <c r="AH10" i="5" s="1"/>
  <c r="Z44" i="10"/>
  <c r="Z7" i="5" s="1"/>
  <c r="AJ62" i="10"/>
  <c r="N44"/>
  <c r="N7" i="5" s="1"/>
  <c r="M44" i="10"/>
  <c r="M7" i="5" s="1"/>
  <c r="AB44" i="10"/>
  <c r="AB7" i="5" s="1"/>
  <c r="K41" i="10"/>
  <c r="AC44"/>
  <c r="AC7" i="5" s="1"/>
  <c r="AG59" i="10"/>
  <c r="AK43"/>
  <c r="N61"/>
  <c r="N62" s="1"/>
  <c r="N10" i="5" s="1"/>
  <c r="M61" i="10"/>
  <c r="M62" s="1"/>
  <c r="AD60"/>
  <c r="AB60"/>
  <c r="O61"/>
  <c r="X44"/>
  <c r="X7" i="5" s="1"/>
  <c r="K62" i="10"/>
  <c r="AA44"/>
  <c r="AA7" i="5" s="1"/>
  <c r="AK62" i="10"/>
  <c r="AK10" i="5" s="1"/>
  <c r="U62" i="10"/>
  <c r="U10" i="5" s="1"/>
  <c r="Q62" i="10"/>
  <c r="Q10" i="5" s="1"/>
  <c r="AD44" i="10"/>
  <c r="AI44"/>
  <c r="AN44"/>
  <c r="AN7" i="5" s="1"/>
  <c r="W44" i="10"/>
  <c r="Y62"/>
  <c r="Y10" i="5" s="1"/>
  <c r="L62" i="10"/>
  <c r="L10" i="5" s="1"/>
  <c r="AC60" i="10"/>
  <c r="AC61"/>
  <c r="AC59"/>
  <c r="U42"/>
  <c r="U43"/>
  <c r="U41"/>
  <c r="Q43"/>
  <c r="Q42"/>
  <c r="Q41"/>
  <c r="P61"/>
  <c r="P60"/>
  <c r="P59"/>
  <c r="AA61"/>
  <c r="AA60"/>
  <c r="AA59"/>
  <c r="AI60"/>
  <c r="AI61"/>
  <c r="AI59"/>
  <c r="V61"/>
  <c r="V60"/>
  <c r="V59"/>
  <c r="AP61"/>
  <c r="AP60"/>
  <c r="AP59"/>
  <c r="AM60"/>
  <c r="AM61"/>
  <c r="AM59"/>
  <c r="X61"/>
  <c r="X60"/>
  <c r="X59"/>
  <c r="AQ60"/>
  <c r="AQ61"/>
  <c r="AQ59"/>
  <c r="S60"/>
  <c r="S61"/>
  <c r="S59"/>
  <c r="AH43"/>
  <c r="AH42"/>
  <c r="AH41"/>
  <c r="Z61"/>
  <c r="Z60"/>
  <c r="Z59"/>
  <c r="AJ43"/>
  <c r="AJ42"/>
  <c r="AJ41"/>
  <c r="R60"/>
  <c r="R61"/>
  <c r="R59"/>
  <c r="AO60"/>
  <c r="AO61"/>
  <c r="AO59"/>
  <c r="AE61"/>
  <c r="AE60"/>
  <c r="AE59"/>
  <c r="AN60"/>
  <c r="AN61"/>
  <c r="AN59"/>
  <c r="AF60"/>
  <c r="AF61"/>
  <c r="AF59"/>
  <c r="W61"/>
  <c r="W60"/>
  <c r="W59"/>
  <c r="Y43"/>
  <c r="Y42"/>
  <c r="Y41"/>
  <c r="AQ44"/>
  <c r="AQ7" i="5" s="1"/>
  <c r="S44" i="10"/>
  <c r="S7" i="5" s="1"/>
  <c r="P44" i="10"/>
  <c r="P7" i="5" s="1"/>
  <c r="V44" i="10"/>
  <c r="V7" i="5" s="1"/>
  <c r="AP44" i="10"/>
  <c r="AP7" i="5" s="1"/>
  <c r="AF44" i="10"/>
  <c r="AF7" i="5" s="1"/>
  <c r="O44" i="10"/>
  <c r="O7" i="5" s="1"/>
  <c r="T44" i="10"/>
  <c r="T7" i="5" s="1"/>
  <c r="R44" i="10"/>
  <c r="R7" i="5" s="1"/>
  <c r="AO44" i="10"/>
  <c r="AO7" i="5" s="1"/>
  <c r="AE44" i="10"/>
  <c r="AE7" i="5" s="1"/>
  <c r="AM44" i="10"/>
  <c r="AM7" i="5" s="1"/>
  <c r="K7" i="11" l="1"/>
  <c r="AQ22" i="10"/>
  <c r="AM22"/>
  <c r="AI22"/>
  <c r="AE22"/>
  <c r="AA22"/>
  <c r="W22"/>
  <c r="S22"/>
  <c r="O22"/>
  <c r="K22"/>
  <c r="AN22"/>
  <c r="AJ22"/>
  <c r="AF22"/>
  <c r="AB22"/>
  <c r="X22"/>
  <c r="T22"/>
  <c r="P22"/>
  <c r="L22"/>
  <c r="AO22"/>
  <c r="AK22"/>
  <c r="AG22"/>
  <c r="AC22"/>
  <c r="Y22"/>
  <c r="U22"/>
  <c r="Q22"/>
  <c r="M22"/>
  <c r="AP22"/>
  <c r="AL22"/>
  <c r="AH22"/>
  <c r="AD22"/>
  <c r="Z22"/>
  <c r="V22"/>
  <c r="R22"/>
  <c r="N22"/>
  <c r="T7" i="11"/>
  <c r="T10" s="1"/>
  <c r="T17" s="1"/>
  <c r="T32" s="1"/>
  <c r="K23" i="10"/>
  <c r="K24" s="1"/>
  <c r="AL7" i="11"/>
  <c r="AL10" s="1"/>
  <c r="AL19" s="1"/>
  <c r="AL20" i="5" s="1"/>
  <c r="AG7" i="11"/>
  <c r="AG10" s="1"/>
  <c r="AG17" s="1"/>
  <c r="AG18" i="5" s="1"/>
  <c r="M19" i="11"/>
  <c r="M74" s="1"/>
  <c r="AA23" i="10"/>
  <c r="AA24" s="1"/>
  <c r="AA15" i="5" s="1"/>
  <c r="AL17" i="11"/>
  <c r="AL18" i="5" s="1"/>
  <c r="AD7" i="11"/>
  <c r="AD10" s="1"/>
  <c r="L7"/>
  <c r="L10" s="1"/>
  <c r="L19" s="1"/>
  <c r="L74" s="1"/>
  <c r="AN7"/>
  <c r="AN10" s="1"/>
  <c r="AN17" s="1"/>
  <c r="AN32" s="1"/>
  <c r="Z7"/>
  <c r="Z10" s="1"/>
  <c r="AB23" i="10"/>
  <c r="AB24" s="1"/>
  <c r="AB15" i="5" s="1"/>
  <c r="AP7" i="11"/>
  <c r="AP10" s="1"/>
  <c r="AH23" i="10"/>
  <c r="AH24" s="1"/>
  <c r="AH15" i="5" s="1"/>
  <c r="AK23" i="10"/>
  <c r="AK24" s="1"/>
  <c r="AK15" i="5" s="1"/>
  <c r="Q23" i="10"/>
  <c r="Q24" s="1"/>
  <c r="Q15" i="5" s="1"/>
  <c r="Q42" s="1"/>
  <c r="V7" i="11"/>
  <c r="V10" s="1"/>
  <c r="V19" s="1"/>
  <c r="Q19"/>
  <c r="Q20" i="5" s="1"/>
  <c r="Q18" i="11"/>
  <c r="Q53" s="1"/>
  <c r="Q17"/>
  <c r="Q18" i="5" s="1"/>
  <c r="AP17" i="11"/>
  <c r="AP32" s="1"/>
  <c r="AG18"/>
  <c r="AG53" s="1"/>
  <c r="T19"/>
  <c r="T74" s="1"/>
  <c r="S18"/>
  <c r="S53" s="1"/>
  <c r="L18"/>
  <c r="L19" i="5" s="1"/>
  <c r="AN18" i="11"/>
  <c r="AN53" s="1"/>
  <c r="AO23" i="10"/>
  <c r="AO24" s="1"/>
  <c r="AO15" i="5" s="1"/>
  <c r="AI23" i="10"/>
  <c r="AI24" s="1"/>
  <c r="AI15" i="5" s="1"/>
  <c r="K52" i="11"/>
  <c r="J61"/>
  <c r="K73"/>
  <c r="J82"/>
  <c r="X23" i="10"/>
  <c r="X24" s="1"/>
  <c r="X15" i="5" s="1"/>
  <c r="U23" i="10"/>
  <c r="U24" s="1"/>
  <c r="U15" i="5" s="1"/>
  <c r="U42" s="1"/>
  <c r="W23" i="10"/>
  <c r="W24" s="1"/>
  <c r="W15" i="5" s="1"/>
  <c r="AA17" i="11"/>
  <c r="AA32" s="1"/>
  <c r="AK17"/>
  <c r="AK32" s="1"/>
  <c r="AD19"/>
  <c r="AD74" s="1"/>
  <c r="AK19"/>
  <c r="AK74" s="1"/>
  <c r="AH17"/>
  <c r="AH18" i="5" s="1"/>
  <c r="T18" i="11"/>
  <c r="T53" s="1"/>
  <c r="S17"/>
  <c r="S18" i="5" s="1"/>
  <c r="M18" i="11"/>
  <c r="M53" s="1"/>
  <c r="AQ29" i="5"/>
  <c r="AH29"/>
  <c r="AE29"/>
  <c r="AL29"/>
  <c r="AG29"/>
  <c r="AN29"/>
  <c r="AJ29"/>
  <c r="AP29"/>
  <c r="AM29"/>
  <c r="AB29"/>
  <c r="AO29"/>
  <c r="AD29"/>
  <c r="AF29"/>
  <c r="AA18" i="11"/>
  <c r="AA19" i="5" s="1"/>
  <c r="AH18" i="11"/>
  <c r="AH19" i="5" s="1"/>
  <c r="AB19" i="11"/>
  <c r="AB74" s="1"/>
  <c r="AM23" i="10"/>
  <c r="AM24" s="1"/>
  <c r="AM15" i="5" s="1"/>
  <c r="AE23" i="10"/>
  <c r="AE24" s="1"/>
  <c r="AE15" i="5" s="1"/>
  <c r="N23" i="10"/>
  <c r="N24" s="1"/>
  <c r="N15" i="5" s="1"/>
  <c r="N42" s="1"/>
  <c r="AQ23" i="10"/>
  <c r="AQ24" s="1"/>
  <c r="AQ15" i="5" s="1"/>
  <c r="AC23" i="10"/>
  <c r="AC24" s="1"/>
  <c r="AC15" i="5" s="1"/>
  <c r="P23" i="10"/>
  <c r="P24" s="1"/>
  <c r="P15" i="5" s="1"/>
  <c r="P42" s="1"/>
  <c r="AF23" i="10"/>
  <c r="AF24" s="1"/>
  <c r="AF15" i="5" s="1"/>
  <c r="AO18" i="11"/>
  <c r="AO53" s="1"/>
  <c r="AO17"/>
  <c r="AO32" s="1"/>
  <c r="AO19"/>
  <c r="AO74" s="1"/>
  <c r="AE17"/>
  <c r="AE32" s="1"/>
  <c r="AE18"/>
  <c r="AE53" s="1"/>
  <c r="AE19"/>
  <c r="AE20" i="5" s="1"/>
  <c r="U17" i="11"/>
  <c r="U18" i="5" s="1"/>
  <c r="U18" i="11"/>
  <c r="U53" s="1"/>
  <c r="U19"/>
  <c r="U74" s="1"/>
  <c r="N17"/>
  <c r="N18" i="5" s="1"/>
  <c r="N19" i="11"/>
  <c r="N20" i="5" s="1"/>
  <c r="N18" i="11"/>
  <c r="N19" i="5" s="1"/>
  <c r="AQ17" i="11"/>
  <c r="AQ32" s="1"/>
  <c r="AQ18"/>
  <c r="AQ19" i="5" s="1"/>
  <c r="AQ19" i="11"/>
  <c r="AQ20" i="5" s="1"/>
  <c r="AI18" i="11"/>
  <c r="AI19" i="5" s="1"/>
  <c r="AI19" i="11"/>
  <c r="AI20" i="5" s="1"/>
  <c r="AI17" i="11"/>
  <c r="AI32" s="1"/>
  <c r="W17"/>
  <c r="W32" s="1"/>
  <c r="W19"/>
  <c r="W20" i="5" s="1"/>
  <c r="W18" i="11"/>
  <c r="W19" i="5" s="1"/>
  <c r="P19" i="11"/>
  <c r="P74" s="1"/>
  <c r="P18"/>
  <c r="P19" i="5" s="1"/>
  <c r="P17" i="11"/>
  <c r="P18" i="5" s="1"/>
  <c r="H20" i="10"/>
  <c r="AL18" i="11"/>
  <c r="AL19" i="5" s="1"/>
  <c r="AB18" i="11"/>
  <c r="AB53" s="1"/>
  <c r="AJ23" i="10"/>
  <c r="AJ24" s="1"/>
  <c r="AJ15" i="5" s="1"/>
  <c r="O23" i="10"/>
  <c r="O24" s="1"/>
  <c r="O15" i="5" s="1"/>
  <c r="O42" s="1"/>
  <c r="R23" i="10"/>
  <c r="R24" s="1"/>
  <c r="R15" i="5" s="1"/>
  <c r="R56" s="1"/>
  <c r="Y23" i="10"/>
  <c r="Y24" s="1"/>
  <c r="Y15" i="5" s="1"/>
  <c r="AJ18" i="11"/>
  <c r="AJ53" s="1"/>
  <c r="AJ19"/>
  <c r="AJ20" i="5" s="1"/>
  <c r="AJ17" i="11"/>
  <c r="AJ32" s="1"/>
  <c r="X17"/>
  <c r="X18" i="5" s="1"/>
  <c r="X19" i="11"/>
  <c r="X74" s="1"/>
  <c r="X18"/>
  <c r="X19" i="5" s="1"/>
  <c r="O17" i="11"/>
  <c r="O18" i="5" s="1"/>
  <c r="O19" i="11"/>
  <c r="O20" i="5" s="1"/>
  <c r="O18" i="11"/>
  <c r="O53" s="1"/>
  <c r="AM19"/>
  <c r="AM74" s="1"/>
  <c r="AM17"/>
  <c r="AM18" i="5" s="1"/>
  <c r="AM18" i="11"/>
  <c r="AM19" i="5" s="1"/>
  <c r="AF18" i="11"/>
  <c r="AF19" i="5" s="1"/>
  <c r="AF17" i="11"/>
  <c r="AF18" i="5" s="1"/>
  <c r="AF19" i="11"/>
  <c r="AF20" i="5" s="1"/>
  <c r="Y19" i="11"/>
  <c r="Y20" i="5" s="1"/>
  <c r="Y18" i="11"/>
  <c r="Y53" s="1"/>
  <c r="Y17"/>
  <c r="Y18" i="5" s="1"/>
  <c r="R17" i="11"/>
  <c r="R18" i="5" s="1"/>
  <c r="R19" i="11"/>
  <c r="R74" s="1"/>
  <c r="R18"/>
  <c r="R53" s="1"/>
  <c r="AC19"/>
  <c r="AC18"/>
  <c r="AC17"/>
  <c r="L44" i="10"/>
  <c r="L7" i="5" s="1"/>
  <c r="AG62" i="10"/>
  <c r="AG10" i="5" s="1"/>
  <c r="H43" i="10"/>
  <c r="H59"/>
  <c r="H60"/>
  <c r="H41"/>
  <c r="H20" i="19" s="1"/>
  <c r="E20" s="1"/>
  <c r="K10" i="5"/>
  <c r="H42" i="10"/>
  <c r="H61"/>
  <c r="K10" i="11"/>
  <c r="O62" i="10"/>
  <c r="O10" i="5" s="1"/>
  <c r="AD62" i="10"/>
  <c r="AL44"/>
  <c r="AL7" i="5" s="1"/>
  <c r="AD10"/>
  <c r="AJ10"/>
  <c r="M10"/>
  <c r="AB62" i="10"/>
  <c r="AK44"/>
  <c r="AK7" i="5" s="1"/>
  <c r="K44" i="10"/>
  <c r="K7" i="5" s="1"/>
  <c r="W7"/>
  <c r="AI7"/>
  <c r="AD7"/>
  <c r="AQ62" i="10"/>
  <c r="AQ10" i="5" s="1"/>
  <c r="AM62" i="10"/>
  <c r="AM10" i="5" s="1"/>
  <c r="Y44" i="10"/>
  <c r="Y7" i="5" s="1"/>
  <c r="AF62" i="10"/>
  <c r="AF10" i="5" s="1"/>
  <c r="AO62" i="10"/>
  <c r="R62"/>
  <c r="R10" i="5" s="1"/>
  <c r="AJ44" i="10"/>
  <c r="AJ7" i="5" s="1"/>
  <c r="AI62" i="10"/>
  <c r="AI10" i="5" s="1"/>
  <c r="Q44" i="10"/>
  <c r="Q7" i="5" s="1"/>
  <c r="U44" i="10"/>
  <c r="U7" i="5" s="1"/>
  <c r="AH44" i="10"/>
  <c r="AH7" i="5" s="1"/>
  <c r="T18"/>
  <c r="AA53" i="11"/>
  <c r="AA74"/>
  <c r="AA20" i="5"/>
  <c r="S42"/>
  <c r="S56"/>
  <c r="M42"/>
  <c r="M56"/>
  <c r="L56"/>
  <c r="L42"/>
  <c r="AH74" i="11"/>
  <c r="AH20" i="5"/>
  <c r="M32" i="11"/>
  <c r="M18" i="5"/>
  <c r="W62" i="10"/>
  <c r="W10" i="5" s="1"/>
  <c r="AN62" i="10"/>
  <c r="AN10" i="5" s="1"/>
  <c r="AE62" i="10"/>
  <c r="AE10" i="5" s="1"/>
  <c r="Z62" i="10"/>
  <c r="Z10" i="5" s="1"/>
  <c r="S62" i="10"/>
  <c r="S10" i="5" s="1"/>
  <c r="X62" i="10"/>
  <c r="X10" i="5" s="1"/>
  <c r="AP62" i="10"/>
  <c r="AP10" i="5" s="1"/>
  <c r="V62" i="10"/>
  <c r="V10" i="5" s="1"/>
  <c r="AA62" i="10"/>
  <c r="AA10" i="5" s="1"/>
  <c r="P62" i="10"/>
  <c r="P10" i="5" s="1"/>
  <c r="AC62" i="10"/>
  <c r="AC10" i="5" s="1"/>
  <c r="AK19"/>
  <c r="AK53" i="11"/>
  <c r="AB32"/>
  <c r="AB18" i="5"/>
  <c r="S32" i="11"/>
  <c r="S20" i="5"/>
  <c r="S74" i="11"/>
  <c r="Q19" i="5"/>
  <c r="AN19" l="1"/>
  <c r="S19"/>
  <c r="AN18"/>
  <c r="AG32" i="11"/>
  <c r="Q32"/>
  <c r="AA18" i="5"/>
  <c r="AQ18"/>
  <c r="Q74" i="11"/>
  <c r="Q56" i="5"/>
  <c r="AG19"/>
  <c r="AG19" i="11"/>
  <c r="AG74" s="1"/>
  <c r="M20" i="5"/>
  <c r="AJ19"/>
  <c r="AL74" i="11"/>
  <c r="L20" i="5"/>
  <c r="L53" i="11"/>
  <c r="AK20" i="5"/>
  <c r="T20"/>
  <c r="N74" i="11"/>
  <c r="P53"/>
  <c r="P56" i="5"/>
  <c r="AO20"/>
  <c r="AJ18"/>
  <c r="AP18"/>
  <c r="AL32" i="11"/>
  <c r="AF74"/>
  <c r="O19" i="5"/>
  <c r="T19"/>
  <c r="AL53" i="11"/>
  <c r="AD20" i="5"/>
  <c r="AQ53" i="11"/>
  <c r="AN19"/>
  <c r="AN20" i="5" s="1"/>
  <c r="Z17" i="11"/>
  <c r="Z18"/>
  <c r="AD18"/>
  <c r="AD17"/>
  <c r="M19" i="5"/>
  <c r="O56"/>
  <c r="U20"/>
  <c r="H7" i="11"/>
  <c r="L17"/>
  <c r="Z19"/>
  <c r="AP18"/>
  <c r="AP19"/>
  <c r="V20" i="5"/>
  <c r="V74" i="11"/>
  <c r="AM32"/>
  <c r="K13" i="5"/>
  <c r="V18" i="11"/>
  <c r="V17"/>
  <c r="H21" i="19"/>
  <c r="E21" s="1"/>
  <c r="H22"/>
  <c r="E22" s="1"/>
  <c r="R19" i="5"/>
  <c r="X20"/>
  <c r="AH53" i="11"/>
  <c r="AI53"/>
  <c r="AF53"/>
  <c r="AI18" i="5"/>
  <c r="W74" i="11"/>
  <c r="AE19" i="5"/>
  <c r="P20"/>
  <c r="AO19"/>
  <c r="H10" i="11"/>
  <c r="R32"/>
  <c r="P32"/>
  <c r="U32"/>
  <c r="O32"/>
  <c r="N32"/>
  <c r="AH32"/>
  <c r="AG20" i="5"/>
  <c r="AB20"/>
  <c r="AK18"/>
  <c r="N56"/>
  <c r="X53" i="11"/>
  <c r="AI74"/>
  <c r="Y74"/>
  <c r="AM20" i="5"/>
  <c r="R20"/>
  <c r="R42"/>
  <c r="W53" i="11"/>
  <c r="AM53"/>
  <c r="AB19" i="5"/>
  <c r="U19"/>
  <c r="AE74" i="11"/>
  <c r="AO18" i="5"/>
  <c r="N53" i="11"/>
  <c r="X32"/>
  <c r="AF32"/>
  <c r="AJ74"/>
  <c r="O74"/>
  <c r="Y32"/>
  <c r="AE18" i="5"/>
  <c r="AQ74" i="11"/>
  <c r="Y19" i="5"/>
  <c r="W18"/>
  <c r="K18" i="11"/>
  <c r="H23" i="10"/>
  <c r="AC18" i="5"/>
  <c r="AC32" i="11"/>
  <c r="AC20" i="5"/>
  <c r="AC74" i="11"/>
  <c r="AC53"/>
  <c r="AC19" i="5"/>
  <c r="K17" i="11"/>
  <c r="K32" s="1"/>
  <c r="K19"/>
  <c r="H62" i="10"/>
  <c r="AB10" i="5"/>
  <c r="AO10"/>
  <c r="H44" i="10"/>
  <c r="K72" i="5"/>
  <c r="K89" s="1"/>
  <c r="L72"/>
  <c r="L89" s="1"/>
  <c r="H24" i="10"/>
  <c r="K15" i="5"/>
  <c r="H19" i="11" l="1"/>
  <c r="F64" s="1"/>
  <c r="F68" s="1"/>
  <c r="V68" s="1"/>
  <c r="AN74"/>
  <c r="H18"/>
  <c r="F43" s="1"/>
  <c r="F47" s="1"/>
  <c r="T47" s="1"/>
  <c r="L18" i="5"/>
  <c r="L32" i="11"/>
  <c r="AD53"/>
  <c r="AD19" i="5"/>
  <c r="Z18"/>
  <c r="Z32" i="11"/>
  <c r="Z20" i="5"/>
  <c r="Z74" i="11"/>
  <c r="AD18" i="5"/>
  <c r="AD32" i="11"/>
  <c r="Z19" i="5"/>
  <c r="Z53" i="11"/>
  <c r="AP53"/>
  <c r="AP19" i="5"/>
  <c r="AP20"/>
  <c r="AP74" i="11"/>
  <c r="Z47"/>
  <c r="X47"/>
  <c r="AA47"/>
  <c r="Y47"/>
  <c r="W47"/>
  <c r="V19" i="5"/>
  <c r="V53" i="11"/>
  <c r="K68"/>
  <c r="Z68"/>
  <c r="Y68"/>
  <c r="W68"/>
  <c r="AA68"/>
  <c r="X68"/>
  <c r="V18" i="5"/>
  <c r="V32" i="11"/>
  <c r="T68"/>
  <c r="L47"/>
  <c r="R68"/>
  <c r="L68"/>
  <c r="Q68"/>
  <c r="M68"/>
  <c r="H17"/>
  <c r="F22" s="1"/>
  <c r="F26" s="1"/>
  <c r="J58"/>
  <c r="J25" i="5" s="1"/>
  <c r="K53" i="11"/>
  <c r="K57" s="1"/>
  <c r="K19" i="5"/>
  <c r="K20"/>
  <c r="K18"/>
  <c r="K74" i="11"/>
  <c r="K78" s="1"/>
  <c r="H15" i="5"/>
  <c r="H12" i="19" s="1"/>
  <c r="H14" s="1"/>
  <c r="K42" i="5"/>
  <c r="H42" s="1"/>
  <c r="K56"/>
  <c r="K70"/>
  <c r="K86" s="1"/>
  <c r="K44"/>
  <c r="O68" i="11" l="1"/>
  <c r="S68"/>
  <c r="N68"/>
  <c r="P68"/>
  <c r="H32"/>
  <c r="U47"/>
  <c r="N47"/>
  <c r="U68"/>
  <c r="M47"/>
  <c r="V47"/>
  <c r="K47"/>
  <c r="Q47"/>
  <c r="R47"/>
  <c r="O47"/>
  <c r="S47"/>
  <c r="P47"/>
  <c r="K67"/>
  <c r="K75" s="1"/>
  <c r="K30" i="5" s="1"/>
  <c r="H20"/>
  <c r="K26" i="11"/>
  <c r="AD26"/>
  <c r="AA26"/>
  <c r="AE26"/>
  <c r="AF26"/>
  <c r="AB26"/>
  <c r="AC26"/>
  <c r="K46"/>
  <c r="H18" i="5"/>
  <c r="H19"/>
  <c r="Z26" i="11"/>
  <c r="X26"/>
  <c r="V26"/>
  <c r="T26"/>
  <c r="R26"/>
  <c r="P26"/>
  <c r="N26"/>
  <c r="L26"/>
  <c r="Y26"/>
  <c r="W26"/>
  <c r="U26"/>
  <c r="S26"/>
  <c r="Q26"/>
  <c r="O26"/>
  <c r="M26"/>
  <c r="H74"/>
  <c r="K79"/>
  <c r="H53"/>
  <c r="K58"/>
  <c r="K46" i="5"/>
  <c r="K48" s="1"/>
  <c r="K54" i="11" l="1"/>
  <c r="K29" i="5" s="1"/>
  <c r="K76" i="11"/>
  <c r="L73" s="1"/>
  <c r="L78" s="1"/>
  <c r="K49" i="5"/>
  <c r="K26"/>
  <c r="K25"/>
  <c r="L70"/>
  <c r="L86" s="1"/>
  <c r="L44"/>
  <c r="M72"/>
  <c r="M89" s="1"/>
  <c r="K55" i="11" l="1"/>
  <c r="K82"/>
  <c r="L67"/>
  <c r="L75" s="1"/>
  <c r="L30" i="5" s="1"/>
  <c r="L79" i="11"/>
  <c r="L26" i="5" s="1"/>
  <c r="L46" i="11"/>
  <c r="L54" s="1"/>
  <c r="L46" i="5"/>
  <c r="L48" s="1"/>
  <c r="K61" i="11" l="1"/>
  <c r="L52"/>
  <c r="L57" s="1"/>
  <c r="L58" s="1"/>
  <c r="L25" i="5" s="1"/>
  <c r="L76" i="11"/>
  <c r="M73" s="1"/>
  <c r="M78" s="1"/>
  <c r="L29" i="5"/>
  <c r="L49"/>
  <c r="O72"/>
  <c r="O89" s="1"/>
  <c r="N72"/>
  <c r="N89" s="1"/>
  <c r="M44"/>
  <c r="M70"/>
  <c r="M86" s="1"/>
  <c r="L55" i="11" l="1"/>
  <c r="L61" s="1"/>
  <c r="L82"/>
  <c r="M67"/>
  <c r="M75" s="1"/>
  <c r="M30" i="5" s="1"/>
  <c r="M79" i="11"/>
  <c r="M26" i="5" s="1"/>
  <c r="M52" i="11"/>
  <c r="M57" s="1"/>
  <c r="J28" i="5"/>
  <c r="J58" s="1"/>
  <c r="J34" i="11"/>
  <c r="N70" i="5"/>
  <c r="N86" s="1"/>
  <c r="N44"/>
  <c r="N46" s="1"/>
  <c r="N48" s="1"/>
  <c r="K22"/>
  <c r="K80" s="1"/>
  <c r="M46"/>
  <c r="M48" s="1"/>
  <c r="L13"/>
  <c r="L22" s="1"/>
  <c r="L80" s="1"/>
  <c r="M76" i="11" l="1"/>
  <c r="N73" s="1"/>
  <c r="M58"/>
  <c r="M25" i="5" s="1"/>
  <c r="M46" i="11"/>
  <c r="M54" s="1"/>
  <c r="K31"/>
  <c r="K36" s="1"/>
  <c r="J40"/>
  <c r="M49" i="5"/>
  <c r="N49"/>
  <c r="J37"/>
  <c r="J60"/>
  <c r="J62" s="1"/>
  <c r="J32"/>
  <c r="P72"/>
  <c r="P89" s="1"/>
  <c r="Q72"/>
  <c r="K35"/>
  <c r="L35"/>
  <c r="M82" i="11" l="1"/>
  <c r="N78"/>
  <c r="N79" s="1"/>
  <c r="N26" i="5" s="1"/>
  <c r="N67" i="11"/>
  <c r="N75" s="1"/>
  <c r="N30" i="5" s="1"/>
  <c r="Q89"/>
  <c r="K37" i="11"/>
  <c r="K24" i="5" s="1"/>
  <c r="K25" i="11"/>
  <c r="K33" s="1"/>
  <c r="M55"/>
  <c r="M29" i="5"/>
  <c r="J74"/>
  <c r="J39"/>
  <c r="J83"/>
  <c r="J63"/>
  <c r="O70"/>
  <c r="O86" s="1"/>
  <c r="O44"/>
  <c r="M13"/>
  <c r="N76" i="11" l="1"/>
  <c r="O73" s="1"/>
  <c r="N52"/>
  <c r="N57" s="1"/>
  <c r="M61"/>
  <c r="R72" i="5"/>
  <c r="R89" s="1"/>
  <c r="O46"/>
  <c r="O48" s="1"/>
  <c r="M22"/>
  <c r="M80" s="1"/>
  <c r="N82" i="11" l="1"/>
  <c r="O78"/>
  <c r="O79" s="1"/>
  <c r="O26" i="5" s="1"/>
  <c r="O67" i="11"/>
  <c r="O75" s="1"/>
  <c r="O30" i="5" s="1"/>
  <c r="N58" i="11"/>
  <c r="N25" i="5" s="1"/>
  <c r="N46" i="11"/>
  <c r="N54" s="1"/>
  <c r="O49" i="5"/>
  <c r="K34" i="11"/>
  <c r="K28" i="5"/>
  <c r="M35"/>
  <c r="N13"/>
  <c r="P70"/>
  <c r="P86" s="1"/>
  <c r="P44"/>
  <c r="O76" i="11" l="1"/>
  <c r="P73" s="1"/>
  <c r="N55"/>
  <c r="N29" i="5"/>
  <c r="L31" i="11"/>
  <c r="K40"/>
  <c r="K37" i="5"/>
  <c r="K32"/>
  <c r="K58"/>
  <c r="S72"/>
  <c r="S89" s="1"/>
  <c r="Q44"/>
  <c r="Q46" s="1"/>
  <c r="Q48" s="1"/>
  <c r="Q70"/>
  <c r="Q86" s="1"/>
  <c r="P46"/>
  <c r="P48" s="1"/>
  <c r="P49" s="1"/>
  <c r="N22"/>
  <c r="N80" s="1"/>
  <c r="O82" i="11" l="1"/>
  <c r="P78"/>
  <c r="P79" s="1"/>
  <c r="P26" i="5" s="1"/>
  <c r="P67" i="11"/>
  <c r="P75" s="1"/>
  <c r="P30" i="5" s="1"/>
  <c r="L25" i="11"/>
  <c r="L33" s="1"/>
  <c r="L36"/>
  <c r="L37" s="1"/>
  <c r="O52"/>
  <c r="O57" s="1"/>
  <c r="N61"/>
  <c r="K74" i="5"/>
  <c r="K39"/>
  <c r="K83"/>
  <c r="Q49"/>
  <c r="K60"/>
  <c r="K62" s="1"/>
  <c r="N35"/>
  <c r="O13"/>
  <c r="P13"/>
  <c r="P22" s="1"/>
  <c r="P80" s="1"/>
  <c r="T72"/>
  <c r="T89" s="1"/>
  <c r="P76" i="11" l="1"/>
  <c r="Q73" s="1"/>
  <c r="Q78" s="1"/>
  <c r="O46"/>
  <c r="O54" s="1"/>
  <c r="O29" i="5" s="1"/>
  <c r="O58" i="11"/>
  <c r="O25" i="5" s="1"/>
  <c r="K63"/>
  <c r="L24"/>
  <c r="O22"/>
  <c r="O80" s="1"/>
  <c r="R70"/>
  <c r="R86" s="1"/>
  <c r="R44"/>
  <c r="R46" s="1"/>
  <c r="R48" s="1"/>
  <c r="R49" s="1"/>
  <c r="P82" i="11" l="1"/>
  <c r="Q67"/>
  <c r="Q75" s="1"/>
  <c r="Q30" i="5" s="1"/>
  <c r="Q79" i="11"/>
  <c r="Q26" i="5" s="1"/>
  <c r="O55" i="11"/>
  <c r="P52" s="1"/>
  <c r="P57" s="1"/>
  <c r="Q13" i="5"/>
  <c r="Q22" s="1"/>
  <c r="U72"/>
  <c r="U89" s="1"/>
  <c r="P35"/>
  <c r="O35"/>
  <c r="S44"/>
  <c r="S46" s="1"/>
  <c r="S48" s="1"/>
  <c r="S49" s="1"/>
  <c r="S70"/>
  <c r="S86" s="1"/>
  <c r="Q76" i="11" l="1"/>
  <c r="Q82" s="1"/>
  <c r="O61"/>
  <c r="R73"/>
  <c r="R78" s="1"/>
  <c r="P58"/>
  <c r="P25" i="5" s="1"/>
  <c r="P46" i="11"/>
  <c r="P54" s="1"/>
  <c r="P29" i="5" s="1"/>
  <c r="Q35"/>
  <c r="Q80"/>
  <c r="L28"/>
  <c r="L34" i="11"/>
  <c r="R13" i="5"/>
  <c r="R22" s="1"/>
  <c r="R80" s="1"/>
  <c r="R67" i="11" l="1"/>
  <c r="R75" s="1"/>
  <c r="R30" i="5" s="1"/>
  <c r="R79" i="11"/>
  <c r="R26" i="5" s="1"/>
  <c r="P55" i="11"/>
  <c r="M31"/>
  <c r="L40"/>
  <c r="L58" i="5"/>
  <c r="L32"/>
  <c r="L37"/>
  <c r="S13"/>
  <c r="S22" s="1"/>
  <c r="S80" s="1"/>
  <c r="V72"/>
  <c r="V89" s="1"/>
  <c r="R35"/>
  <c r="T44"/>
  <c r="T46" s="1"/>
  <c r="T48" s="1"/>
  <c r="T49" s="1"/>
  <c r="T70"/>
  <c r="T86" s="1"/>
  <c r="R76" i="11" l="1"/>
  <c r="S73" s="1"/>
  <c r="S78" s="1"/>
  <c r="M25"/>
  <c r="M33" s="1"/>
  <c r="M36"/>
  <c r="M37" s="1"/>
  <c r="Q52"/>
  <c r="Q57" s="1"/>
  <c r="P61"/>
  <c r="L74" i="5"/>
  <c r="L83"/>
  <c r="L39"/>
  <c r="L60"/>
  <c r="L62" s="1"/>
  <c r="S35"/>
  <c r="U44"/>
  <c r="U46" s="1"/>
  <c r="U48" s="1"/>
  <c r="U49" s="1"/>
  <c r="U70"/>
  <c r="U86" s="1"/>
  <c r="R82" i="11" l="1"/>
  <c r="S67"/>
  <c r="S75" s="1"/>
  <c r="S30" i="5" s="1"/>
  <c r="S79" i="11"/>
  <c r="S26" i="5" s="1"/>
  <c r="Q46" i="11"/>
  <c r="Q54" s="1"/>
  <c r="Q29" i="5" s="1"/>
  <c r="Q58" i="11"/>
  <c r="Q25" i="5" s="1"/>
  <c r="L63"/>
  <c r="M24"/>
  <c r="T13"/>
  <c r="T22" s="1"/>
  <c r="T80" s="1"/>
  <c r="W72"/>
  <c r="W89" s="1"/>
  <c r="S76" i="11" l="1"/>
  <c r="S82" s="1"/>
  <c r="Q55"/>
  <c r="R52" s="1"/>
  <c r="R57" s="1"/>
  <c r="T73"/>
  <c r="T78" s="1"/>
  <c r="U13" i="5"/>
  <c r="U22" s="1"/>
  <c r="U80" s="1"/>
  <c r="X72"/>
  <c r="X89" s="1"/>
  <c r="V70"/>
  <c r="V86" s="1"/>
  <c r="V44"/>
  <c r="V46" s="1"/>
  <c r="V48" s="1"/>
  <c r="V49" s="1"/>
  <c r="T35"/>
  <c r="T79" i="11" l="1"/>
  <c r="T26" i="5" s="1"/>
  <c r="T67" i="11"/>
  <c r="T75" s="1"/>
  <c r="T30" i="5" s="1"/>
  <c r="Q61" i="11"/>
  <c r="R46"/>
  <c r="R54" s="1"/>
  <c r="R29" i="5" s="1"/>
  <c r="R58" i="11"/>
  <c r="R25" i="5" s="1"/>
  <c r="M28"/>
  <c r="M34" i="11"/>
  <c r="W70" i="5"/>
  <c r="W86" s="1"/>
  <c r="W44"/>
  <c r="W46" s="1"/>
  <c r="W48" s="1"/>
  <c r="W49" s="1"/>
  <c r="U35"/>
  <c r="Y72"/>
  <c r="Y89" s="1"/>
  <c r="T76" i="11" l="1"/>
  <c r="T82" s="1"/>
  <c r="R55"/>
  <c r="S52" s="1"/>
  <c r="S57" s="1"/>
  <c r="U73"/>
  <c r="U78" s="1"/>
  <c r="N31"/>
  <c r="N36" s="1"/>
  <c r="M40"/>
  <c r="M37" i="5"/>
  <c r="M32"/>
  <c r="M58"/>
  <c r="M60" s="1"/>
  <c r="M62" s="1"/>
  <c r="V13"/>
  <c r="V22" s="1"/>
  <c r="W13"/>
  <c r="W22" s="1"/>
  <c r="W80" s="1"/>
  <c r="N25" i="11" l="1"/>
  <c r="N33" s="1"/>
  <c r="U79"/>
  <c r="U26" i="5" s="1"/>
  <c r="U67" i="11"/>
  <c r="U75" s="1"/>
  <c r="U30" i="5" s="1"/>
  <c r="R61" i="11"/>
  <c r="S46"/>
  <c r="S54" s="1"/>
  <c r="S29" i="5" s="1"/>
  <c r="S58" i="11"/>
  <c r="S25" i="5" s="1"/>
  <c r="M74"/>
  <c r="M39"/>
  <c r="M83"/>
  <c r="V35"/>
  <c r="V80"/>
  <c r="M63"/>
  <c r="N37" i="11"/>
  <c r="Z72" i="5"/>
  <c r="Z89" s="1"/>
  <c r="X44"/>
  <c r="X46" s="1"/>
  <c r="X48" s="1"/>
  <c r="X49" s="1"/>
  <c r="X70"/>
  <c r="X86" s="1"/>
  <c r="W35"/>
  <c r="U76" i="11" l="1"/>
  <c r="V73" s="1"/>
  <c r="V78" s="1"/>
  <c r="S55"/>
  <c r="N24" i="5"/>
  <c r="AA72"/>
  <c r="AA89" s="1"/>
  <c r="X13"/>
  <c r="X22" s="1"/>
  <c r="X80" s="1"/>
  <c r="U82" i="11" l="1"/>
  <c r="V79"/>
  <c r="V26" i="5" s="1"/>
  <c r="V67" i="11"/>
  <c r="V75" s="1"/>
  <c r="V30" i="5" s="1"/>
  <c r="T52" i="11"/>
  <c r="T57" s="1"/>
  <c r="S61"/>
  <c r="Y13" i="5"/>
  <c r="Y22" s="1"/>
  <c r="Y80" s="1"/>
  <c r="AB72"/>
  <c r="AB89" s="1"/>
  <c r="Y70"/>
  <c r="Y86" s="1"/>
  <c r="Y44"/>
  <c r="Y46" s="1"/>
  <c r="Y48" s="1"/>
  <c r="Y49" s="1"/>
  <c r="X35"/>
  <c r="V76" i="11" l="1"/>
  <c r="W73" s="1"/>
  <c r="W78" s="1"/>
  <c r="T58"/>
  <c r="T25" i="5" s="1"/>
  <c r="T46" i="11"/>
  <c r="T54" s="1"/>
  <c r="T29" i="5" s="1"/>
  <c r="N28"/>
  <c r="N34" i="11"/>
  <c r="Y35" i="5"/>
  <c r="Z70"/>
  <c r="Z86" s="1"/>
  <c r="Z44"/>
  <c r="Z46" s="1"/>
  <c r="Z48" s="1"/>
  <c r="Z49" s="1"/>
  <c r="AC72"/>
  <c r="AC89" s="1"/>
  <c r="V82" i="11" l="1"/>
  <c r="W79"/>
  <c r="W26" i="5" s="1"/>
  <c r="W67" i="11"/>
  <c r="W75" s="1"/>
  <c r="T55"/>
  <c r="O31"/>
  <c r="O36" s="1"/>
  <c r="N40"/>
  <c r="O25"/>
  <c r="O33" s="1"/>
  <c r="N58" i="5"/>
  <c r="N60" s="1"/>
  <c r="N62" s="1"/>
  <c r="N32"/>
  <c r="N37"/>
  <c r="Z13"/>
  <c r="Z22" s="1"/>
  <c r="Z80" s="1"/>
  <c r="W30" l="1"/>
  <c r="W76" i="11"/>
  <c r="U52"/>
  <c r="U57" s="1"/>
  <c r="T61"/>
  <c r="N74" i="5"/>
  <c r="N39"/>
  <c r="N83"/>
  <c r="N63"/>
  <c r="O37" i="11"/>
  <c r="O24" i="5" s="1"/>
  <c r="AA13"/>
  <c r="AA22" s="1"/>
  <c r="AA80" s="1"/>
  <c r="AA44"/>
  <c r="AA46" s="1"/>
  <c r="AA48" s="1"/>
  <c r="AA49" s="1"/>
  <c r="AA70"/>
  <c r="AA86" s="1"/>
  <c r="Z35"/>
  <c r="AD72"/>
  <c r="AD89" s="1"/>
  <c r="X73" i="11" l="1"/>
  <c r="X78" s="1"/>
  <c r="W82"/>
  <c r="U46"/>
  <c r="U54" s="1"/>
  <c r="U58"/>
  <c r="U25" i="5" s="1"/>
  <c r="O28"/>
  <c r="O37" s="1"/>
  <c r="O74" s="1"/>
  <c r="O34" i="11"/>
  <c r="O58" i="5"/>
  <c r="O60" s="1"/>
  <c r="O62" s="1"/>
  <c r="O63" s="1"/>
  <c r="AE72"/>
  <c r="AE89" s="1"/>
  <c r="AA35"/>
  <c r="X79" i="11" l="1"/>
  <c r="X26" i="5" s="1"/>
  <c r="X67" i="11"/>
  <c r="X75" s="1"/>
  <c r="X76" s="1"/>
  <c r="U29" i="5"/>
  <c r="U55" i="11"/>
  <c r="P31"/>
  <c r="O40"/>
  <c r="O32" i="5"/>
  <c r="AF72"/>
  <c r="AF89" s="1"/>
  <c r="AB44"/>
  <c r="AB46" s="1"/>
  <c r="AB48" s="1"/>
  <c r="AB49" s="1"/>
  <c r="AB70"/>
  <c r="AB86" s="1"/>
  <c r="AB13"/>
  <c r="AB22" s="1"/>
  <c r="AB80" s="1"/>
  <c r="P25" i="11" l="1"/>
  <c r="P33" s="1"/>
  <c r="P36"/>
  <c r="X82"/>
  <c r="Y73"/>
  <c r="Y78" s="1"/>
  <c r="X30" i="5"/>
  <c r="V52" i="11"/>
  <c r="U61"/>
  <c r="P37"/>
  <c r="P24" i="5" s="1"/>
  <c r="O39"/>
  <c r="O83"/>
  <c r="AG72"/>
  <c r="AG89" s="1"/>
  <c r="AC44"/>
  <c r="AC46" s="1"/>
  <c r="AC48" s="1"/>
  <c r="AC49" s="1"/>
  <c r="AC70"/>
  <c r="AC86" s="1"/>
  <c r="AC13"/>
  <c r="AC22" s="1"/>
  <c r="AC80" s="1"/>
  <c r="AB35"/>
  <c r="V46" i="11" l="1"/>
  <c r="V54" s="1"/>
  <c r="V29" i="5" s="1"/>
  <c r="V57" i="11"/>
  <c r="V58" s="1"/>
  <c r="V25" i="5" s="1"/>
  <c r="Y67" i="11"/>
  <c r="Y75" s="1"/>
  <c r="Y76" s="1"/>
  <c r="Y79"/>
  <c r="Y26" i="5" s="1"/>
  <c r="V55" i="11"/>
  <c r="P28" i="5"/>
  <c r="P58" s="1"/>
  <c r="P60" s="1"/>
  <c r="P62" s="1"/>
  <c r="P63" s="1"/>
  <c r="P34" i="11"/>
  <c r="AC35" i="5"/>
  <c r="AD44"/>
  <c r="AD46" s="1"/>
  <c r="AD48" s="1"/>
  <c r="AD49" s="1"/>
  <c r="AD70"/>
  <c r="AD86" s="1"/>
  <c r="AD13"/>
  <c r="AD22" s="1"/>
  <c r="AD80" s="1"/>
  <c r="AH72"/>
  <c r="AH89" s="1"/>
  <c r="Z73" i="11" l="1"/>
  <c r="Z78" s="1"/>
  <c r="Y82"/>
  <c r="Y30" i="5"/>
  <c r="W52" i="11"/>
  <c r="V61"/>
  <c r="Q31"/>
  <c r="P40"/>
  <c r="P37" i="5"/>
  <c r="P74" s="1"/>
  <c r="P32"/>
  <c r="AI72"/>
  <c r="AI89" s="1"/>
  <c r="AD35"/>
  <c r="Q25" i="11" l="1"/>
  <c r="Q33" s="1"/>
  <c r="Q36"/>
  <c r="Q37" s="1"/>
  <c r="Q24" i="5" s="1"/>
  <c r="W46" i="11"/>
  <c r="W54" s="1"/>
  <c r="W29" i="5" s="1"/>
  <c r="W57" i="11"/>
  <c r="W58" s="1"/>
  <c r="W25" i="5" s="1"/>
  <c r="Z67" i="11"/>
  <c r="Z75" s="1"/>
  <c r="Z76" s="1"/>
  <c r="Z79"/>
  <c r="Z26" i="5" s="1"/>
  <c r="P39"/>
  <c r="P83"/>
  <c r="AE70"/>
  <c r="AE86" s="1"/>
  <c r="AE13"/>
  <c r="AE22" s="1"/>
  <c r="AE80" s="1"/>
  <c r="AE44"/>
  <c r="AE46" s="1"/>
  <c r="AE48" s="1"/>
  <c r="AE49" s="1"/>
  <c r="AJ72"/>
  <c r="AJ89" s="1"/>
  <c r="W55" i="11" l="1"/>
  <c r="W61" s="1"/>
  <c r="Z82"/>
  <c r="AA73"/>
  <c r="AA78" s="1"/>
  <c r="Z30" i="5"/>
  <c r="X52" i="11"/>
  <c r="Q28" i="5"/>
  <c r="Q58" s="1"/>
  <c r="Q60" s="1"/>
  <c r="Q62" s="1"/>
  <c r="Q63" s="1"/>
  <c r="Q34" i="11"/>
  <c r="Q32" i="5"/>
  <c r="AK72"/>
  <c r="AK89" s="1"/>
  <c r="AE35"/>
  <c r="X46" i="11" l="1"/>
  <c r="X54" s="1"/>
  <c r="X57"/>
  <c r="X29" i="5"/>
  <c r="AA67" i="11"/>
  <c r="AA75" s="1"/>
  <c r="AA76" s="1"/>
  <c r="AA79"/>
  <c r="AA26" i="5" s="1"/>
  <c r="X58" i="11"/>
  <c r="X25" i="5" s="1"/>
  <c r="X55" i="11"/>
  <c r="R31"/>
  <c r="R36" s="1"/>
  <c r="Q40"/>
  <c r="Q39" i="5"/>
  <c r="Q83"/>
  <c r="Q37"/>
  <c r="Q74" s="1"/>
  <c r="AF70"/>
  <c r="AF86" s="1"/>
  <c r="AF44"/>
  <c r="AF46" s="1"/>
  <c r="AF48" s="1"/>
  <c r="AF49" s="1"/>
  <c r="AF13"/>
  <c r="AF22" s="1"/>
  <c r="AF80" s="1"/>
  <c r="AA82" i="11" l="1"/>
  <c r="AB73"/>
  <c r="AB78" s="1"/>
  <c r="AA30" i="5"/>
  <c r="H30" s="1"/>
  <c r="H75" i="11"/>
  <c r="X61"/>
  <c r="Y52"/>
  <c r="R25"/>
  <c r="R33" s="1"/>
  <c r="R37"/>
  <c r="R24" i="5" s="1"/>
  <c r="AL72"/>
  <c r="AL89" s="1"/>
  <c r="AF35"/>
  <c r="Y46" i="11" l="1"/>
  <c r="Y54" s="1"/>
  <c r="Y57"/>
  <c r="Y29" i="5"/>
  <c r="AB76" i="11"/>
  <c r="AB79"/>
  <c r="AB26" i="5" s="1"/>
  <c r="Y58" i="11"/>
  <c r="Y25" i="5" s="1"/>
  <c r="Y55" i="11"/>
  <c r="R28" i="5"/>
  <c r="R58" s="1"/>
  <c r="R60" s="1"/>
  <c r="R62" s="1"/>
  <c r="R63" s="1"/>
  <c r="R34" i="11"/>
  <c r="AG44" i="5"/>
  <c r="AG46" s="1"/>
  <c r="AG48" s="1"/>
  <c r="AG49" s="1"/>
  <c r="AG70"/>
  <c r="AG86" s="1"/>
  <c r="AG13"/>
  <c r="AG22" s="1"/>
  <c r="AG80" s="1"/>
  <c r="AB82" i="11" l="1"/>
  <c r="AC73"/>
  <c r="AC78" s="1"/>
  <c r="Y61"/>
  <c r="Z52"/>
  <c r="S31"/>
  <c r="S36" s="1"/>
  <c r="R40"/>
  <c r="R32" i="5"/>
  <c r="R37"/>
  <c r="R74" s="1"/>
  <c r="AM72"/>
  <c r="AM89" s="1"/>
  <c r="AG35"/>
  <c r="Z46" i="11" l="1"/>
  <c r="Z54" s="1"/>
  <c r="Z57"/>
  <c r="Z29" i="5"/>
  <c r="AC79" i="11"/>
  <c r="AC26" i="5" s="1"/>
  <c r="AC76" i="11"/>
  <c r="Z58"/>
  <c r="Z25" i="5" s="1"/>
  <c r="Z55" i="11"/>
  <c r="S25"/>
  <c r="S33" s="1"/>
  <c r="R39" i="5"/>
  <c r="R83"/>
  <c r="S37" i="11"/>
  <c r="S24" i="5" s="1"/>
  <c r="AH44"/>
  <c r="AH46" s="1"/>
  <c r="AH48" s="1"/>
  <c r="AH49" s="1"/>
  <c r="AH70"/>
  <c r="AH86" s="1"/>
  <c r="AH13"/>
  <c r="AH22" s="1"/>
  <c r="AH80" s="1"/>
  <c r="AC82" i="11" l="1"/>
  <c r="AD73"/>
  <c r="AD78" s="1"/>
  <c r="Z61"/>
  <c r="AA52"/>
  <c r="S28" i="5"/>
  <c r="S58" s="1"/>
  <c r="S60" s="1"/>
  <c r="S62" s="1"/>
  <c r="S63" s="1"/>
  <c r="S34" i="11"/>
  <c r="AN72" i="5"/>
  <c r="AN89" s="1"/>
  <c r="AI44"/>
  <c r="AI46" s="1"/>
  <c r="AI48" s="1"/>
  <c r="AI49" s="1"/>
  <c r="AI70"/>
  <c r="AI86" s="1"/>
  <c r="AI13"/>
  <c r="AI22" s="1"/>
  <c r="AI80" s="1"/>
  <c r="AH35"/>
  <c r="AA46" i="11" l="1"/>
  <c r="AA54" s="1"/>
  <c r="H54" s="1"/>
  <c r="AA57"/>
  <c r="AA58" s="1"/>
  <c r="AA25" i="5" s="1"/>
  <c r="AA29"/>
  <c r="H29" s="1"/>
  <c r="AD76" i="11"/>
  <c r="AD79"/>
  <c r="AD26" i="5" s="1"/>
  <c r="T31" i="11"/>
  <c r="T36" s="1"/>
  <c r="S40"/>
  <c r="T25"/>
  <c r="T33" s="1"/>
  <c r="S32" i="5"/>
  <c r="S37"/>
  <c r="S74" s="1"/>
  <c r="AJ70"/>
  <c r="AJ86" s="1"/>
  <c r="AJ44"/>
  <c r="AJ46" s="1"/>
  <c r="AJ48" s="1"/>
  <c r="AJ49" s="1"/>
  <c r="AJ13"/>
  <c r="AJ22" s="1"/>
  <c r="AJ80" s="1"/>
  <c r="AI35"/>
  <c r="AA55" i="11" l="1"/>
  <c r="AA61" s="1"/>
  <c r="AD82"/>
  <c r="AE73"/>
  <c r="AE78" s="1"/>
  <c r="S39" i="5"/>
  <c r="S83"/>
  <c r="T37" i="11"/>
  <c r="T24" i="5" s="1"/>
  <c r="AK44"/>
  <c r="AK46" s="1"/>
  <c r="AK48" s="1"/>
  <c r="AK49" s="1"/>
  <c r="AK70"/>
  <c r="AK86" s="1"/>
  <c r="AO72"/>
  <c r="AO89" s="1"/>
  <c r="AK13"/>
  <c r="AK22" s="1"/>
  <c r="AK80" s="1"/>
  <c r="AJ35"/>
  <c r="AB52" i="11" l="1"/>
  <c r="AB57" s="1"/>
  <c r="AB58" s="1"/>
  <c r="AB25" i="5" s="1"/>
  <c r="AE76" i="11"/>
  <c r="AE79"/>
  <c r="AE26" i="5" s="1"/>
  <c r="T28"/>
  <c r="T37" s="1"/>
  <c r="T74" s="1"/>
  <c r="T34" i="11"/>
  <c r="AK35" i="5"/>
  <c r="AB55" i="11" l="1"/>
  <c r="AB61" s="1"/>
  <c r="AE82"/>
  <c r="AF73"/>
  <c r="AF78" s="1"/>
  <c r="U31"/>
  <c r="U36" s="1"/>
  <c r="T40"/>
  <c r="U25"/>
  <c r="U33" s="1"/>
  <c r="T58" i="5"/>
  <c r="T60" s="1"/>
  <c r="T62" s="1"/>
  <c r="T63" s="1"/>
  <c r="T32"/>
  <c r="AP72"/>
  <c r="AP89" s="1"/>
  <c r="AL70"/>
  <c r="AL86" s="1"/>
  <c r="AL44"/>
  <c r="AL46" s="1"/>
  <c r="AL48" s="1"/>
  <c r="AL49" s="1"/>
  <c r="AL13"/>
  <c r="AL22" s="1"/>
  <c r="AL80" s="1"/>
  <c r="AC52" i="11" l="1"/>
  <c r="AC57" s="1"/>
  <c r="AC58" s="1"/>
  <c r="AC25" i="5" s="1"/>
  <c r="AF76" i="11"/>
  <c r="AF79"/>
  <c r="AF26" i="5" s="1"/>
  <c r="T39"/>
  <c r="T83"/>
  <c r="U37" i="11"/>
  <c r="U24" i="5" s="1"/>
  <c r="AM44"/>
  <c r="AM46" s="1"/>
  <c r="AM48" s="1"/>
  <c r="AM49" s="1"/>
  <c r="AM70"/>
  <c r="AM86" s="1"/>
  <c r="AM13"/>
  <c r="AM22" s="1"/>
  <c r="AM80" s="1"/>
  <c r="AL35"/>
  <c r="AQ72"/>
  <c r="AQ89" s="1"/>
  <c r="AC55" i="11" l="1"/>
  <c r="AD52" s="1"/>
  <c r="AD57" s="1"/>
  <c r="AF82"/>
  <c r="AG73"/>
  <c r="AG78" s="1"/>
  <c r="U28" i="5"/>
  <c r="U58" s="1"/>
  <c r="U60" s="1"/>
  <c r="U62" s="1"/>
  <c r="U63" s="1"/>
  <c r="U34" i="11"/>
  <c r="AM35" i="5"/>
  <c r="AC61" i="11" l="1"/>
  <c r="AG76"/>
  <c r="AG79"/>
  <c r="AG26" i="5" s="1"/>
  <c r="AD55" i="11"/>
  <c r="AD58"/>
  <c r="AD25" i="5" s="1"/>
  <c r="U37"/>
  <c r="U74" s="1"/>
  <c r="V31" i="11"/>
  <c r="V36" s="1"/>
  <c r="U40"/>
  <c r="U32" i="5"/>
  <c r="AN70"/>
  <c r="AN86" s="1"/>
  <c r="AN44"/>
  <c r="AN46" s="1"/>
  <c r="AN48" s="1"/>
  <c r="AN49" s="1"/>
  <c r="AN13"/>
  <c r="AN22" s="1"/>
  <c r="AN80" s="1"/>
  <c r="AH73" i="11" l="1"/>
  <c r="AH78" s="1"/>
  <c r="AG82"/>
  <c r="AE52"/>
  <c r="AE57" s="1"/>
  <c r="AD61"/>
  <c r="V25"/>
  <c r="V33" s="1"/>
  <c r="U39" i="5"/>
  <c r="U83"/>
  <c r="V37" i="11"/>
  <c r="V24" i="5" s="1"/>
  <c r="AN35"/>
  <c r="AH76" i="11" l="1"/>
  <c r="AH79"/>
  <c r="AH26" i="5" s="1"/>
  <c r="AE55" i="11"/>
  <c r="AE58"/>
  <c r="AE25" i="5" s="1"/>
  <c r="V28"/>
  <c r="V58" s="1"/>
  <c r="V60" s="1"/>
  <c r="V62" s="1"/>
  <c r="V63" s="1"/>
  <c r="V34" i="11"/>
  <c r="V37" i="5"/>
  <c r="V74" s="1"/>
  <c r="AO70"/>
  <c r="AO86" s="1"/>
  <c r="AO44"/>
  <c r="AO46" s="1"/>
  <c r="AO48" s="1"/>
  <c r="AO49" s="1"/>
  <c r="AO13"/>
  <c r="AO22" s="1"/>
  <c r="AO80" s="1"/>
  <c r="AI73" i="11" l="1"/>
  <c r="AI78" s="1"/>
  <c r="AH82"/>
  <c r="AF52"/>
  <c r="AF57" s="1"/>
  <c r="AE61"/>
  <c r="W31"/>
  <c r="W36" s="1"/>
  <c r="V40"/>
  <c r="W25"/>
  <c r="W33" s="1"/>
  <c r="V32" i="5"/>
  <c r="AO35"/>
  <c r="AI76" i="11" l="1"/>
  <c r="AI79"/>
  <c r="AI26" i="5" s="1"/>
  <c r="AF58" i="11"/>
  <c r="AF25" i="5" s="1"/>
  <c r="AF55" i="11"/>
  <c r="V39" i="5"/>
  <c r="V83"/>
  <c r="W37" i="11"/>
  <c r="W24" i="5" s="1"/>
  <c r="AP70"/>
  <c r="AP86" s="1"/>
  <c r="AP44"/>
  <c r="AP46" s="1"/>
  <c r="AP48" s="1"/>
  <c r="AP49" s="1"/>
  <c r="AP13"/>
  <c r="AP22" s="1"/>
  <c r="AP80" s="1"/>
  <c r="AI82" i="11" l="1"/>
  <c r="AJ73"/>
  <c r="AJ78" s="1"/>
  <c r="AG52"/>
  <c r="AG57" s="1"/>
  <c r="AF61"/>
  <c r="W28" i="5"/>
  <c r="W37" s="1"/>
  <c r="W74" s="1"/>
  <c r="W34" i="11"/>
  <c r="W58" i="5"/>
  <c r="W60" s="1"/>
  <c r="W62" s="1"/>
  <c r="W63" s="1"/>
  <c r="AP35"/>
  <c r="AJ76" i="11" l="1"/>
  <c r="AJ79"/>
  <c r="AJ26" i="5" s="1"/>
  <c r="AG55" i="11"/>
  <c r="AG58"/>
  <c r="AG25" i="5" s="1"/>
  <c r="X31" i="11"/>
  <c r="X36" s="1"/>
  <c r="W40"/>
  <c r="X25"/>
  <c r="X33" s="1"/>
  <c r="W32" i="5"/>
  <c r="AQ44"/>
  <c r="AQ46" s="1"/>
  <c r="AQ48" s="1"/>
  <c r="AQ49" s="1"/>
  <c r="AQ70"/>
  <c r="AQ86" s="1"/>
  <c r="AQ13"/>
  <c r="AQ22" s="1"/>
  <c r="AQ80" s="1"/>
  <c r="AJ82" i="11" l="1"/>
  <c r="AK73"/>
  <c r="AK78" s="1"/>
  <c r="AH52"/>
  <c r="AH57" s="1"/>
  <c r="AG61"/>
  <c r="W39" i="5"/>
  <c r="W83"/>
  <c r="X37" i="11"/>
  <c r="X24" i="5" s="1"/>
  <c r="AQ35"/>
  <c r="AK76" i="11" l="1"/>
  <c r="AK79"/>
  <c r="AK26" i="5" s="1"/>
  <c r="AH58" i="11"/>
  <c r="AH25" i="5" s="1"/>
  <c r="AH55" i="11"/>
  <c r="X28" i="5"/>
  <c r="X58" s="1"/>
  <c r="X60" s="1"/>
  <c r="X62" s="1"/>
  <c r="X63" s="1"/>
  <c r="X34" i="11"/>
  <c r="X37" i="5"/>
  <c r="X74" s="1"/>
  <c r="AK82" i="11" l="1"/>
  <c r="AL73"/>
  <c r="AL78" s="1"/>
  <c r="AI52"/>
  <c r="AI57" s="1"/>
  <c r="AH61"/>
  <c r="Y31"/>
  <c r="X40"/>
  <c r="X32" i="5"/>
  <c r="Y25" i="11" l="1"/>
  <c r="Y33" s="1"/>
  <c r="Y36"/>
  <c r="Y37" s="1"/>
  <c r="Y24" i="5" s="1"/>
  <c r="AL76" i="11"/>
  <c r="AL79"/>
  <c r="AL26" i="5" s="1"/>
  <c r="AI58" i="11"/>
  <c r="AI25" i="5" s="1"/>
  <c r="AI55" i="11"/>
  <c r="X39" i="5"/>
  <c r="X83"/>
  <c r="AL82" i="11" l="1"/>
  <c r="AM73"/>
  <c r="AM78" s="1"/>
  <c r="AI61"/>
  <c r="AJ52"/>
  <c r="AJ57" s="1"/>
  <c r="Y28" i="5"/>
  <c r="Y58" s="1"/>
  <c r="Y60" s="1"/>
  <c r="Y62" s="1"/>
  <c r="Y63" s="1"/>
  <c r="Y34" i="11"/>
  <c r="Y37" i="5"/>
  <c r="Y74" s="1"/>
  <c r="AM76" i="11" l="1"/>
  <c r="AM79"/>
  <c r="AM26" i="5" s="1"/>
  <c r="AJ55" i="11"/>
  <c r="AJ58"/>
  <c r="AJ25" i="5" s="1"/>
  <c r="Z31" i="11"/>
  <c r="Y40"/>
  <c r="Y32" i="5"/>
  <c r="Z25" i="11" l="1"/>
  <c r="Z33" s="1"/>
  <c r="Z36"/>
  <c r="Z37" s="1"/>
  <c r="Z24" i="5" s="1"/>
  <c r="AM82" i="11"/>
  <c r="AN73"/>
  <c r="AN78" s="1"/>
  <c r="AJ61"/>
  <c r="AK52"/>
  <c r="AK57" s="1"/>
  <c r="Y39" i="5"/>
  <c r="Y83"/>
  <c r="AN76" i="11" l="1"/>
  <c r="AN79"/>
  <c r="AN26" i="5" s="1"/>
  <c r="AK58" i="11"/>
  <c r="AK25" i="5" s="1"/>
  <c r="AK55" i="11"/>
  <c r="Z28" i="5"/>
  <c r="Z58" s="1"/>
  <c r="Z60" s="1"/>
  <c r="Z62" s="1"/>
  <c r="Z63" s="1"/>
  <c r="Z34" i="11"/>
  <c r="Z37" i="5"/>
  <c r="Z74" s="1"/>
  <c r="AN82" i="11" l="1"/>
  <c r="AO73"/>
  <c r="AO78" s="1"/>
  <c r="AK61"/>
  <c r="AL52"/>
  <c r="AL57" s="1"/>
  <c r="AA31"/>
  <c r="Z40"/>
  <c r="Z32" i="5"/>
  <c r="AA25" i="11" l="1"/>
  <c r="AA33" s="1"/>
  <c r="AA36"/>
  <c r="AA37" s="1"/>
  <c r="AA24" i="5" s="1"/>
  <c r="AO76" i="11"/>
  <c r="AO79"/>
  <c r="AO26" i="5" s="1"/>
  <c r="AL58" i="11"/>
  <c r="AL25" i="5" s="1"/>
  <c r="AL55" i="11"/>
  <c r="Z39" i="5"/>
  <c r="Z83"/>
  <c r="AO82" i="11" l="1"/>
  <c r="AP73"/>
  <c r="AP78" s="1"/>
  <c r="AL61"/>
  <c r="AM52"/>
  <c r="AM57" s="1"/>
  <c r="AA28" i="5"/>
  <c r="AA58" s="1"/>
  <c r="AA60" s="1"/>
  <c r="AA62" s="1"/>
  <c r="AA63" s="1"/>
  <c r="AA34" i="11"/>
  <c r="AP76" l="1"/>
  <c r="AP79"/>
  <c r="AP26" i="5" s="1"/>
  <c r="AM55" i="11"/>
  <c r="AM58"/>
  <c r="AM25" i="5" s="1"/>
  <c r="AB31" i="11"/>
  <c r="AA40"/>
  <c r="AA32" i="5"/>
  <c r="AA37"/>
  <c r="AA74" s="1"/>
  <c r="AB25" i="11" l="1"/>
  <c r="AB33" s="1"/>
  <c r="AB36"/>
  <c r="AB37" s="1"/>
  <c r="AB24" i="5" s="1"/>
  <c r="AP82" i="11"/>
  <c r="AQ73"/>
  <c r="AQ78" s="1"/>
  <c r="AM61"/>
  <c r="AN52"/>
  <c r="AN57" s="1"/>
  <c r="AA39" i="5"/>
  <c r="AA83"/>
  <c r="AQ76" i="11" l="1"/>
  <c r="AQ79"/>
  <c r="AQ26" i="5" s="1"/>
  <c r="AN58" i="11"/>
  <c r="AN25" i="5" s="1"/>
  <c r="AN55" i="11"/>
  <c r="AB28" i="5"/>
  <c r="AB58" s="1"/>
  <c r="AB60" s="1"/>
  <c r="AB62" s="1"/>
  <c r="AB63" s="1"/>
  <c r="AB34" i="11"/>
  <c r="AB37" i="5"/>
  <c r="AB74" s="1"/>
  <c r="AQ82" i="11" l="1"/>
  <c r="AN61"/>
  <c r="AO52"/>
  <c r="AO57" s="1"/>
  <c r="AC31"/>
  <c r="AB40"/>
  <c r="AB32" i="5"/>
  <c r="AC25" i="11" l="1"/>
  <c r="AC33" s="1"/>
  <c r="AC36"/>
  <c r="AC37" s="1"/>
  <c r="AC24" i="5" s="1"/>
  <c r="AO55" i="11"/>
  <c r="AB39" i="5"/>
  <c r="AB83"/>
  <c r="AO58" i="11" l="1"/>
  <c r="AO61"/>
  <c r="AP52"/>
  <c r="AP57" s="1"/>
  <c r="AC28" i="5"/>
  <c r="AC58" s="1"/>
  <c r="AC60" s="1"/>
  <c r="AC62" s="1"/>
  <c r="AC63" s="1"/>
  <c r="AC34" i="11"/>
  <c r="AC37" i="5" l="1"/>
  <c r="AC74" s="1"/>
  <c r="AO25"/>
  <c r="AP55" i="11"/>
  <c r="AD31"/>
  <c r="AC40"/>
  <c r="AC32" i="5"/>
  <c r="AD25" i="11" l="1"/>
  <c r="AD33" s="1"/>
  <c r="AD36"/>
  <c r="AP58"/>
  <c r="AP61"/>
  <c r="AQ52"/>
  <c r="AQ57" s="1"/>
  <c r="AC39" i="5"/>
  <c r="AC83"/>
  <c r="AD37" i="11"/>
  <c r="AD24" i="5" s="1"/>
  <c r="AP25" l="1"/>
  <c r="AQ55" i="11"/>
  <c r="AD28" i="5"/>
  <c r="AD58" s="1"/>
  <c r="AD60" s="1"/>
  <c r="AD62" s="1"/>
  <c r="AD63" s="1"/>
  <c r="AD34" i="11"/>
  <c r="AQ58" l="1"/>
  <c r="AQ61"/>
  <c r="AE31"/>
  <c r="AE36" s="1"/>
  <c r="AD40"/>
  <c r="AE25"/>
  <c r="AE33" s="1"/>
  <c r="AD32" i="5"/>
  <c r="AD37"/>
  <c r="AD74" s="1"/>
  <c r="AQ25" l="1"/>
  <c r="AD39"/>
  <c r="AD83"/>
  <c r="AE37" i="11"/>
  <c r="AE24" i="5" s="1"/>
  <c r="AE28" l="1"/>
  <c r="AE58" s="1"/>
  <c r="AE60" s="1"/>
  <c r="AE62" s="1"/>
  <c r="AE63" s="1"/>
  <c r="AE34" i="11"/>
  <c r="AE37" i="5"/>
  <c r="AE74" s="1"/>
  <c r="AF31" i="11" l="1"/>
  <c r="AF36" s="1"/>
  <c r="AE40"/>
  <c r="AF25"/>
  <c r="AF33" s="1"/>
  <c r="AE32" i="5"/>
  <c r="AE39" l="1"/>
  <c r="AE83"/>
  <c r="AF37" i="11"/>
  <c r="AF24" i="5" s="1"/>
  <c r="AF28" l="1"/>
  <c r="AF58" s="1"/>
  <c r="AF60" s="1"/>
  <c r="AF62" s="1"/>
  <c r="AF63" s="1"/>
  <c r="AF34" i="11"/>
  <c r="AF37" i="5"/>
  <c r="AF74" s="1"/>
  <c r="AG31" i="11" l="1"/>
  <c r="AG36" s="1"/>
  <c r="AF40"/>
  <c r="AG25"/>
  <c r="AG33" s="1"/>
  <c r="AF32" i="5"/>
  <c r="AF39" l="1"/>
  <c r="AF83"/>
  <c r="AG37" i="11"/>
  <c r="AG24" i="5" s="1"/>
  <c r="AG28" l="1"/>
  <c r="AG58" s="1"/>
  <c r="AG60" s="1"/>
  <c r="AG62" s="1"/>
  <c r="AG63" s="1"/>
  <c r="AG34" i="11"/>
  <c r="AH31" l="1"/>
  <c r="AH36" s="1"/>
  <c r="AG40"/>
  <c r="AH25"/>
  <c r="AH33" s="1"/>
  <c r="AG32" i="5"/>
  <c r="AG37"/>
  <c r="AG74" s="1"/>
  <c r="AG39" l="1"/>
  <c r="AG83"/>
  <c r="AH37" i="11"/>
  <c r="AH24" i="5" s="1"/>
  <c r="H10"/>
  <c r="H72" l="1"/>
  <c r="F90"/>
  <c r="H31" i="19" s="1"/>
  <c r="AH28" i="5"/>
  <c r="AH58" s="1"/>
  <c r="AH60" s="1"/>
  <c r="AH62" s="1"/>
  <c r="AH63" s="1"/>
  <c r="AH34" i="11"/>
  <c r="AH32" i="5" l="1"/>
  <c r="AH83" s="1"/>
  <c r="AI31" i="11"/>
  <c r="AI36" s="1"/>
  <c r="AH40"/>
  <c r="AI25"/>
  <c r="AI33" s="1"/>
  <c r="AH39" i="5"/>
  <c r="AH37"/>
  <c r="AH74" s="1"/>
  <c r="AI37" i="11" l="1"/>
  <c r="AI24" i="5" s="1"/>
  <c r="AI28" l="1"/>
  <c r="AI58" s="1"/>
  <c r="AI60" s="1"/>
  <c r="AI62" s="1"/>
  <c r="AI63" s="1"/>
  <c r="AI34" i="11"/>
  <c r="AI37" i="5" l="1"/>
  <c r="AI74" s="1"/>
  <c r="AJ31" i="11"/>
  <c r="AJ36" s="1"/>
  <c r="AI40"/>
  <c r="AJ25"/>
  <c r="AJ33" s="1"/>
  <c r="AI32" i="5"/>
  <c r="AI39" l="1"/>
  <c r="AI83"/>
  <c r="AJ37" i="11"/>
  <c r="AJ24" i="5" s="1"/>
  <c r="AJ28" l="1"/>
  <c r="AJ58" s="1"/>
  <c r="AJ60" s="1"/>
  <c r="AJ62" s="1"/>
  <c r="AJ63" s="1"/>
  <c r="AJ34" i="11"/>
  <c r="AJ37" i="5"/>
  <c r="AJ74" s="1"/>
  <c r="AK31" i="11" l="1"/>
  <c r="AK36" s="1"/>
  <c r="AJ40"/>
  <c r="AK25"/>
  <c r="AK33" s="1"/>
  <c r="AJ32" i="5"/>
  <c r="F87"/>
  <c r="H29" i="19" s="1"/>
  <c r="H7" i="5"/>
  <c r="F49" l="1"/>
  <c r="H44"/>
  <c r="AJ39"/>
  <c r="AJ83"/>
  <c r="H70"/>
  <c r="AK37" i="11"/>
  <c r="AK24" i="5" s="1"/>
  <c r="F81"/>
  <c r="H33" i="19" s="1"/>
  <c r="H13" i="5"/>
  <c r="H16" i="19" s="1"/>
  <c r="E16" s="1"/>
  <c r="F53" i="5" l="1"/>
  <c r="H25" i="19" s="1"/>
  <c r="AK28" i="5"/>
  <c r="AK58" s="1"/>
  <c r="AK60" s="1"/>
  <c r="AK62" s="1"/>
  <c r="AK63" s="1"/>
  <c r="AK34" i="11"/>
  <c r="H22" i="5"/>
  <c r="AL31" i="11" l="1"/>
  <c r="AL36" s="1"/>
  <c r="AK40"/>
  <c r="AL25"/>
  <c r="AL33" s="1"/>
  <c r="AK37" i="5"/>
  <c r="AK74" s="1"/>
  <c r="AK32"/>
  <c r="AK39" l="1"/>
  <c r="AK83"/>
  <c r="AL37" i="11"/>
  <c r="AL24" i="5" s="1"/>
  <c r="AL28" l="1"/>
  <c r="AL58" s="1"/>
  <c r="AL60" s="1"/>
  <c r="AL62" s="1"/>
  <c r="AL63" s="1"/>
  <c r="AL34" i="11"/>
  <c r="AL37" i="5" l="1"/>
  <c r="AL74" s="1"/>
  <c r="AM31" i="11"/>
  <c r="AM36" s="1"/>
  <c r="AL40"/>
  <c r="AM25"/>
  <c r="AM33" s="1"/>
  <c r="AL32" i="5"/>
  <c r="AL39" l="1"/>
  <c r="AL83"/>
  <c r="AM37" i="11"/>
  <c r="AM24" i="5" s="1"/>
  <c r="AM28" l="1"/>
  <c r="AM58" s="1"/>
  <c r="AM60" s="1"/>
  <c r="AM62" s="1"/>
  <c r="AM63" s="1"/>
  <c r="AM34" i="11"/>
  <c r="AM32" i="5"/>
  <c r="AN31" i="11" l="1"/>
  <c r="AN36" s="1"/>
  <c r="AM40"/>
  <c r="AN25"/>
  <c r="AN33" s="1"/>
  <c r="AM39" i="5"/>
  <c r="AM83"/>
  <c r="AM37"/>
  <c r="AM74" s="1"/>
  <c r="AN37" i="11" l="1"/>
  <c r="AN24" i="5" s="1"/>
  <c r="AN28" l="1"/>
  <c r="AN58" s="1"/>
  <c r="AN60" s="1"/>
  <c r="AN62" s="1"/>
  <c r="AN63" s="1"/>
  <c r="AN34" i="11"/>
  <c r="AO31" l="1"/>
  <c r="AO36" s="1"/>
  <c r="AN40"/>
  <c r="AO25"/>
  <c r="AO33" s="1"/>
  <c r="AN37" i="5"/>
  <c r="AN74" s="1"/>
  <c r="AN32"/>
  <c r="AN39" l="1"/>
  <c r="AN83"/>
  <c r="AO37" i="11"/>
  <c r="AO24" i="5" s="1"/>
  <c r="AO28" l="1"/>
  <c r="AO58" s="1"/>
  <c r="AO60" s="1"/>
  <c r="AO62" s="1"/>
  <c r="AO63" s="1"/>
  <c r="AO34" i="11"/>
  <c r="AP31" l="1"/>
  <c r="AP36" s="1"/>
  <c r="AO40"/>
  <c r="AP33"/>
  <c r="AO32" i="5"/>
  <c r="AO37"/>
  <c r="AO74" s="1"/>
  <c r="AO39" l="1"/>
  <c r="AO83"/>
  <c r="AP37" i="11"/>
  <c r="AP24" i="5" s="1"/>
  <c r="AP28" l="1"/>
  <c r="AP58" s="1"/>
  <c r="AP60" s="1"/>
  <c r="AP62" s="1"/>
  <c r="AP63" s="1"/>
  <c r="AP34" i="11"/>
  <c r="AP37" i="5"/>
  <c r="AP74" s="1"/>
  <c r="AQ31" i="11" l="1"/>
  <c r="AQ36" s="1"/>
  <c r="AP40"/>
  <c r="AQ33"/>
  <c r="AP32" i="5"/>
  <c r="AP39" l="1"/>
  <c r="AP83"/>
  <c r="AQ37" i="11"/>
  <c r="AQ24" i="5" s="1"/>
  <c r="AQ28" l="1"/>
  <c r="AQ58" s="1"/>
  <c r="AQ60" s="1"/>
  <c r="AQ62" s="1"/>
  <c r="AQ63" s="1"/>
  <c r="AQ34" i="11"/>
  <c r="AQ40" s="1"/>
  <c r="AQ37" i="5" l="1"/>
  <c r="AQ74" s="1"/>
  <c r="AQ32"/>
  <c r="AQ39" l="1"/>
  <c r="AQ83"/>
  <c r="H82" i="11" l="1"/>
  <c r="H78" l="1"/>
  <c r="H79" l="1"/>
  <c r="H26" i="5"/>
  <c r="H61" i="11" l="1"/>
  <c r="H57" l="1"/>
  <c r="H25" i="5" l="1"/>
  <c r="H58" i="11"/>
  <c r="H36" l="1"/>
  <c r="H37" l="1"/>
  <c r="H24" i="5" l="1"/>
  <c r="H33" i="11" l="1"/>
  <c r="H40"/>
  <c r="H56" i="19" s="1"/>
  <c r="H28" i="5" l="1"/>
  <c r="H37" i="19" s="1"/>
  <c r="F84" i="5" l="1"/>
  <c r="H35" i="19" s="1"/>
  <c r="H32" i="5"/>
  <c r="H18" i="19" s="1"/>
  <c r="E18" s="1"/>
  <c r="H74" i="5"/>
  <c r="H37"/>
  <c r="F63"/>
  <c r="F67" l="1"/>
  <c r="H27" i="19" s="1"/>
</calcChain>
</file>

<file path=xl/sharedStrings.xml><?xml version="1.0" encoding="utf-8"?>
<sst xmlns="http://schemas.openxmlformats.org/spreadsheetml/2006/main" count="362" uniqueCount="230">
  <si>
    <t>Period Starting</t>
  </si>
  <si>
    <t>Period Ending</t>
  </si>
  <si>
    <t>Operating Flag</t>
  </si>
  <si>
    <t>Capital Costs</t>
  </si>
  <si>
    <t>Capital Contribution</t>
  </si>
  <si>
    <t>C1</t>
  </si>
  <si>
    <t>Custom 1</t>
  </si>
  <si>
    <t>C2</t>
  </si>
  <si>
    <t>Custom 2</t>
  </si>
  <si>
    <t>C3</t>
  </si>
  <si>
    <t>Custom 3</t>
  </si>
  <si>
    <t>C4</t>
  </si>
  <si>
    <t>Custom 4</t>
  </si>
  <si>
    <t>C5</t>
  </si>
  <si>
    <t>Custom 5</t>
  </si>
  <si>
    <t>C6</t>
  </si>
  <si>
    <t>Custom 6</t>
  </si>
  <si>
    <t>C7</t>
  </si>
  <si>
    <t>Custom 7</t>
  </si>
  <si>
    <t>C8</t>
  </si>
  <si>
    <t>Custom 8</t>
  </si>
  <si>
    <t>Input Constants</t>
  </si>
  <si>
    <t>Input Profile</t>
  </si>
  <si>
    <t>unit</t>
  </si>
  <si>
    <t>total</t>
  </si>
  <si>
    <t>Flags</t>
  </si>
  <si>
    <t>BASE</t>
  </si>
  <si>
    <t>CASE 1</t>
  </si>
  <si>
    <t>CASE 2</t>
  </si>
  <si>
    <t>CASE 3</t>
  </si>
  <si>
    <t>CASE 4</t>
  </si>
  <si>
    <t>CASE 5</t>
  </si>
  <si>
    <t>CASE 6</t>
  </si>
  <si>
    <t>Scenario Selection</t>
  </si>
  <si>
    <t>Scenario Location</t>
  </si>
  <si>
    <t>date</t>
  </si>
  <si>
    <t>years</t>
  </si>
  <si>
    <t>Operations Start Date</t>
  </si>
  <si>
    <t>p.a.</t>
  </si>
  <si>
    <t>Workings</t>
  </si>
  <si>
    <t>Operations End Date</t>
  </si>
  <si>
    <t>%</t>
  </si>
  <si>
    <t>£</t>
  </si>
  <si>
    <t>Construction</t>
  </si>
  <si>
    <t>Nominal Construction Costs:</t>
  </si>
  <si>
    <t>Other Contribution</t>
  </si>
  <si>
    <t>Total Nominal Construction</t>
  </si>
  <si>
    <t>Funding</t>
  </si>
  <si>
    <t>Total Nominal Contribution</t>
  </si>
  <si>
    <t>Net Funding Requirement</t>
  </si>
  <si>
    <t>Financing Assumptions:</t>
  </si>
  <si>
    <t>Checks Summary</t>
  </si>
  <si>
    <t>Structural Checks</t>
  </si>
  <si>
    <t>Commercial Checks</t>
  </si>
  <si>
    <t>Are all checks met?</t>
  </si>
  <si>
    <t>Scottish Futures Trust Model</t>
  </si>
  <si>
    <t>Maintenance</t>
  </si>
  <si>
    <t>Council Contribution</t>
  </si>
  <si>
    <t>Key Results and Outputs</t>
  </si>
  <si>
    <t>Total funding equals 100%</t>
  </si>
  <si>
    <t>Cost of Initial Investment</t>
  </si>
  <si>
    <t>Cumulative cost / (savings)</t>
  </si>
  <si>
    <t>Payback Date</t>
  </si>
  <si>
    <t>Payback years</t>
  </si>
  <si>
    <t>Cost of buying carbon allowances</t>
  </si>
  <si>
    <t>Carbon Cost</t>
  </si>
  <si>
    <t>Carbon Costs</t>
  </si>
  <si>
    <t>Cost of buying CO2</t>
  </si>
  <si>
    <t>Payback Period pre financing</t>
  </si>
  <si>
    <t>Initial Investment</t>
  </si>
  <si>
    <t>Payback Period post financing</t>
  </si>
  <si>
    <t>Payback pre financing</t>
  </si>
  <si>
    <t>Payback post financing</t>
  </si>
  <si>
    <t>Energy consumption for Base Case in Year 1</t>
  </si>
  <si>
    <t>Savings / (Increased Costs) before financing costs</t>
  </si>
  <si>
    <t>Savings / (Increased Costs) after financing costs</t>
  </si>
  <si>
    <t>Savings / (Increased Costs)</t>
  </si>
  <si>
    <t>Cumulative Savings after financing costs</t>
  </si>
  <si>
    <t>Cumulative Savings before financing costs</t>
  </si>
  <si>
    <t>Tonnes of carbon saved</t>
  </si>
  <si>
    <t>Cumulative tonnes of carbon saved</t>
  </si>
  <si>
    <t>Payback Flag</t>
  </si>
  <si>
    <t>Status Quo</t>
  </si>
  <si>
    <t>Length of the Analysis Period</t>
  </si>
  <si>
    <t>Existing Status Quo costs in real terms</t>
  </si>
  <si>
    <t>Total Real Status Quo costs</t>
  </si>
  <si>
    <t>Status Quo - Constant Assumptions:</t>
  </si>
  <si>
    <t>Maintenance Status Quo Inflation</t>
  </si>
  <si>
    <t>Energy Status Quo Inflation</t>
  </si>
  <si>
    <t>Status Quo Costs</t>
  </si>
  <si>
    <t>Cost of Carbon - Status Quo</t>
  </si>
  <si>
    <t>Real Construction Costs:</t>
  </si>
  <si>
    <t>Total financing costs</t>
  </si>
  <si>
    <t>tonnes</t>
  </si>
  <si>
    <t>Tonnes of CO2</t>
  </si>
  <si>
    <t>Capital costs - lantern replacements</t>
  </si>
  <si>
    <t>Capital costs - other infrastructure (e.g. columns)</t>
  </si>
  <si>
    <t>Capital costs - other costs</t>
  </si>
  <si>
    <t>Base year</t>
  </si>
  <si>
    <t>Annuity</t>
  </si>
  <si>
    <t>Flat</t>
  </si>
  <si>
    <t>Repayment Method (annuity or flat repayment profile)</t>
  </si>
  <si>
    <t>Capital costs inflation</t>
  </si>
  <si>
    <t>Total Real Construction</t>
  </si>
  <si>
    <t>Use the area below to record details of the modelling being undertaken, and any key assumptions made.</t>
  </si>
  <si>
    <t>Street Lighting Toolkit Financial Model</t>
  </si>
  <si>
    <t>Years</t>
  </si>
  <si>
    <t>Repayment profile</t>
  </si>
  <si>
    <t>Base year for costs</t>
  </si>
  <si>
    <t>Dates</t>
  </si>
  <si>
    <t>Maintenance Upgrade Inflation</t>
  </si>
  <si>
    <t>Energy Upgrade Inflation</t>
  </si>
  <si>
    <t>Upgrade to be analysed - Constant Assumptions:</t>
  </si>
  <si>
    <t>Energy Consumption - Upgrade</t>
  </si>
  <si>
    <t>Energy Consumption - Status Quo</t>
  </si>
  <si>
    <t>Upgrade Costs in real terms</t>
  </si>
  <si>
    <t>Total Real Upgrade Costs</t>
  </si>
  <si>
    <t>Upgrade Costs</t>
  </si>
  <si>
    <t>Cost of Carbon under Upgrade</t>
  </si>
  <si>
    <t>Savings between current spend and Upgrade spend</t>
  </si>
  <si>
    <t>Upgrades Costs - nominal</t>
  </si>
  <si>
    <t>Total Nominal Upgrade Costs</t>
  </si>
  <si>
    <t>Upgrade</t>
  </si>
  <si>
    <t>Total Real Construction Costs</t>
  </si>
  <si>
    <t>Council Budgets - real Status Quo costs</t>
  </si>
  <si>
    <t>Total Budget Real Status Quo costs</t>
  </si>
  <si>
    <t>Total Nominal Budget Status Quo costs</t>
  </si>
  <si>
    <t>Budget Costs</t>
  </si>
  <si>
    <t>Council Budgets - nominal Status Quo costs</t>
  </si>
  <si>
    <t>Council Budget - real Upgrade costs</t>
  </si>
  <si>
    <t>Total Nominal Budget Upgrade Costs</t>
  </si>
  <si>
    <t>Comparison of cashflows</t>
  </si>
  <si>
    <t>Total Nominal Status Quo Costs</t>
  </si>
  <si>
    <t>Total Nominal Upgrade Costs including finance</t>
  </si>
  <si>
    <t>Net Present Value</t>
  </si>
  <si>
    <t>Total Budget Real Upgrade costs</t>
  </si>
  <si>
    <t>Nominal Capital Contribution:</t>
  </si>
  <si>
    <t>Current Scenario selected</t>
  </si>
  <si>
    <t>Net present value</t>
  </si>
  <si>
    <t>Final period of concession</t>
  </si>
  <si>
    <t>Operating costs</t>
  </si>
  <si>
    <t>kWh</t>
  </si>
  <si>
    <t>First period of concession</t>
  </si>
  <si>
    <r>
      <t>tonnes of CO</t>
    </r>
    <r>
      <rPr>
        <vertAlign val="subscript"/>
        <sz val="8.5"/>
        <rFont val="Arial"/>
        <family val="2"/>
      </rPr>
      <t>2</t>
    </r>
  </si>
  <si>
    <r>
      <t>£/CO</t>
    </r>
    <r>
      <rPr>
        <vertAlign val="subscript"/>
        <sz val="8.5"/>
        <rFont val="Arial"/>
        <family val="2"/>
      </rPr>
      <t>2</t>
    </r>
    <r>
      <rPr>
        <sz val="10"/>
        <rFont val="Arial"/>
        <family val="2"/>
      </rPr>
      <t xml:space="preserve"> tonne</t>
    </r>
  </si>
  <si>
    <t>Energy Consumption - Status Quo at start of concession</t>
  </si>
  <si>
    <t>Energy Consumption - Upgrade at end of concession</t>
  </si>
  <si>
    <t>Council contributions</t>
  </si>
  <si>
    <t>Net funding required</t>
  </si>
  <si>
    <t>Summary</t>
  </si>
  <si>
    <t>First financial year end</t>
  </si>
  <si>
    <t>Discount rate for Net Present Value calculation</t>
  </si>
  <si>
    <t>Other operational costs</t>
  </si>
  <si>
    <t>Other Operational Costs Status Quo Inflation</t>
  </si>
  <si>
    <t>Other Operational Costs Upgrade Inflation</t>
  </si>
  <si>
    <t>Energy costs</t>
  </si>
  <si>
    <t>Base financial year for costs</t>
  </si>
  <si>
    <t>Operation end date no more than 25 years from year of upgrade</t>
  </si>
  <si>
    <t>Year</t>
  </si>
  <si>
    <t>Total Carbon saved over analysis period</t>
  </si>
  <si>
    <t>Total Carbon Savings over analysis period</t>
  </si>
  <si>
    <t>Total Debt Service over analysis period</t>
  </si>
  <si>
    <t>Debt repaid by end of concession</t>
  </si>
  <si>
    <t>Tranche A Term Length</t>
  </si>
  <si>
    <t>Tranche A Interest Rate</t>
  </si>
  <si>
    <t>Tranche A % of Total Financing</t>
  </si>
  <si>
    <t>Tranche C Term Length</t>
  </si>
  <si>
    <t>Tranche C Interest Rate</t>
  </si>
  <si>
    <t>Tranche C % of Total Financing</t>
  </si>
  <si>
    <t>Tranche B Term Length</t>
  </si>
  <si>
    <t>Tranche B Interest Rate</t>
  </si>
  <si>
    <t>Tranche B % of Total Financing</t>
  </si>
  <si>
    <t>Tranche A Repayment Flag</t>
  </si>
  <si>
    <t>Tranche B Repayment Flag</t>
  </si>
  <si>
    <t>Tranche C Repayment Flag</t>
  </si>
  <si>
    <t>Tranche A</t>
  </si>
  <si>
    <t>Tranche B</t>
  </si>
  <si>
    <t>Tranche C</t>
  </si>
  <si>
    <t>Tranche B Drawdown</t>
  </si>
  <si>
    <t>Total Tranche B Funding</t>
  </si>
  <si>
    <t>Tranche B Annuity Repayment</t>
  </si>
  <si>
    <t>Tranche B Repayment periods remaining</t>
  </si>
  <si>
    <t>Tranche B b/f</t>
  </si>
  <si>
    <t>Tranche B c/f</t>
  </si>
  <si>
    <t>Tranche B Interest POS</t>
  </si>
  <si>
    <t>Tranche B remaining at the end of the concession</t>
  </si>
  <si>
    <t>Tranche A Drawdown</t>
  </si>
  <si>
    <t>Total Tranche A Funding</t>
  </si>
  <si>
    <t>Tranche A Annuity Repayment</t>
  </si>
  <si>
    <t>Tranche A Repayment periods remaining</t>
  </si>
  <si>
    <t>Tranche A b/f</t>
  </si>
  <si>
    <t>Tranche A c/f</t>
  </si>
  <si>
    <t>Tranche A Interest POS</t>
  </si>
  <si>
    <t>Tranche A remaining at the end of the concession</t>
  </si>
  <si>
    <t>Tranche C Drawdown</t>
  </si>
  <si>
    <t>Total Tranche C Funding</t>
  </si>
  <si>
    <t>Tranche C Repayment periods remaining</t>
  </si>
  <si>
    <t>Tranche C b/f</t>
  </si>
  <si>
    <t>Tranche C Annuity Repayment</t>
  </si>
  <si>
    <t>Tranche A Flat Repayment</t>
  </si>
  <si>
    <t>Tranche B Flat Repayment</t>
  </si>
  <si>
    <t>Tranche C Flat Repayment</t>
  </si>
  <si>
    <t>Tranche C c/f</t>
  </si>
  <si>
    <t>Tranche C Interest POS</t>
  </si>
  <si>
    <t>Tranche C remaining at the end of the concession</t>
  </si>
  <si>
    <t>Tranche A Interest</t>
  </si>
  <si>
    <t>Tranche B Interest</t>
  </si>
  <si>
    <t>Tranche C Interest</t>
  </si>
  <si>
    <t>Tranche A Principal Repayment</t>
  </si>
  <si>
    <t>Tranche B Principal Repayment</t>
  </si>
  <si>
    <t>Tranche C Principal Repayment</t>
  </si>
  <si>
    <t>Upgrade year</t>
  </si>
  <si>
    <t>Tranche A First repayment date</t>
  </si>
  <si>
    <t>Tranche A Final repayment date</t>
  </si>
  <si>
    <t>Tranche B First repayment date</t>
  </si>
  <si>
    <t>Tranche B Final repayment date</t>
  </si>
  <si>
    <t>Tranche C First repayment date</t>
  </si>
  <si>
    <t>Tranche C Final repayment date</t>
  </si>
  <si>
    <r>
      <t>CO</t>
    </r>
    <r>
      <rPr>
        <vertAlign val="subscript"/>
        <sz val="8.5"/>
        <rFont val="Arial"/>
        <family val="2"/>
      </rPr>
      <t>2</t>
    </r>
    <r>
      <rPr>
        <sz val="10"/>
        <rFont val="Arial"/>
      </rPr>
      <t xml:space="preserve"> emissions - Status Quo</t>
    </r>
  </si>
  <si>
    <r>
      <t>CO</t>
    </r>
    <r>
      <rPr>
        <vertAlign val="subscript"/>
        <sz val="8.5"/>
        <rFont val="Arial"/>
        <family val="2"/>
      </rPr>
      <t>2</t>
    </r>
    <r>
      <rPr>
        <sz val="10"/>
        <rFont val="Arial"/>
      </rPr>
      <t xml:space="preserve"> emissions - Upgrade</t>
    </r>
  </si>
  <si>
    <t>Carbon reduction - Status Quo to Upgrade</t>
  </si>
  <si>
    <t>NPV of Status Quo Costs (total maintenance, energy &amp; carbon costs over analysis period discounted to base date)</t>
  </si>
  <si>
    <t>NPV of Upgrade Costs (total maintenance, energy &amp; carbon costs over analysis period discounted)</t>
  </si>
  <si>
    <t>NPV of savings pre financing (saving on maintenance, energy and carbon costs over the analysis period discounted)</t>
  </si>
  <si>
    <t>NPV of savings post financing (saving on maintenance, energy and carbon costs less financing costs over the analysis period discounted)</t>
  </si>
  <si>
    <t>Cumulative Construction Costs</t>
  </si>
  <si>
    <t>Status Quo costs year 1 (should approximately equate to equivalent maintenance and energy budgeted costs)</t>
  </si>
  <si>
    <t>Construction complete at the start of the year ending</t>
  </si>
  <si>
    <t>For details on the use of this Financial Model please see the Street Lighting Toolkit document, Part C</t>
  </si>
  <si>
    <t>Inputs from 'Technical Model - worked example' - partial upgrade to LED (60% of existing lanterns upgraded)
Base case scenario split over two tranches of debt
Please see Street Lighting Toolkit document, Part D for further notes on the worked example.</t>
  </si>
</sst>
</file>

<file path=xl/styles.xml><?xml version="1.0" encoding="utf-8"?>
<styleSheet xmlns="http://schemas.openxmlformats.org/spreadsheetml/2006/main">
  <numFmts count="12">
    <numFmt numFmtId="164" formatCode="_(* #,##0_);_(* \(#,##0\);_(* &quot;-&quot;??_);_(@_)"/>
    <numFmt numFmtId="165" formatCode="\ #,##0.000_);\ \(#,##0.000\);\ &quot;0&quot;_)"/>
    <numFmt numFmtId="166" formatCode="\ &quot;Annuity&quot;;\ \(#,##0\);\ &quot;EIP&quot;_)"/>
    <numFmt numFmtId="167" formatCode="#,##0_);\(#,##0\);&quot;-  &quot;;&quot; &quot;@"/>
    <numFmt numFmtId="168" formatCode="dd\ mmm\ yyyy_);&quot;#date&quot;_);&quot;-  &quot;;&quot; &quot;@"/>
    <numFmt numFmtId="169" formatCode="dd\ mmm\ yy_);&quot;#date&quot;_);&quot;-  &quot;;&quot; &quot;@"/>
    <numFmt numFmtId="170" formatCode="#,##0.0000_);\(#,##0.0000\);&quot;-  &quot;;&quot; &quot;@"/>
    <numFmt numFmtId="171" formatCode="0.00%_);\-0.00%_);&quot;-  &quot;;&quot; &quot;@"/>
    <numFmt numFmtId="172" formatCode="0.0%_);\-0.0%_);&quot;-  &quot;;&quot; &quot;@"/>
    <numFmt numFmtId="173" formatCode="#,##0.000_);\(#,##0.000\);&quot;-  &quot;;&quot; &quot;@"/>
    <numFmt numFmtId="174" formatCode="dd\-mmm\-yy;\-;\-"/>
    <numFmt numFmtId="175" formatCode="0.0000%"/>
  </numFmts>
  <fonts count="21">
    <font>
      <sz val="10"/>
      <name val="Arial"/>
    </font>
    <font>
      <sz val="11"/>
      <color theme="1"/>
      <name val="Calibri"/>
      <family val="2"/>
      <scheme val="minor"/>
    </font>
    <font>
      <sz val="10"/>
      <name val="Arial"/>
      <family val="2"/>
    </font>
    <font>
      <b/>
      <sz val="10"/>
      <color indexed="9"/>
      <name val="Arial"/>
      <family val="2"/>
    </font>
    <font>
      <b/>
      <sz val="10"/>
      <name val="Arial"/>
      <family val="2"/>
    </font>
    <font>
      <i/>
      <sz val="10"/>
      <name val="Arial"/>
      <family val="2"/>
    </font>
    <font>
      <sz val="8"/>
      <name val="Arial"/>
      <family val="2"/>
    </font>
    <font>
      <sz val="10"/>
      <name val="Arial"/>
      <family val="2"/>
    </font>
    <font>
      <sz val="10"/>
      <color indexed="10"/>
      <name val="Arial"/>
      <family val="2"/>
    </font>
    <font>
      <b/>
      <i/>
      <sz val="10"/>
      <name val="Arial"/>
      <family val="2"/>
    </font>
    <font>
      <sz val="10"/>
      <color indexed="9"/>
      <name val="Arial"/>
      <family val="2"/>
    </font>
    <font>
      <sz val="11"/>
      <color theme="0"/>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2"/>
      <color theme="1"/>
      <name val="Calibri"/>
      <family val="2"/>
      <scheme val="minor"/>
    </font>
    <font>
      <vertAlign val="subscript"/>
      <sz val="8.5"/>
      <name val="Arial"/>
      <family val="2"/>
    </font>
    <font>
      <b/>
      <sz val="10"/>
      <color rgb="FF00B050"/>
      <name val="Arial"/>
      <family val="2"/>
    </font>
    <font>
      <sz val="12"/>
      <name val="Times New Roman"/>
      <family val="1"/>
    </font>
    <font>
      <b/>
      <sz val="11"/>
      <name val="Calibri"/>
      <family val="2"/>
      <scheme val="minor"/>
    </font>
  </fonts>
  <fills count="12">
    <fill>
      <patternFill patternType="none"/>
    </fill>
    <fill>
      <patternFill patternType="gray125"/>
    </fill>
    <fill>
      <patternFill patternType="solid">
        <fgColor rgb="FFA9DCF3"/>
        <bgColor indexed="64"/>
      </patternFill>
    </fill>
    <fill>
      <patternFill patternType="solid">
        <fgColor theme="0" tint="-0.499984740745262"/>
        <bgColor indexed="64"/>
      </patternFill>
    </fill>
    <fill>
      <patternFill patternType="solid">
        <fgColor rgb="FF28AAE1"/>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1" tint="4.9989318521683403E-2"/>
      </left>
      <right/>
      <top style="thin">
        <color theme="1" tint="4.9989318521683403E-2"/>
      </top>
      <bottom/>
      <diagonal/>
    </border>
    <border>
      <left/>
      <right/>
      <top style="thin">
        <color theme="1" tint="4.9989318521683403E-2"/>
      </top>
      <bottom/>
      <diagonal/>
    </border>
    <border>
      <left/>
      <right style="thin">
        <color indexed="64"/>
      </right>
      <top style="thin">
        <color theme="1" tint="4.9989318521683403E-2"/>
      </top>
      <bottom/>
      <diagonal/>
    </border>
    <border>
      <left style="thin">
        <color theme="1" tint="4.9989318521683403E-2"/>
      </left>
      <right/>
      <top/>
      <bottom style="thin">
        <color indexed="64"/>
      </bottom>
      <diagonal/>
    </border>
    <border>
      <left style="thin">
        <color indexed="64"/>
      </left>
      <right style="thin">
        <color indexed="64"/>
      </right>
      <top style="thin">
        <color theme="1" tint="4.9989318521683403E-2"/>
      </top>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s>
  <cellStyleXfs count="7">
    <xf numFmtId="0" fontId="0" fillId="0" borderId="0" applyFont="0" applyFill="0" applyBorder="0" applyAlignment="0" applyProtection="0"/>
    <xf numFmtId="167" fontId="4" fillId="0" borderId="0" applyFont="0" applyFill="0" applyBorder="0" applyAlignment="0" applyProtection="0"/>
    <xf numFmtId="171"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1" fillId="0" borderId="0"/>
  </cellStyleXfs>
  <cellXfs count="147">
    <xf numFmtId="0" fontId="0" fillId="0" borderId="0" xfId="0"/>
    <xf numFmtId="0" fontId="4" fillId="0" borderId="0" xfId="0" applyFont="1"/>
    <xf numFmtId="15" fontId="0" fillId="0" borderId="0" xfId="0" applyNumberFormat="1"/>
    <xf numFmtId="15" fontId="4" fillId="0" borderId="0" xfId="0" applyNumberFormat="1" applyFont="1"/>
    <xf numFmtId="164" fontId="4" fillId="0" borderId="0" xfId="1" applyNumberFormat="1" applyFont="1"/>
    <xf numFmtId="0" fontId="5" fillId="0" borderId="0" xfId="0" applyFont="1"/>
    <xf numFmtId="0" fontId="7" fillId="0" borderId="0" xfId="0" applyFont="1"/>
    <xf numFmtId="10" fontId="0" fillId="0" borderId="0" xfId="2" applyNumberFormat="1" applyFont="1"/>
    <xf numFmtId="165" fontId="0" fillId="0" borderId="0" xfId="0" applyNumberFormat="1"/>
    <xf numFmtId="0" fontId="0" fillId="0" borderId="1" xfId="0" applyBorder="1"/>
    <xf numFmtId="0" fontId="8" fillId="0" borderId="0" xfId="0" applyFont="1"/>
    <xf numFmtId="0" fontId="9" fillId="0" borderId="0" xfId="0" applyFont="1"/>
    <xf numFmtId="164" fontId="2" fillId="0" borderId="0" xfId="1" applyNumberFormat="1" applyFont="1"/>
    <xf numFmtId="1" fontId="0" fillId="0" borderId="0" xfId="0" applyNumberFormat="1"/>
    <xf numFmtId="15" fontId="7" fillId="0" borderId="0" xfId="0" applyNumberFormat="1" applyFont="1"/>
    <xf numFmtId="10" fontId="2" fillId="0" borderId="0" xfId="2" applyNumberFormat="1"/>
    <xf numFmtId="0" fontId="7" fillId="0" borderId="1" xfId="0" applyFont="1" applyBorder="1"/>
    <xf numFmtId="10" fontId="7" fillId="0" borderId="0" xfId="2" applyNumberFormat="1" applyFont="1"/>
    <xf numFmtId="0" fontId="2" fillId="0" borderId="0" xfId="0" applyFont="1"/>
    <xf numFmtId="0" fontId="0" fillId="0" borderId="0" xfId="0" applyFill="1"/>
    <xf numFmtId="0" fontId="0" fillId="0" borderId="3" xfId="0" applyBorder="1"/>
    <xf numFmtId="171" fontId="0" fillId="0" borderId="0" xfId="2" applyFont="1"/>
    <xf numFmtId="0" fontId="0" fillId="0" borderId="4" xfId="0" applyBorder="1"/>
    <xf numFmtId="0" fontId="0" fillId="0" borderId="0" xfId="0" applyBorder="1"/>
    <xf numFmtId="0" fontId="0" fillId="0" borderId="6" xfId="0" applyBorder="1"/>
    <xf numFmtId="0" fontId="4" fillId="0" borderId="8" xfId="0" applyFont="1" applyBorder="1"/>
    <xf numFmtId="0" fontId="7" fillId="0" borderId="8" xfId="0" applyFont="1" applyBorder="1"/>
    <xf numFmtId="0" fontId="0" fillId="0" borderId="10" xfId="0" applyBorder="1"/>
    <xf numFmtId="0" fontId="4" fillId="0" borderId="12" xfId="0" applyFont="1" applyBorder="1"/>
    <xf numFmtId="0" fontId="0" fillId="0" borderId="8" xfId="0" applyBorder="1"/>
    <xf numFmtId="0" fontId="0" fillId="0" borderId="9" xfId="0" applyBorder="1"/>
    <xf numFmtId="0" fontId="10" fillId="0" borderId="0" xfId="0" applyFont="1" applyFill="1" applyBorder="1"/>
    <xf numFmtId="0" fontId="3" fillId="0" borderId="8" xfId="0" applyFont="1" applyFill="1" applyBorder="1"/>
    <xf numFmtId="0" fontId="10" fillId="0" borderId="5" xfId="0" applyFont="1" applyFill="1" applyBorder="1"/>
    <xf numFmtId="0" fontId="4" fillId="0" borderId="4" xfId="0" applyFont="1" applyFill="1" applyBorder="1"/>
    <xf numFmtId="0" fontId="4" fillId="0" borderId="13" xfId="0" applyFont="1" applyFill="1" applyBorder="1"/>
    <xf numFmtId="0" fontId="10" fillId="0" borderId="14" xfId="0" applyFont="1" applyFill="1" applyBorder="1"/>
    <xf numFmtId="0" fontId="3" fillId="0" borderId="14" xfId="0" applyFont="1" applyFill="1" applyBorder="1"/>
    <xf numFmtId="0" fontId="4" fillId="0" borderId="11" xfId="0" applyFont="1" applyBorder="1" applyAlignment="1">
      <alignment horizontal="right"/>
    </xf>
    <xf numFmtId="0" fontId="4" fillId="0" borderId="5" xfId="0" applyFont="1" applyBorder="1" applyAlignment="1">
      <alignment horizontal="right"/>
    </xf>
    <xf numFmtId="0" fontId="7" fillId="0" borderId="3" xfId="0" applyFont="1" applyFill="1" applyBorder="1"/>
    <xf numFmtId="0" fontId="4" fillId="0" borderId="7" xfId="0" applyFont="1" applyBorder="1"/>
    <xf numFmtId="0" fontId="2" fillId="0" borderId="0" xfId="0" applyFont="1" applyFill="1"/>
    <xf numFmtId="0" fontId="0" fillId="0" borderId="0" xfId="0" applyFont="1"/>
    <xf numFmtId="167" fontId="0" fillId="0" borderId="0" xfId="1" applyFont="1"/>
    <xf numFmtId="167" fontId="7" fillId="0" borderId="0" xfId="1" applyFont="1"/>
    <xf numFmtId="167" fontId="0" fillId="0" borderId="3" xfId="1" applyFont="1" applyBorder="1"/>
    <xf numFmtId="167" fontId="2" fillId="0" borderId="0" xfId="1" applyFont="1"/>
    <xf numFmtId="167" fontId="4" fillId="0" borderId="0" xfId="1" applyFont="1"/>
    <xf numFmtId="167" fontId="7" fillId="0" borderId="5" xfId="1" applyFont="1" applyBorder="1"/>
    <xf numFmtId="0" fontId="7" fillId="0" borderId="0" xfId="0" applyNumberFormat="1" applyFont="1"/>
    <xf numFmtId="0" fontId="7" fillId="0" borderId="0" xfId="0" applyFont="1" applyFill="1" applyBorder="1"/>
    <xf numFmtId="0" fontId="2" fillId="0" borderId="0" xfId="0" applyFont="1" applyFill="1" applyBorder="1"/>
    <xf numFmtId="0" fontId="2" fillId="0" borderId="8" xfId="0" applyFont="1" applyBorder="1"/>
    <xf numFmtId="10" fontId="7" fillId="0" borderId="0" xfId="0" applyNumberFormat="1" applyFont="1"/>
    <xf numFmtId="167" fontId="0" fillId="0" borderId="0" xfId="0" applyNumberFormat="1"/>
    <xf numFmtId="0" fontId="2" fillId="0" borderId="0" xfId="0" applyFont="1" applyBorder="1"/>
    <xf numFmtId="0" fontId="2" fillId="0" borderId="3" xfId="0" applyFont="1" applyFill="1" applyBorder="1"/>
    <xf numFmtId="172" fontId="7" fillId="0" borderId="5" xfId="2" applyNumberFormat="1" applyFont="1" applyBorder="1"/>
    <xf numFmtId="0" fontId="9" fillId="0" borderId="0" xfId="0" applyFont="1" applyFill="1"/>
    <xf numFmtId="0" fontId="11" fillId="3" borderId="16" xfId="0" applyFont="1" applyFill="1" applyBorder="1" applyAlignment="1" applyProtection="1">
      <alignment horizontal="center" vertical="center" wrapText="1"/>
    </xf>
    <xf numFmtId="0" fontId="11" fillId="3" borderId="16" xfId="0" applyFont="1" applyFill="1" applyBorder="1" applyAlignment="1" applyProtection="1">
      <alignment horizontal="left" vertical="center"/>
    </xf>
    <xf numFmtId="0" fontId="12" fillId="4" borderId="17" xfId="0" applyFont="1" applyFill="1" applyBorder="1" applyAlignment="1" applyProtection="1">
      <alignment horizontal="left" vertical="center"/>
    </xf>
    <xf numFmtId="0" fontId="12" fillId="4" borderId="18"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12" fillId="4" borderId="20"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12" fillId="4" borderId="21"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167" fontId="0" fillId="0" borderId="0" xfId="1" applyFont="1" applyFill="1"/>
    <xf numFmtId="1" fontId="0" fillId="2" borderId="2" xfId="0" applyNumberFormat="1" applyFill="1" applyBorder="1" applyAlignment="1" applyProtection="1">
      <alignment vertical="center"/>
      <protection locked="0"/>
    </xf>
    <xf numFmtId="173" fontId="7" fillId="0" borderId="0" xfId="1" applyNumberFormat="1" applyFont="1"/>
    <xf numFmtId="0" fontId="4" fillId="0" borderId="0" xfId="0" applyFont="1" applyAlignment="1">
      <alignment horizontal="center"/>
    </xf>
    <xf numFmtId="0" fontId="0" fillId="5" borderId="22" xfId="0" applyFill="1" applyBorder="1" applyProtection="1">
      <protection locked="0"/>
    </xf>
    <xf numFmtId="10" fontId="0" fillId="5" borderId="22" xfId="2" applyNumberFormat="1" applyFont="1" applyFill="1" applyBorder="1" applyProtection="1">
      <protection locked="0"/>
    </xf>
    <xf numFmtId="166" fontId="0" fillId="2" borderId="22" xfId="0" applyNumberFormat="1" applyFill="1" applyBorder="1" applyProtection="1">
      <protection locked="0"/>
    </xf>
    <xf numFmtId="167" fontId="0" fillId="6" borderId="22" xfId="1" applyFont="1" applyFill="1" applyBorder="1" applyProtection="1">
      <protection locked="0"/>
    </xf>
    <xf numFmtId="0" fontId="14" fillId="7" borderId="23" xfId="6" applyFont="1" applyFill="1" applyBorder="1" applyAlignment="1" applyProtection="1">
      <alignment vertical="center"/>
    </xf>
    <xf numFmtId="0" fontId="1" fillId="7" borderId="24" xfId="6" applyFill="1" applyBorder="1" applyProtection="1"/>
    <xf numFmtId="0" fontId="1" fillId="7" borderId="25" xfId="6" applyFill="1" applyBorder="1" applyProtection="1"/>
    <xf numFmtId="0" fontId="1" fillId="3" borderId="0" xfId="6" applyFill="1" applyProtection="1"/>
    <xf numFmtId="0" fontId="15" fillId="8" borderId="26" xfId="6" applyFont="1" applyFill="1" applyBorder="1" applyProtection="1"/>
    <xf numFmtId="0" fontId="15" fillId="8" borderId="0" xfId="6" applyFont="1" applyFill="1" applyBorder="1" applyProtection="1"/>
    <xf numFmtId="0" fontId="15" fillId="8" borderId="27" xfId="6" applyFont="1" applyFill="1" applyBorder="1" applyProtection="1"/>
    <xf numFmtId="0" fontId="1" fillId="7" borderId="0" xfId="6" applyFill="1" applyBorder="1" applyProtection="1"/>
    <xf numFmtId="0" fontId="1" fillId="7" borderId="27" xfId="6" applyFill="1" applyBorder="1" applyProtection="1"/>
    <xf numFmtId="0" fontId="11" fillId="7" borderId="27" xfId="6" applyFont="1" applyFill="1" applyBorder="1" applyProtection="1"/>
    <xf numFmtId="0" fontId="1" fillId="7" borderId="0" xfId="6" applyFill="1" applyBorder="1" applyAlignment="1" applyProtection="1"/>
    <xf numFmtId="0" fontId="1" fillId="7" borderId="0" xfId="6" applyFill="1" applyBorder="1" applyAlignment="1" applyProtection="1">
      <alignment horizontal="center"/>
    </xf>
    <xf numFmtId="0" fontId="1" fillId="7" borderId="31" xfId="6" applyFill="1" applyBorder="1" applyProtection="1"/>
    <xf numFmtId="0" fontId="1" fillId="7" borderId="32" xfId="6" applyFill="1" applyBorder="1" applyProtection="1"/>
    <xf numFmtId="0" fontId="0" fillId="0" borderId="22" xfId="0" applyNumberFormat="1" applyBorder="1"/>
    <xf numFmtId="15" fontId="0" fillId="0" borderId="22" xfId="0" applyNumberFormat="1" applyBorder="1"/>
    <xf numFmtId="1" fontId="0" fillId="0" borderId="22" xfId="0" applyNumberFormat="1" applyBorder="1"/>
    <xf numFmtId="10" fontId="0" fillId="0" borderId="22" xfId="2" applyNumberFormat="1" applyFont="1" applyBorder="1"/>
    <xf numFmtId="0" fontId="0" fillId="10" borderId="22" xfId="0" applyNumberFormat="1" applyFill="1" applyBorder="1" applyProtection="1">
      <protection locked="0"/>
    </xf>
    <xf numFmtId="0" fontId="0" fillId="11" borderId="0" xfId="0" applyFill="1"/>
    <xf numFmtId="0" fontId="4" fillId="11" borderId="0" xfId="0" applyFont="1" applyFill="1" applyAlignment="1">
      <alignment horizontal="center"/>
    </xf>
    <xf numFmtId="0" fontId="4" fillId="11" borderId="0" xfId="0" applyFont="1" applyFill="1"/>
    <xf numFmtId="167" fontId="0" fillId="5" borderId="22" xfId="1" applyFont="1" applyFill="1" applyBorder="1" applyProtection="1">
      <protection locked="0"/>
    </xf>
    <xf numFmtId="167" fontId="4" fillId="0" borderId="0" xfId="0" applyNumberFormat="1" applyFont="1"/>
    <xf numFmtId="0" fontId="0" fillId="0" borderId="0" xfId="1" applyNumberFormat="1" applyFont="1"/>
    <xf numFmtId="0" fontId="4" fillId="0" borderId="0" xfId="0" applyFont="1" applyFill="1"/>
    <xf numFmtId="173" fontId="0" fillId="0" borderId="0" xfId="1" applyNumberFormat="1" applyFont="1"/>
    <xf numFmtId="167" fontId="4" fillId="0" borderId="0" xfId="1" applyFont="1" applyBorder="1"/>
    <xf numFmtId="0" fontId="4" fillId="0" borderId="0" xfId="0" applyFont="1" applyBorder="1"/>
    <xf numFmtId="167" fontId="2" fillId="0" borderId="3" xfId="1" applyFont="1" applyBorder="1"/>
    <xf numFmtId="0" fontId="4" fillId="9" borderId="0" xfId="0" applyFont="1" applyFill="1"/>
    <xf numFmtId="0" fontId="0" fillId="9" borderId="0" xfId="0" applyFill="1"/>
    <xf numFmtId="167" fontId="0" fillId="9" borderId="0" xfId="1" applyFont="1" applyFill="1"/>
    <xf numFmtId="167" fontId="0" fillId="0" borderId="33" xfId="1" applyFont="1" applyBorder="1"/>
    <xf numFmtId="175" fontId="0" fillId="0" borderId="22" xfId="2" applyNumberFormat="1" applyFont="1" applyBorder="1"/>
    <xf numFmtId="167" fontId="2" fillId="0" borderId="0" xfId="1" applyNumberFormat="1" applyFont="1"/>
    <xf numFmtId="167" fontId="2" fillId="0" borderId="1" xfId="1" applyFont="1" applyBorder="1"/>
    <xf numFmtId="0" fontId="2" fillId="9" borderId="0" xfId="0" applyFont="1" applyFill="1"/>
    <xf numFmtId="167" fontId="2" fillId="0" borderId="0" xfId="0" applyNumberFormat="1" applyFont="1"/>
    <xf numFmtId="15" fontId="2" fillId="0" borderId="0" xfId="0" applyNumberFormat="1" applyFont="1"/>
    <xf numFmtId="174" fontId="2" fillId="0" borderId="0" xfId="0" applyNumberFormat="1" applyFont="1"/>
    <xf numFmtId="175" fontId="2" fillId="0" borderId="0" xfId="0" applyNumberFormat="1" applyFont="1"/>
    <xf numFmtId="0" fontId="18" fillId="0" borderId="5" xfId="0" applyFont="1" applyBorder="1" applyAlignment="1">
      <alignment horizontal="right"/>
    </xf>
    <xf numFmtId="0" fontId="18" fillId="0" borderId="15" xfId="0" applyFont="1" applyFill="1" applyBorder="1" applyAlignment="1">
      <alignment horizontal="right"/>
    </xf>
    <xf numFmtId="0" fontId="18" fillId="0" borderId="7" xfId="0" applyFont="1" applyBorder="1"/>
    <xf numFmtId="0" fontId="19" fillId="0" borderId="0" xfId="0" applyFont="1" applyBorder="1" applyAlignment="1">
      <alignment horizontal="left"/>
    </xf>
    <xf numFmtId="0" fontId="1" fillId="3" borderId="0" xfId="6" applyFill="1" applyBorder="1" applyProtection="1"/>
    <xf numFmtId="0" fontId="13" fillId="7" borderId="26" xfId="6" applyFont="1" applyFill="1" applyBorder="1" applyProtection="1"/>
    <xf numFmtId="0" fontId="1" fillId="7" borderId="26" xfId="6" applyFill="1" applyBorder="1" applyProtection="1"/>
    <xf numFmtId="0" fontId="1" fillId="7" borderId="26" xfId="6" applyFill="1" applyBorder="1" applyAlignment="1" applyProtection="1">
      <alignment horizontal="center" vertical="center"/>
    </xf>
    <xf numFmtId="0" fontId="13" fillId="7" borderId="26" xfId="6" applyFont="1" applyFill="1" applyBorder="1" applyAlignment="1" applyProtection="1">
      <alignment vertical="center" wrapText="1"/>
    </xf>
    <xf numFmtId="0" fontId="1" fillId="7" borderId="26" xfId="6" applyFill="1" applyBorder="1" applyAlignment="1" applyProtection="1"/>
    <xf numFmtId="0" fontId="1" fillId="7" borderId="34" xfId="6" applyFill="1" applyBorder="1" applyProtection="1"/>
    <xf numFmtId="167" fontId="4" fillId="0" borderId="0" xfId="1" applyNumberFormat="1" applyFont="1"/>
    <xf numFmtId="167" fontId="7" fillId="0" borderId="0" xfId="0" applyNumberFormat="1" applyFont="1"/>
    <xf numFmtId="10" fontId="0" fillId="0" borderId="22" xfId="2" applyNumberFormat="1" applyFont="1" applyFill="1" applyBorder="1" applyProtection="1">
      <protection locked="0"/>
    </xf>
    <xf numFmtId="167" fontId="2" fillId="0" borderId="0" xfId="0" applyNumberFormat="1" applyFont="1" applyAlignment="1">
      <alignment horizontal="right"/>
    </xf>
    <xf numFmtId="172" fontId="2" fillId="0" borderId="5" xfId="2" applyNumberFormat="1" applyFont="1" applyBorder="1"/>
    <xf numFmtId="0" fontId="2" fillId="0" borderId="0" xfId="0" applyFont="1" applyFill="1" applyBorder="1" applyAlignment="1">
      <alignment wrapText="1"/>
    </xf>
    <xf numFmtId="0" fontId="7" fillId="0" borderId="0" xfId="0" applyFont="1" applyFill="1" applyBorder="1" applyAlignment="1">
      <alignment wrapText="1"/>
    </xf>
    <xf numFmtId="0" fontId="16" fillId="7" borderId="0" xfId="6" applyFont="1" applyFill="1" applyBorder="1" applyAlignment="1" applyProtection="1">
      <alignment horizontal="left" vertical="top" wrapText="1"/>
    </xf>
    <xf numFmtId="0" fontId="20" fillId="7" borderId="0" xfId="6" applyFont="1" applyFill="1" applyBorder="1" applyAlignment="1" applyProtection="1">
      <alignment horizontal="left" vertical="center"/>
    </xf>
    <xf numFmtId="0" fontId="13" fillId="0" borderId="0" xfId="6" applyFont="1" applyFill="1" applyBorder="1" applyAlignment="1" applyProtection="1">
      <alignment horizontal="left" vertical="center" wrapText="1"/>
    </xf>
    <xf numFmtId="49" fontId="1" fillId="9" borderId="28" xfId="6" applyNumberFormat="1" applyFill="1" applyBorder="1" applyAlignment="1" applyProtection="1">
      <alignment horizontal="left" vertical="top" wrapText="1"/>
      <protection locked="0"/>
    </xf>
    <xf numFmtId="49" fontId="1" fillId="0" borderId="29" xfId="6" applyNumberFormat="1" applyBorder="1" applyAlignment="1" applyProtection="1">
      <alignment vertical="top" wrapText="1"/>
      <protection locked="0"/>
    </xf>
    <xf numFmtId="49" fontId="1" fillId="0" borderId="30" xfId="6" applyNumberFormat="1" applyBorder="1" applyAlignment="1" applyProtection="1">
      <alignment vertical="top" wrapText="1"/>
      <protection locked="0"/>
    </xf>
    <xf numFmtId="0" fontId="13" fillId="7" borderId="0" xfId="6" applyFont="1" applyFill="1" applyBorder="1" applyAlignment="1" applyProtection="1">
      <alignment horizontal="center" vertical="center" wrapText="1"/>
    </xf>
    <xf numFmtId="0" fontId="13" fillId="0" borderId="0" xfId="6" applyFont="1" applyFill="1" applyBorder="1" applyAlignment="1" applyProtection="1">
      <alignment vertical="center"/>
    </xf>
    <xf numFmtId="0" fontId="0" fillId="0" borderId="0" xfId="0" applyFill="1" applyBorder="1" applyAlignment="1"/>
  </cellXfs>
  <cellStyles count="7">
    <cellStyle name="Comma" xfId="1" builtinId="3" customBuiltin="1"/>
    <cellStyle name="DateLong" xfId="3"/>
    <cellStyle name="DateShort" xfId="4"/>
    <cellStyle name="Factor" xfId="5"/>
    <cellStyle name="Normal" xfId="0" builtinId="0" customBuiltin="1"/>
    <cellStyle name="Normal 2" xfId="6"/>
    <cellStyle name="Percent" xfId="2" builtinId="5" customBuiltin="1"/>
  </cellStyles>
  <dxfs count="6">
    <dxf>
      <font>
        <condense val="0"/>
        <extend val="0"/>
        <color indexed="10"/>
      </font>
    </dxf>
    <dxf>
      <font>
        <condense val="0"/>
        <extend val="0"/>
        <color indexed="12"/>
      </font>
    </dxf>
    <dxf>
      <font>
        <color rgb="FFFF0000"/>
      </font>
    </dxf>
    <dxf>
      <font>
        <condense val="0"/>
        <extend val="0"/>
        <color indexed="10"/>
      </font>
    </dxf>
    <dxf>
      <font>
        <condense val="0"/>
        <extend val="0"/>
        <color indexed="12"/>
      </font>
    </dxf>
    <dxf>
      <font>
        <color rgb="FFFF0000"/>
      </font>
    </dxf>
  </dxfs>
  <tableStyles count="0" defaultTableStyle="TableStyleMedium9" defaultPivotStyle="PivotStyleLight16"/>
  <colors>
    <mruColors>
      <color rgb="FFA9DC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Forecast Savings over analysis period</a:t>
            </a:r>
          </a:p>
        </c:rich>
      </c:tx>
      <c:layout/>
    </c:title>
    <c:view3D>
      <c:rotX val="30"/>
      <c:perspective val="30"/>
    </c:view3D>
    <c:plotArea>
      <c:layout/>
      <c:pie3DChart>
        <c:varyColors val="1"/>
        <c:ser>
          <c:idx val="0"/>
          <c:order val="0"/>
          <c:tx>
            <c:v>Forecast Savings</c:v>
          </c:tx>
          <c:cat>
            <c:strRef>
              <c:f>('Results Summary'!$E$20,'Results Summary'!$E$21,'Results Summary'!$E$23)</c:f>
              <c:strCache>
                <c:ptCount val="3"/>
                <c:pt idx="0">
                  <c:v>Total Maintenance Savings over analysis period</c:v>
                </c:pt>
                <c:pt idx="1">
                  <c:v>Total Energy Savings over analysis period</c:v>
                </c:pt>
                <c:pt idx="2">
                  <c:v>Total Carbon Savings over analysis period</c:v>
                </c:pt>
              </c:strCache>
            </c:strRef>
          </c:cat>
          <c:val>
            <c:numRef>
              <c:f>('Results Summary'!$H$20,'Results Summary'!$H$21,'Results Summary'!$H$23)</c:f>
              <c:numCache>
                <c:formatCode>#,##0_);\(#,##0\);"-  ";" "@</c:formatCode>
                <c:ptCount val="3"/>
                <c:pt idx="0">
                  <c:v>3905756.6555053042</c:v>
                </c:pt>
                <c:pt idx="1">
                  <c:v>8025113.7065764554</c:v>
                </c:pt>
                <c:pt idx="2">
                  <c:v>314744.97831712011</c:v>
                </c:pt>
              </c:numCache>
            </c:numRef>
          </c:val>
        </c:ser>
      </c:pie3DChart>
    </c:plotArea>
    <c:legend>
      <c:legendPos val="r"/>
      <c:layout/>
      <c:txPr>
        <a:bodyPr/>
        <a:lstStyle/>
        <a:p>
          <a:pPr rtl="0">
            <a:defRPr/>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a:t>Split</a:t>
            </a:r>
            <a:r>
              <a:rPr lang="en-GB" baseline="0"/>
              <a:t> of nominal upgrade costs</a:t>
            </a:r>
            <a:endParaRPr lang="en-GB"/>
          </a:p>
        </c:rich>
      </c:tx>
      <c:layout/>
    </c:title>
    <c:plotArea>
      <c:layout/>
      <c:areaChart>
        <c:grouping val="stacked"/>
        <c:ser>
          <c:idx val="0"/>
          <c:order val="0"/>
          <c:tx>
            <c:strRef>
              <c:f>Workings!$E$59</c:f>
              <c:strCache>
                <c:ptCount val="1"/>
                <c:pt idx="0">
                  <c:v>Maintenance</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Workings!$J$59:$AQ$59</c:f>
              <c:numCache>
                <c:formatCode>#,##0_);\(#,##0\);"-  ";" "@</c:formatCode>
                <c:ptCount val="34"/>
                <c:pt idx="0">
                  <c:v>249882.06845238095</c:v>
                </c:pt>
                <c:pt idx="1">
                  <c:v>256129.12016369044</c:v>
                </c:pt>
                <c:pt idx="2">
                  <c:v>262532.34816778271</c:v>
                </c:pt>
                <c:pt idx="3">
                  <c:v>93232.859894793131</c:v>
                </c:pt>
                <c:pt idx="4">
                  <c:v>95563.681392162951</c:v>
                </c:pt>
                <c:pt idx="5">
                  <c:v>97952.773426967018</c:v>
                </c:pt>
                <c:pt idx="6">
                  <c:v>100401.59276264119</c:v>
                </c:pt>
                <c:pt idx="7">
                  <c:v>102918.59489138452</c:v>
                </c:pt>
                <c:pt idx="8">
                  <c:v>105491.55976366914</c:v>
                </c:pt>
                <c:pt idx="9">
                  <c:v>108128.84875776085</c:v>
                </c:pt>
                <c:pt idx="10">
                  <c:v>110832.06997670486</c:v>
                </c:pt>
                <c:pt idx="11">
                  <c:v>153442.52072828141</c:v>
                </c:pt>
                <c:pt idx="12">
                  <c:v>157278.58374648841</c:v>
                </c:pt>
                <c:pt idx="13">
                  <c:v>161210.54834015062</c:v>
                </c:pt>
                <c:pt idx="14">
                  <c:v>165240.81204865436</c:v>
                </c:pt>
                <c:pt idx="15">
                  <c:v>169383.29091016998</c:v>
                </c:pt>
                <c:pt idx="16">
                  <c:v>173617.87318292423</c:v>
                </c:pt>
                <c:pt idx="17">
                  <c:v>177958.32001249734</c:v>
                </c:pt>
                <c:pt idx="18">
                  <c:v>182407.27801280975</c:v>
                </c:pt>
                <c:pt idx="19">
                  <c:v>170946.55304087047</c:v>
                </c:pt>
                <c:pt idx="20">
                  <c:v>175220.21686689221</c:v>
                </c:pt>
                <c:pt idx="21">
                  <c:v>179600.72228856449</c:v>
                </c:pt>
                <c:pt idx="22">
                  <c:v>184090.74034577858</c:v>
                </c:pt>
                <c:pt idx="23">
                  <c:v>188705.77455572068</c:v>
                </c:pt>
                <c:pt idx="24">
                  <c:v>193423.41891961364</c:v>
                </c:pt>
                <c:pt idx="25">
                  <c:v>0</c:v>
                </c:pt>
                <c:pt idx="26">
                  <c:v>0</c:v>
                </c:pt>
                <c:pt idx="27">
                  <c:v>0</c:v>
                </c:pt>
                <c:pt idx="28">
                  <c:v>0</c:v>
                </c:pt>
                <c:pt idx="29">
                  <c:v>0</c:v>
                </c:pt>
                <c:pt idx="30">
                  <c:v>0</c:v>
                </c:pt>
                <c:pt idx="31">
                  <c:v>0</c:v>
                </c:pt>
                <c:pt idx="32">
                  <c:v>0</c:v>
                </c:pt>
                <c:pt idx="33">
                  <c:v>0</c:v>
                </c:pt>
              </c:numCache>
            </c:numRef>
          </c:val>
        </c:ser>
        <c:ser>
          <c:idx val="1"/>
          <c:order val="1"/>
          <c:tx>
            <c:strRef>
              <c:f>Workings!$E$60</c:f>
              <c:strCache>
                <c:ptCount val="1"/>
                <c:pt idx="0">
                  <c:v>Energy costs</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Workings!$J$60:$AQ$60</c:f>
              <c:numCache>
                <c:formatCode>#,##0_);\(#,##0\);"-  ";" "@</c:formatCode>
                <c:ptCount val="34"/>
                <c:pt idx="0">
                  <c:v>423898.78900000005</c:v>
                </c:pt>
                <c:pt idx="1">
                  <c:v>447472.97499999998</c:v>
                </c:pt>
                <c:pt idx="2">
                  <c:v>482656.61903261114</c:v>
                </c:pt>
                <c:pt idx="3">
                  <c:v>258832.95774648691</c:v>
                </c:pt>
                <c:pt idx="4">
                  <c:v>270186.66745044134</c:v>
                </c:pt>
                <c:pt idx="5">
                  <c:v>280038.9812132059</c:v>
                </c:pt>
                <c:pt idx="6">
                  <c:v>285349.89118409296</c:v>
                </c:pt>
                <c:pt idx="7">
                  <c:v>298553.93648123165</c:v>
                </c:pt>
                <c:pt idx="8">
                  <c:v>316519.73875651258</c:v>
                </c:pt>
                <c:pt idx="9">
                  <c:v>337445.89768270508</c:v>
                </c:pt>
                <c:pt idx="10">
                  <c:v>350826.83482924587</c:v>
                </c:pt>
                <c:pt idx="11">
                  <c:v>361709.9804351913</c:v>
                </c:pt>
                <c:pt idx="12">
                  <c:v>384057.51568546274</c:v>
                </c:pt>
                <c:pt idx="13">
                  <c:v>402466.97250420897</c:v>
                </c:pt>
                <c:pt idx="14">
                  <c:v>414872.59472235927</c:v>
                </c:pt>
                <c:pt idx="15">
                  <c:v>434233.57218243583</c:v>
                </c:pt>
                <c:pt idx="16">
                  <c:v>445387.02410107158</c:v>
                </c:pt>
                <c:pt idx="17">
                  <c:v>457344.94298039208</c:v>
                </c:pt>
                <c:pt idx="18">
                  <c:v>474085.9213806609</c:v>
                </c:pt>
                <c:pt idx="19">
                  <c:v>485970.94472031435</c:v>
                </c:pt>
                <c:pt idx="20">
                  <c:v>498120.21833832219</c:v>
                </c:pt>
                <c:pt idx="21">
                  <c:v>510573.2237967801</c:v>
                </c:pt>
                <c:pt idx="22">
                  <c:v>523337.55439169961</c:v>
                </c:pt>
                <c:pt idx="23">
                  <c:v>536457.28389210033</c:v>
                </c:pt>
                <c:pt idx="24">
                  <c:v>549868.71598940273</c:v>
                </c:pt>
                <c:pt idx="25">
                  <c:v>0</c:v>
                </c:pt>
                <c:pt idx="26">
                  <c:v>0</c:v>
                </c:pt>
                <c:pt idx="27">
                  <c:v>0</c:v>
                </c:pt>
                <c:pt idx="28">
                  <c:v>0</c:v>
                </c:pt>
                <c:pt idx="29">
                  <c:v>0</c:v>
                </c:pt>
                <c:pt idx="30">
                  <c:v>0</c:v>
                </c:pt>
                <c:pt idx="31">
                  <c:v>0</c:v>
                </c:pt>
                <c:pt idx="32">
                  <c:v>0</c:v>
                </c:pt>
                <c:pt idx="33">
                  <c:v>0</c:v>
                </c:pt>
              </c:numCache>
            </c:numRef>
          </c:val>
        </c:ser>
        <c:ser>
          <c:idx val="2"/>
          <c:order val="2"/>
          <c:tx>
            <c:v>Carbon Costs</c:v>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Workings!$J$81:$AQ$81</c:f>
              <c:numCache>
                <c:formatCode>#,##0_);\(#,##0\);"-  ";" "@</c:formatCode>
                <c:ptCount val="34"/>
                <c:pt idx="0">
                  <c:v>24621.927599999999</c:v>
                </c:pt>
                <c:pt idx="1">
                  <c:v>24098.056800000002</c:v>
                </c:pt>
                <c:pt idx="2">
                  <c:v>30035.2592</c:v>
                </c:pt>
                <c:pt idx="3">
                  <c:v>15773.89558816</c:v>
                </c:pt>
                <c:pt idx="4">
                  <c:v>15040.226025920001</c:v>
                </c:pt>
                <c:pt idx="5">
                  <c:v>14673.391244800001</c:v>
                </c:pt>
                <c:pt idx="6">
                  <c:v>17883.1955796</c:v>
                </c:pt>
                <c:pt idx="7">
                  <c:v>16966.1086268</c:v>
                </c:pt>
                <c:pt idx="8">
                  <c:v>18914.918401500003</c:v>
                </c:pt>
                <c:pt idx="9">
                  <c:v>17768.559710500002</c:v>
                </c:pt>
                <c:pt idx="10">
                  <c:v>20634.456438000005</c:v>
                </c:pt>
                <c:pt idx="11">
                  <c:v>18571.010794200003</c:v>
                </c:pt>
                <c:pt idx="12">
                  <c:v>18571.010794200003</c:v>
                </c:pt>
                <c:pt idx="13">
                  <c:v>18571.010794200003</c:v>
                </c:pt>
                <c:pt idx="14">
                  <c:v>17195.380365000001</c:v>
                </c:pt>
                <c:pt idx="15">
                  <c:v>16507.565150400002</c:v>
                </c:pt>
                <c:pt idx="16">
                  <c:v>15131.934721199999</c:v>
                </c:pt>
                <c:pt idx="17">
                  <c:v>14444.119506600002</c:v>
                </c:pt>
                <c:pt idx="18">
                  <c:v>13068.489077400003</c:v>
                </c:pt>
                <c:pt idx="19">
                  <c:v>13068.489077400003</c:v>
                </c:pt>
                <c:pt idx="20">
                  <c:v>13068.489077400003</c:v>
                </c:pt>
                <c:pt idx="21">
                  <c:v>13068.489077400003</c:v>
                </c:pt>
                <c:pt idx="22">
                  <c:v>13068.489077400003</c:v>
                </c:pt>
                <c:pt idx="23">
                  <c:v>13068.489077400003</c:v>
                </c:pt>
                <c:pt idx="24">
                  <c:v>13068.489077400003</c:v>
                </c:pt>
                <c:pt idx="25">
                  <c:v>0</c:v>
                </c:pt>
                <c:pt idx="26">
                  <c:v>0</c:v>
                </c:pt>
                <c:pt idx="27">
                  <c:v>0</c:v>
                </c:pt>
                <c:pt idx="28">
                  <c:v>0</c:v>
                </c:pt>
                <c:pt idx="29">
                  <c:v>0</c:v>
                </c:pt>
                <c:pt idx="30">
                  <c:v>0</c:v>
                </c:pt>
                <c:pt idx="31">
                  <c:v>0</c:v>
                </c:pt>
                <c:pt idx="32">
                  <c:v>0</c:v>
                </c:pt>
                <c:pt idx="33">
                  <c:v>0</c:v>
                </c:pt>
              </c:numCache>
            </c:numRef>
          </c:val>
        </c:ser>
        <c:axId val="58579968"/>
        <c:axId val="58581760"/>
      </c:areaChart>
      <c:catAx>
        <c:axId val="58579968"/>
        <c:scaling>
          <c:orientation val="minMax"/>
        </c:scaling>
        <c:axPos val="b"/>
        <c:numFmt formatCode="General" sourceLinked="1"/>
        <c:tickLblPos val="nextTo"/>
        <c:txPr>
          <a:bodyPr rot="-2700000"/>
          <a:lstStyle/>
          <a:p>
            <a:pPr>
              <a:defRPr/>
            </a:pPr>
            <a:endParaRPr lang="en-US"/>
          </a:p>
        </c:txPr>
        <c:crossAx val="58581760"/>
        <c:crosses val="autoZero"/>
        <c:auto val="1"/>
        <c:lblAlgn val="ctr"/>
        <c:lblOffset val="100"/>
      </c:catAx>
      <c:valAx>
        <c:axId val="58581760"/>
        <c:scaling>
          <c:orientation val="minMax"/>
          <c:min val="0"/>
        </c:scaling>
        <c:axPos val="l"/>
        <c:majorGridlines/>
        <c:title>
          <c:tx>
            <c:rich>
              <a:bodyPr rot="0" vert="horz"/>
              <a:lstStyle/>
              <a:p>
                <a:pPr>
                  <a:defRPr/>
                </a:pPr>
                <a:r>
                  <a:rPr lang="en-GB"/>
                  <a:t>£</a:t>
                </a:r>
              </a:p>
            </c:rich>
          </c:tx>
          <c:layout/>
        </c:title>
        <c:numFmt formatCode="#,##0_);\(#,##0\);&quot;-  &quot;;&quot; &quot;@" sourceLinked="1"/>
        <c:tickLblPos val="nextTo"/>
        <c:crossAx val="58579968"/>
        <c:crosses val="autoZero"/>
        <c:crossBetween val="midCat"/>
      </c:valAx>
    </c:plotArea>
    <c:legend>
      <c:legendPos val="r"/>
      <c:layout/>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a:t>Split of nominal status quo costs</a:t>
            </a:r>
          </a:p>
        </c:rich>
      </c:tx>
      <c:layout/>
    </c:title>
    <c:plotArea>
      <c:layout/>
      <c:areaChart>
        <c:grouping val="stacked"/>
        <c:ser>
          <c:idx val="0"/>
          <c:order val="0"/>
          <c:tx>
            <c:strRef>
              <c:f>Workings!$E$41</c:f>
              <c:strCache>
                <c:ptCount val="1"/>
                <c:pt idx="0">
                  <c:v>Maintenance</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Workings!$J$41:$AQ$41</c:f>
              <c:numCache>
                <c:formatCode>#,##0_);\(#,##0\);"-  ";" "@</c:formatCode>
                <c:ptCount val="34"/>
                <c:pt idx="0">
                  <c:v>249882.06845238095</c:v>
                </c:pt>
                <c:pt idx="1">
                  <c:v>256129.12016369044</c:v>
                </c:pt>
                <c:pt idx="2">
                  <c:v>262532.34816778271</c:v>
                </c:pt>
                <c:pt idx="3">
                  <c:v>269113.86207627691</c:v>
                </c:pt>
                <c:pt idx="4">
                  <c:v>275841.70862818381</c:v>
                </c:pt>
                <c:pt idx="5">
                  <c:v>282737.75134388841</c:v>
                </c:pt>
                <c:pt idx="6">
                  <c:v>289806.19512748561</c:v>
                </c:pt>
                <c:pt idx="7">
                  <c:v>297071.44650435721</c:v>
                </c:pt>
                <c:pt idx="8">
                  <c:v>305897.68157998455</c:v>
                </c:pt>
                <c:pt idx="9">
                  <c:v>313545.12361948413</c:v>
                </c:pt>
                <c:pt idx="10">
                  <c:v>321383.75170997123</c:v>
                </c:pt>
                <c:pt idx="11">
                  <c:v>329440.63173487171</c:v>
                </c:pt>
                <c:pt idx="12">
                  <c:v>337676.64752824348</c:v>
                </c:pt>
                <c:pt idx="13">
                  <c:v>346118.56371644948</c:v>
                </c:pt>
                <c:pt idx="14">
                  <c:v>354771.52780936076</c:v>
                </c:pt>
                <c:pt idx="15">
                  <c:v>363665.41749918595</c:v>
                </c:pt>
                <c:pt idx="16">
                  <c:v>307954.76645121351</c:v>
                </c:pt>
                <c:pt idx="17">
                  <c:v>315653.63561249385</c:v>
                </c:pt>
                <c:pt idx="18">
                  <c:v>323544.97650280618</c:v>
                </c:pt>
                <c:pt idx="19">
                  <c:v>331656.03701682616</c:v>
                </c:pt>
                <c:pt idx="20">
                  <c:v>339947.43794224679</c:v>
                </c:pt>
                <c:pt idx="21">
                  <c:v>348446.1238908029</c:v>
                </c:pt>
                <c:pt idx="22">
                  <c:v>357157.27698807296</c:v>
                </c:pt>
                <c:pt idx="23">
                  <c:v>366110.9758462215</c:v>
                </c:pt>
                <c:pt idx="24">
                  <c:v>375263.75024237699</c:v>
                </c:pt>
                <c:pt idx="25">
                  <c:v>0</c:v>
                </c:pt>
                <c:pt idx="26">
                  <c:v>0</c:v>
                </c:pt>
                <c:pt idx="27">
                  <c:v>0</c:v>
                </c:pt>
                <c:pt idx="28">
                  <c:v>0</c:v>
                </c:pt>
                <c:pt idx="29">
                  <c:v>0</c:v>
                </c:pt>
                <c:pt idx="30">
                  <c:v>0</c:v>
                </c:pt>
                <c:pt idx="31">
                  <c:v>0</c:v>
                </c:pt>
                <c:pt idx="32">
                  <c:v>0</c:v>
                </c:pt>
                <c:pt idx="33">
                  <c:v>0</c:v>
                </c:pt>
              </c:numCache>
            </c:numRef>
          </c:val>
        </c:ser>
        <c:ser>
          <c:idx val="1"/>
          <c:order val="1"/>
          <c:tx>
            <c:strRef>
              <c:f>Workings!$E$42</c:f>
              <c:strCache>
                <c:ptCount val="1"/>
                <c:pt idx="0">
                  <c:v>Energy costs</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Workings!$J$42:$AQ$42</c:f>
              <c:numCache>
                <c:formatCode>#,##0_);\(#,##0\);"-  ";" "@</c:formatCode>
                <c:ptCount val="34"/>
                <c:pt idx="0">
                  <c:v>423898.78900000005</c:v>
                </c:pt>
                <c:pt idx="1">
                  <c:v>447472.97499999998</c:v>
                </c:pt>
                <c:pt idx="2">
                  <c:v>482656.61903261114</c:v>
                </c:pt>
                <c:pt idx="3">
                  <c:v>492846.86410969327</c:v>
                </c:pt>
                <c:pt idx="4">
                  <c:v>514465.59563570842</c:v>
                </c:pt>
                <c:pt idx="5">
                  <c:v>533225.50157844066</c:v>
                </c:pt>
                <c:pt idx="6">
                  <c:v>543338.06741051015</c:v>
                </c:pt>
                <c:pt idx="7">
                  <c:v>568480.04459500359</c:v>
                </c:pt>
                <c:pt idx="8">
                  <c:v>602688.93897104135</c:v>
                </c:pt>
                <c:pt idx="9">
                  <c:v>642534.68309276353</c:v>
                </c:pt>
                <c:pt idx="10">
                  <c:v>668013.48211796628</c:v>
                </c:pt>
                <c:pt idx="11">
                  <c:v>688736.20703769184</c:v>
                </c:pt>
                <c:pt idx="12">
                  <c:v>731288.41045324237</c:v>
                </c:pt>
                <c:pt idx="13">
                  <c:v>766342.07263782551</c:v>
                </c:pt>
                <c:pt idx="14">
                  <c:v>789963.76309323253</c:v>
                </c:pt>
                <c:pt idx="15">
                  <c:v>826829.22686714283</c:v>
                </c:pt>
                <c:pt idx="16">
                  <c:v>848066.64520040562</c:v>
                </c:pt>
                <c:pt idx="17">
                  <c:v>870835.85848862794</c:v>
                </c:pt>
                <c:pt idx="18">
                  <c:v>902712.55138946697</c:v>
                </c:pt>
                <c:pt idx="19">
                  <c:v>925342.96342747251</c:v>
                </c:pt>
                <c:pt idx="20">
                  <c:v>948476.53751315933</c:v>
                </c:pt>
                <c:pt idx="21">
                  <c:v>972188.4509509881</c:v>
                </c:pt>
                <c:pt idx="22">
                  <c:v>996493.16222476284</c:v>
                </c:pt>
                <c:pt idx="23">
                  <c:v>1021474.5927138933</c:v>
                </c:pt>
                <c:pt idx="24">
                  <c:v>1047011.4575317404</c:v>
                </c:pt>
                <c:pt idx="25">
                  <c:v>0</c:v>
                </c:pt>
                <c:pt idx="26">
                  <c:v>0</c:v>
                </c:pt>
                <c:pt idx="27">
                  <c:v>0</c:v>
                </c:pt>
                <c:pt idx="28">
                  <c:v>0</c:v>
                </c:pt>
                <c:pt idx="29">
                  <c:v>0</c:v>
                </c:pt>
                <c:pt idx="30">
                  <c:v>0</c:v>
                </c:pt>
                <c:pt idx="31">
                  <c:v>0</c:v>
                </c:pt>
                <c:pt idx="32">
                  <c:v>0</c:v>
                </c:pt>
                <c:pt idx="33">
                  <c:v>0</c:v>
                </c:pt>
              </c:numCache>
            </c:numRef>
          </c:val>
        </c:ser>
        <c:ser>
          <c:idx val="2"/>
          <c:order val="2"/>
          <c:tx>
            <c:v>Carbon Costs</c:v>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Workings!$J$74:$AQ$74</c:f>
              <c:numCache>
                <c:formatCode>#,##0_);\(#,##0\);"-  ";" "@</c:formatCode>
                <c:ptCount val="34"/>
                <c:pt idx="0">
                  <c:v>24621.927599999999</c:v>
                </c:pt>
                <c:pt idx="1">
                  <c:v>24098.056800000002</c:v>
                </c:pt>
                <c:pt idx="2">
                  <c:v>30035.2592</c:v>
                </c:pt>
                <c:pt idx="3">
                  <c:v>30035.2592</c:v>
                </c:pt>
                <c:pt idx="4">
                  <c:v>28638.270400000001</c:v>
                </c:pt>
                <c:pt idx="5">
                  <c:v>27939.776000000002</c:v>
                </c:pt>
                <c:pt idx="6">
                  <c:v>34051.601999999999</c:v>
                </c:pt>
                <c:pt idx="7">
                  <c:v>32305.366000000002</c:v>
                </c:pt>
                <c:pt idx="8">
                  <c:v>36016.1175</c:v>
                </c:pt>
                <c:pt idx="9">
                  <c:v>33833.322500000002</c:v>
                </c:pt>
                <c:pt idx="10">
                  <c:v>39290.31</c:v>
                </c:pt>
                <c:pt idx="11">
                  <c:v>35361.27900000001</c:v>
                </c:pt>
                <c:pt idx="12">
                  <c:v>35361.27900000001</c:v>
                </c:pt>
                <c:pt idx="13">
                  <c:v>35361.27900000001</c:v>
                </c:pt>
                <c:pt idx="14">
                  <c:v>32741.925000000003</c:v>
                </c:pt>
                <c:pt idx="15">
                  <c:v>31432.247999999996</c:v>
                </c:pt>
                <c:pt idx="16">
                  <c:v>28812.894</c:v>
                </c:pt>
                <c:pt idx="17">
                  <c:v>27503.217000000001</c:v>
                </c:pt>
                <c:pt idx="18">
                  <c:v>24883.862999999998</c:v>
                </c:pt>
                <c:pt idx="19">
                  <c:v>24883.862999999998</c:v>
                </c:pt>
                <c:pt idx="20">
                  <c:v>24883.862999999998</c:v>
                </c:pt>
                <c:pt idx="21">
                  <c:v>24883.862999999998</c:v>
                </c:pt>
                <c:pt idx="22">
                  <c:v>24883.862999999998</c:v>
                </c:pt>
                <c:pt idx="23">
                  <c:v>24883.862999999998</c:v>
                </c:pt>
                <c:pt idx="24">
                  <c:v>24883.862999999998</c:v>
                </c:pt>
                <c:pt idx="25">
                  <c:v>0</c:v>
                </c:pt>
                <c:pt idx="26">
                  <c:v>0</c:v>
                </c:pt>
                <c:pt idx="27">
                  <c:v>0</c:v>
                </c:pt>
                <c:pt idx="28">
                  <c:v>0</c:v>
                </c:pt>
                <c:pt idx="29">
                  <c:v>0</c:v>
                </c:pt>
                <c:pt idx="30">
                  <c:v>0</c:v>
                </c:pt>
                <c:pt idx="31">
                  <c:v>0</c:v>
                </c:pt>
                <c:pt idx="32">
                  <c:v>0</c:v>
                </c:pt>
                <c:pt idx="33">
                  <c:v>0</c:v>
                </c:pt>
              </c:numCache>
            </c:numRef>
          </c:val>
        </c:ser>
        <c:axId val="58608640"/>
        <c:axId val="58622720"/>
      </c:areaChart>
      <c:catAx>
        <c:axId val="58608640"/>
        <c:scaling>
          <c:orientation val="minMax"/>
        </c:scaling>
        <c:axPos val="b"/>
        <c:numFmt formatCode="General" sourceLinked="1"/>
        <c:tickLblPos val="nextTo"/>
        <c:txPr>
          <a:bodyPr rot="-2700000"/>
          <a:lstStyle/>
          <a:p>
            <a:pPr>
              <a:defRPr/>
            </a:pPr>
            <a:endParaRPr lang="en-US"/>
          </a:p>
        </c:txPr>
        <c:crossAx val="58622720"/>
        <c:crosses val="autoZero"/>
        <c:auto val="1"/>
        <c:lblAlgn val="ctr"/>
        <c:lblOffset val="100"/>
      </c:catAx>
      <c:valAx>
        <c:axId val="58622720"/>
        <c:scaling>
          <c:orientation val="minMax"/>
        </c:scaling>
        <c:axPos val="l"/>
        <c:majorGridlines/>
        <c:title>
          <c:tx>
            <c:rich>
              <a:bodyPr rot="0" vert="horz"/>
              <a:lstStyle/>
              <a:p>
                <a:pPr>
                  <a:defRPr/>
                </a:pPr>
                <a:r>
                  <a:rPr lang="en-GB"/>
                  <a:t>£</a:t>
                </a:r>
              </a:p>
            </c:rich>
          </c:tx>
          <c:layout/>
        </c:title>
        <c:numFmt formatCode="#,##0_);\(#,##0\);&quot;-  &quot;;&quot; &quot;@" sourceLinked="1"/>
        <c:tickLblPos val="nextTo"/>
        <c:crossAx val="58608640"/>
        <c:crosses val="autoZero"/>
        <c:crossBetween val="midCat"/>
      </c:valAx>
    </c:plotArea>
    <c:legend>
      <c:legendPos val="r"/>
      <c:layout/>
    </c:legend>
    <c:plotVisOnly val="1"/>
    <c:dispBlanksAs val="zero"/>
  </c:chart>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a:t>Split of nominal</a:t>
            </a:r>
            <a:r>
              <a:rPr lang="en-GB" baseline="0"/>
              <a:t> upgrade costs incl finance</a:t>
            </a:r>
            <a:endParaRPr lang="en-GB"/>
          </a:p>
        </c:rich>
      </c:tx>
      <c:layout/>
    </c:title>
    <c:plotArea>
      <c:layout/>
      <c:areaChart>
        <c:grouping val="stacked"/>
        <c:ser>
          <c:idx val="0"/>
          <c:order val="0"/>
          <c:tx>
            <c:strRef>
              <c:f>Workings!$E$59</c:f>
              <c:strCache>
                <c:ptCount val="1"/>
                <c:pt idx="0">
                  <c:v>Maintenance</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Workings!$J$59:$AQ$59</c:f>
              <c:numCache>
                <c:formatCode>#,##0_);\(#,##0\);"-  ";" "@</c:formatCode>
                <c:ptCount val="34"/>
                <c:pt idx="0">
                  <c:v>249882.06845238095</c:v>
                </c:pt>
                <c:pt idx="1">
                  <c:v>256129.12016369044</c:v>
                </c:pt>
                <c:pt idx="2">
                  <c:v>262532.34816778271</c:v>
                </c:pt>
                <c:pt idx="3">
                  <c:v>93232.859894793131</c:v>
                </c:pt>
                <c:pt idx="4">
                  <c:v>95563.681392162951</c:v>
                </c:pt>
                <c:pt idx="5">
                  <c:v>97952.773426967018</c:v>
                </c:pt>
                <c:pt idx="6">
                  <c:v>100401.59276264119</c:v>
                </c:pt>
                <c:pt idx="7">
                  <c:v>102918.59489138452</c:v>
                </c:pt>
                <c:pt idx="8">
                  <c:v>105491.55976366914</c:v>
                </c:pt>
                <c:pt idx="9">
                  <c:v>108128.84875776085</c:v>
                </c:pt>
                <c:pt idx="10">
                  <c:v>110832.06997670486</c:v>
                </c:pt>
                <c:pt idx="11">
                  <c:v>153442.52072828141</c:v>
                </c:pt>
                <c:pt idx="12">
                  <c:v>157278.58374648841</c:v>
                </c:pt>
                <c:pt idx="13">
                  <c:v>161210.54834015062</c:v>
                </c:pt>
                <c:pt idx="14">
                  <c:v>165240.81204865436</c:v>
                </c:pt>
                <c:pt idx="15">
                  <c:v>169383.29091016998</c:v>
                </c:pt>
                <c:pt idx="16">
                  <c:v>173617.87318292423</c:v>
                </c:pt>
                <c:pt idx="17">
                  <c:v>177958.32001249734</c:v>
                </c:pt>
                <c:pt idx="18">
                  <c:v>182407.27801280975</c:v>
                </c:pt>
                <c:pt idx="19">
                  <c:v>170946.55304087047</c:v>
                </c:pt>
                <c:pt idx="20">
                  <c:v>175220.21686689221</c:v>
                </c:pt>
                <c:pt idx="21">
                  <c:v>179600.72228856449</c:v>
                </c:pt>
                <c:pt idx="22">
                  <c:v>184090.74034577858</c:v>
                </c:pt>
                <c:pt idx="23">
                  <c:v>188705.77455572068</c:v>
                </c:pt>
                <c:pt idx="24">
                  <c:v>193423.41891961364</c:v>
                </c:pt>
                <c:pt idx="25">
                  <c:v>0</c:v>
                </c:pt>
                <c:pt idx="26">
                  <c:v>0</c:v>
                </c:pt>
                <c:pt idx="27">
                  <c:v>0</c:v>
                </c:pt>
                <c:pt idx="28">
                  <c:v>0</c:v>
                </c:pt>
                <c:pt idx="29">
                  <c:v>0</c:v>
                </c:pt>
                <c:pt idx="30">
                  <c:v>0</c:v>
                </c:pt>
                <c:pt idx="31">
                  <c:v>0</c:v>
                </c:pt>
                <c:pt idx="32">
                  <c:v>0</c:v>
                </c:pt>
                <c:pt idx="33">
                  <c:v>0</c:v>
                </c:pt>
              </c:numCache>
            </c:numRef>
          </c:val>
        </c:ser>
        <c:ser>
          <c:idx val="1"/>
          <c:order val="1"/>
          <c:tx>
            <c:strRef>
              <c:f>Workings!$E$60</c:f>
              <c:strCache>
                <c:ptCount val="1"/>
                <c:pt idx="0">
                  <c:v>Energy costs</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Workings!$J$60:$AQ$60</c:f>
              <c:numCache>
                <c:formatCode>#,##0_);\(#,##0\);"-  ";" "@</c:formatCode>
                <c:ptCount val="34"/>
                <c:pt idx="0">
                  <c:v>423898.78900000005</c:v>
                </c:pt>
                <c:pt idx="1">
                  <c:v>447472.97499999998</c:v>
                </c:pt>
                <c:pt idx="2">
                  <c:v>482656.61903261114</c:v>
                </c:pt>
                <c:pt idx="3">
                  <c:v>258832.95774648691</c:v>
                </c:pt>
                <c:pt idx="4">
                  <c:v>270186.66745044134</c:v>
                </c:pt>
                <c:pt idx="5">
                  <c:v>280038.9812132059</c:v>
                </c:pt>
                <c:pt idx="6">
                  <c:v>285349.89118409296</c:v>
                </c:pt>
                <c:pt idx="7">
                  <c:v>298553.93648123165</c:v>
                </c:pt>
                <c:pt idx="8">
                  <c:v>316519.73875651258</c:v>
                </c:pt>
                <c:pt idx="9">
                  <c:v>337445.89768270508</c:v>
                </c:pt>
                <c:pt idx="10">
                  <c:v>350826.83482924587</c:v>
                </c:pt>
                <c:pt idx="11">
                  <c:v>361709.9804351913</c:v>
                </c:pt>
                <c:pt idx="12">
                  <c:v>384057.51568546274</c:v>
                </c:pt>
                <c:pt idx="13">
                  <c:v>402466.97250420897</c:v>
                </c:pt>
                <c:pt idx="14">
                  <c:v>414872.59472235927</c:v>
                </c:pt>
                <c:pt idx="15">
                  <c:v>434233.57218243583</c:v>
                </c:pt>
                <c:pt idx="16">
                  <c:v>445387.02410107158</c:v>
                </c:pt>
                <c:pt idx="17">
                  <c:v>457344.94298039208</c:v>
                </c:pt>
                <c:pt idx="18">
                  <c:v>474085.9213806609</c:v>
                </c:pt>
                <c:pt idx="19">
                  <c:v>485970.94472031435</c:v>
                </c:pt>
                <c:pt idx="20">
                  <c:v>498120.21833832219</c:v>
                </c:pt>
                <c:pt idx="21">
                  <c:v>510573.2237967801</c:v>
                </c:pt>
                <c:pt idx="22">
                  <c:v>523337.55439169961</c:v>
                </c:pt>
                <c:pt idx="23">
                  <c:v>536457.28389210033</c:v>
                </c:pt>
                <c:pt idx="24">
                  <c:v>549868.71598940273</c:v>
                </c:pt>
                <c:pt idx="25">
                  <c:v>0</c:v>
                </c:pt>
                <c:pt idx="26">
                  <c:v>0</c:v>
                </c:pt>
                <c:pt idx="27">
                  <c:v>0</c:v>
                </c:pt>
                <c:pt idx="28">
                  <c:v>0</c:v>
                </c:pt>
                <c:pt idx="29">
                  <c:v>0</c:v>
                </c:pt>
                <c:pt idx="30">
                  <c:v>0</c:v>
                </c:pt>
                <c:pt idx="31">
                  <c:v>0</c:v>
                </c:pt>
                <c:pt idx="32">
                  <c:v>0</c:v>
                </c:pt>
                <c:pt idx="33">
                  <c:v>0</c:v>
                </c:pt>
              </c:numCache>
            </c:numRef>
          </c:val>
        </c:ser>
        <c:ser>
          <c:idx val="2"/>
          <c:order val="2"/>
          <c:tx>
            <c:v>Carbon Costs</c:v>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Workings!$J$81:$AQ$81</c:f>
              <c:numCache>
                <c:formatCode>#,##0_);\(#,##0\);"-  ";" "@</c:formatCode>
                <c:ptCount val="34"/>
                <c:pt idx="0">
                  <c:v>24621.927599999999</c:v>
                </c:pt>
                <c:pt idx="1">
                  <c:v>24098.056800000002</c:v>
                </c:pt>
                <c:pt idx="2">
                  <c:v>30035.2592</c:v>
                </c:pt>
                <c:pt idx="3">
                  <c:v>15773.89558816</c:v>
                </c:pt>
                <c:pt idx="4">
                  <c:v>15040.226025920001</c:v>
                </c:pt>
                <c:pt idx="5">
                  <c:v>14673.391244800001</c:v>
                </c:pt>
                <c:pt idx="6">
                  <c:v>17883.1955796</c:v>
                </c:pt>
                <c:pt idx="7">
                  <c:v>16966.1086268</c:v>
                </c:pt>
                <c:pt idx="8">
                  <c:v>18914.918401500003</c:v>
                </c:pt>
                <c:pt idx="9">
                  <c:v>17768.559710500002</c:v>
                </c:pt>
                <c:pt idx="10">
                  <c:v>20634.456438000005</c:v>
                </c:pt>
                <c:pt idx="11">
                  <c:v>18571.010794200003</c:v>
                </c:pt>
                <c:pt idx="12">
                  <c:v>18571.010794200003</c:v>
                </c:pt>
                <c:pt idx="13">
                  <c:v>18571.010794200003</c:v>
                </c:pt>
                <c:pt idx="14">
                  <c:v>17195.380365000001</c:v>
                </c:pt>
                <c:pt idx="15">
                  <c:v>16507.565150400002</c:v>
                </c:pt>
                <c:pt idx="16">
                  <c:v>15131.934721199999</c:v>
                </c:pt>
                <c:pt idx="17">
                  <c:v>14444.119506600002</c:v>
                </c:pt>
                <c:pt idx="18">
                  <c:v>13068.489077400003</c:v>
                </c:pt>
                <c:pt idx="19">
                  <c:v>13068.489077400003</c:v>
                </c:pt>
                <c:pt idx="20">
                  <c:v>13068.489077400003</c:v>
                </c:pt>
                <c:pt idx="21">
                  <c:v>13068.489077400003</c:v>
                </c:pt>
                <c:pt idx="22">
                  <c:v>13068.489077400003</c:v>
                </c:pt>
                <c:pt idx="23">
                  <c:v>13068.489077400003</c:v>
                </c:pt>
                <c:pt idx="24">
                  <c:v>13068.489077400003</c:v>
                </c:pt>
                <c:pt idx="25">
                  <c:v>0</c:v>
                </c:pt>
                <c:pt idx="26">
                  <c:v>0</c:v>
                </c:pt>
                <c:pt idx="27">
                  <c:v>0</c:v>
                </c:pt>
                <c:pt idx="28">
                  <c:v>0</c:v>
                </c:pt>
                <c:pt idx="29">
                  <c:v>0</c:v>
                </c:pt>
                <c:pt idx="30">
                  <c:v>0</c:v>
                </c:pt>
                <c:pt idx="31">
                  <c:v>0</c:v>
                </c:pt>
                <c:pt idx="32">
                  <c:v>0</c:v>
                </c:pt>
                <c:pt idx="33">
                  <c:v>0</c:v>
                </c:pt>
              </c:numCache>
            </c:numRef>
          </c:val>
        </c:ser>
        <c:ser>
          <c:idx val="3"/>
          <c:order val="3"/>
          <c:tx>
            <c:strRef>
              <c:f>'Comparison of Cashflows'!$E$37</c:f>
              <c:strCache>
                <c:ptCount val="1"/>
                <c:pt idx="0">
                  <c:v>Total financing costs</c:v>
                </c:pt>
              </c:strCache>
            </c:strRef>
          </c:tx>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'Comparison of Cashflows'!$J$37:$AQ$37</c:f>
              <c:numCache>
                <c:formatCode>#,##0_);\(#,##0\);"-  ";" "@</c:formatCode>
                <c:ptCount val="34"/>
                <c:pt idx="0">
                  <c:v>0</c:v>
                </c:pt>
                <c:pt idx="1">
                  <c:v>0</c:v>
                </c:pt>
                <c:pt idx="2">
                  <c:v>0</c:v>
                </c:pt>
                <c:pt idx="3">
                  <c:v>343779.298962328</c:v>
                </c:pt>
                <c:pt idx="4">
                  <c:v>343779.298962328</c:v>
                </c:pt>
                <c:pt idx="5">
                  <c:v>343779.298962328</c:v>
                </c:pt>
                <c:pt idx="6">
                  <c:v>343779.298962328</c:v>
                </c:pt>
                <c:pt idx="7">
                  <c:v>343779.29896232812</c:v>
                </c:pt>
                <c:pt idx="8">
                  <c:v>343779.29896232812</c:v>
                </c:pt>
                <c:pt idx="9">
                  <c:v>343779.29896232812</c:v>
                </c:pt>
                <c:pt idx="10">
                  <c:v>343779.29896232823</c:v>
                </c:pt>
                <c:pt idx="11">
                  <c:v>343779.29896232835</c:v>
                </c:pt>
                <c:pt idx="12">
                  <c:v>343779.29896232847</c:v>
                </c:pt>
                <c:pt idx="13">
                  <c:v>249538.8997754883</c:v>
                </c:pt>
                <c:pt idx="14">
                  <c:v>249538.89977548848</c:v>
                </c:pt>
                <c:pt idx="15">
                  <c:v>249538.89977548865</c:v>
                </c:pt>
                <c:pt idx="16">
                  <c:v>249538.89977548856</c:v>
                </c:pt>
                <c:pt idx="17">
                  <c:v>249538.899775489</c:v>
                </c:pt>
                <c:pt idx="18">
                  <c:v>9.3132257461547854E-12</c:v>
                </c:pt>
                <c:pt idx="19">
                  <c:v>9.3132257461547854E-12</c:v>
                </c:pt>
                <c:pt idx="20">
                  <c:v>9.3132257461547854E-12</c:v>
                </c:pt>
                <c:pt idx="21">
                  <c:v>9.3132257461547854E-12</c:v>
                </c:pt>
                <c:pt idx="22">
                  <c:v>9.3132257461547854E-12</c:v>
                </c:pt>
                <c:pt idx="23">
                  <c:v>9.3132257461547854E-12</c:v>
                </c:pt>
                <c:pt idx="24">
                  <c:v>9.3132257461547854E-12</c:v>
                </c:pt>
                <c:pt idx="25">
                  <c:v>9.3132257461547854E-12</c:v>
                </c:pt>
                <c:pt idx="26">
                  <c:v>9.3132257461547854E-12</c:v>
                </c:pt>
                <c:pt idx="27">
                  <c:v>9.3132257461547854E-12</c:v>
                </c:pt>
                <c:pt idx="28">
                  <c:v>9.3132257461547854E-12</c:v>
                </c:pt>
                <c:pt idx="29">
                  <c:v>9.3132257461547854E-12</c:v>
                </c:pt>
                <c:pt idx="30">
                  <c:v>9.3132257461547854E-12</c:v>
                </c:pt>
                <c:pt idx="31">
                  <c:v>9.3132257461547854E-12</c:v>
                </c:pt>
                <c:pt idx="32">
                  <c:v>9.3132257461547854E-12</c:v>
                </c:pt>
                <c:pt idx="33">
                  <c:v>9.3132257461547854E-12</c:v>
                </c:pt>
              </c:numCache>
            </c:numRef>
          </c:val>
        </c:ser>
        <c:axId val="59206656"/>
        <c:axId val="59216640"/>
      </c:areaChart>
      <c:catAx>
        <c:axId val="59206656"/>
        <c:scaling>
          <c:orientation val="minMax"/>
        </c:scaling>
        <c:axPos val="b"/>
        <c:numFmt formatCode="General" sourceLinked="1"/>
        <c:tickLblPos val="nextTo"/>
        <c:txPr>
          <a:bodyPr rot="-2700000"/>
          <a:lstStyle/>
          <a:p>
            <a:pPr>
              <a:defRPr/>
            </a:pPr>
            <a:endParaRPr lang="en-US"/>
          </a:p>
        </c:txPr>
        <c:crossAx val="59216640"/>
        <c:crosses val="autoZero"/>
        <c:auto val="1"/>
        <c:lblAlgn val="ctr"/>
        <c:lblOffset val="100"/>
      </c:catAx>
      <c:valAx>
        <c:axId val="59216640"/>
        <c:scaling>
          <c:orientation val="minMax"/>
          <c:min val="0"/>
        </c:scaling>
        <c:axPos val="l"/>
        <c:majorGridlines/>
        <c:title>
          <c:tx>
            <c:rich>
              <a:bodyPr rot="0" vert="horz"/>
              <a:lstStyle/>
              <a:p>
                <a:pPr>
                  <a:defRPr/>
                </a:pPr>
                <a:r>
                  <a:rPr lang="en-GB"/>
                  <a:t>£</a:t>
                </a:r>
              </a:p>
            </c:rich>
          </c:tx>
          <c:layout/>
        </c:title>
        <c:numFmt formatCode="#,##0_);\(#,##0\);&quot;-  &quot;;&quot; &quot;@" sourceLinked="1"/>
        <c:tickLblPos val="nextTo"/>
        <c:crossAx val="59206656"/>
        <c:crosses val="autoZero"/>
        <c:crossBetween val="midCat"/>
      </c:valAx>
    </c:plotArea>
    <c:legend>
      <c:legendPos val="r"/>
      <c:layout/>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style val="4"/>
  <c:chart>
    <c:title>
      <c:tx>
        <c:rich>
          <a:bodyPr/>
          <a:lstStyle/>
          <a:p>
            <a:pPr>
              <a:defRPr/>
            </a:pPr>
            <a:r>
              <a:rPr lang="en-US"/>
              <a:t>Cumulative Savings Chart</a:t>
            </a:r>
          </a:p>
        </c:rich>
      </c:tx>
      <c:layout/>
    </c:title>
    <c:plotArea>
      <c:layout/>
      <c:lineChart>
        <c:grouping val="standard"/>
        <c:ser>
          <c:idx val="1"/>
          <c:order val="0"/>
          <c:tx>
            <c:strRef>
              <c:f>'Comparison of Cashflows'!$E$39</c:f>
              <c:strCache>
                <c:ptCount val="1"/>
                <c:pt idx="0">
                  <c:v>Cumulative Savings after financing costs</c:v>
                </c:pt>
              </c:strCache>
            </c:strRef>
          </c:tx>
          <c:spPr>
            <a:ln>
              <a:solidFill>
                <a:schemeClr val="accent2">
                  <a:lumMod val="75000"/>
                </a:schemeClr>
              </a:solidFill>
            </a:ln>
          </c:spPr>
          <c:marker>
            <c:symbol val="none"/>
          </c:marker>
          <c:cat>
            <c:numRef>
              <c:f>Workings!$J$3:$AQ$3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'Comparison of Cashflows'!$J$39:$AQ$39</c:f>
              <c:numCache>
                <c:formatCode>#,##0_);\(#,##0\);"-  ";" "@</c:formatCode>
                <c:ptCount val="34"/>
                <c:pt idx="0">
                  <c:v>5.4569682106375694E-11</c:v>
                </c:pt>
                <c:pt idx="1">
                  <c:v>5.4569682106375694E-11</c:v>
                </c:pt>
                <c:pt idx="2">
                  <c:v>2.5465851649641991E-11</c:v>
                </c:pt>
                <c:pt idx="3">
                  <c:v>80376.973194202496</c:v>
                </c:pt>
                <c:pt idx="4">
                  <c:v>174752.67402724241</c:v>
                </c:pt>
                <c:pt idx="5">
                  <c:v>282211.25810227054</c:v>
                </c:pt>
                <c:pt idx="6">
                  <c:v>401993.14415160421</c:v>
                </c:pt>
                <c:pt idx="7">
                  <c:v>537632.06228922075</c:v>
                </c:pt>
                <c:pt idx="8">
                  <c:v>697529.28445623699</c:v>
                </c:pt>
                <c:pt idx="9">
                  <c:v>880319.80855519068</c:v>
                </c:pt>
                <c:pt idx="10">
                  <c:v>1082934.6921768491</c:v>
                </c:pt>
                <c:pt idx="11">
                  <c:v>1258969.9990294117</c:v>
                </c:pt>
                <c:pt idx="12">
                  <c:v>1459609.9268224181</c:v>
                </c:pt>
                <c:pt idx="13">
                  <c:v>1775644.4107626453</c:v>
                </c:pt>
                <c:pt idx="14">
                  <c:v>2106273.9397537364</c:v>
                </c:pt>
                <c:pt idx="15">
                  <c:v>2458537.5041015707</c:v>
                </c:pt>
                <c:pt idx="16">
                  <c:v>2759696.0779725057</c:v>
                </c:pt>
                <c:pt idx="17">
                  <c:v>3074402.5067986492</c:v>
                </c:pt>
                <c:pt idx="18">
                  <c:v>3655982.2092200518</c:v>
                </c:pt>
                <c:pt idx="19">
                  <c:v>4267879.0858257655</c:v>
                </c:pt>
                <c:pt idx="20">
                  <c:v>4894777.9999985574</c:v>
                </c:pt>
                <c:pt idx="21">
                  <c:v>5537054.0026776036</c:v>
                </c:pt>
                <c:pt idx="22">
                  <c:v>6195091.5210755616</c:v>
                </c:pt>
                <c:pt idx="23">
                  <c:v>6869329.4051104551</c:v>
                </c:pt>
                <c:pt idx="24">
                  <c:v>7560127.8518981561</c:v>
                </c:pt>
                <c:pt idx="25">
                  <c:v>7560127.8518981561</c:v>
                </c:pt>
                <c:pt idx="26">
                  <c:v>7560127.8518981561</c:v>
                </c:pt>
                <c:pt idx="27">
                  <c:v>7560127.8518981561</c:v>
                </c:pt>
                <c:pt idx="28">
                  <c:v>7560127.8518981561</c:v>
                </c:pt>
                <c:pt idx="29">
                  <c:v>7560127.8518981561</c:v>
                </c:pt>
                <c:pt idx="30">
                  <c:v>7560127.8518981561</c:v>
                </c:pt>
                <c:pt idx="31">
                  <c:v>7560127.8518981561</c:v>
                </c:pt>
                <c:pt idx="32">
                  <c:v>7560127.8518981561</c:v>
                </c:pt>
                <c:pt idx="33">
                  <c:v>7560127.8518981561</c:v>
                </c:pt>
              </c:numCache>
            </c:numRef>
          </c:val>
        </c:ser>
        <c:ser>
          <c:idx val="0"/>
          <c:order val="1"/>
          <c:tx>
            <c:strRef>
              <c:f>'Comparison of Cashflows'!$E$35</c:f>
              <c:strCache>
                <c:ptCount val="1"/>
                <c:pt idx="0">
                  <c:v>Cumulative Savings before financing costs</c:v>
                </c:pt>
              </c:strCache>
            </c:strRef>
          </c:tx>
          <c:spPr>
            <a:ln>
              <a:solidFill>
                <a:schemeClr val="tx2">
                  <a:lumMod val="60000"/>
                  <a:lumOff val="40000"/>
                </a:schemeClr>
              </a:solidFill>
            </a:ln>
          </c:spPr>
          <c:marker>
            <c:symbol val="none"/>
          </c:marker>
          <c:cat>
            <c:numRef>
              <c:f>Workings!$J$3:$AQ$3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'Comparison of Cashflows'!$J$35:$AQ$35</c:f>
              <c:numCache>
                <c:formatCode>#,##0_);\(#,##0\);"-  ";" "@</c:formatCode>
                <c:ptCount val="34"/>
                <c:pt idx="0">
                  <c:v>5.4569682106375694E-11</c:v>
                </c:pt>
                <c:pt idx="1">
                  <c:v>5.4569682106375694E-11</c:v>
                </c:pt>
                <c:pt idx="2">
                  <c:v>2.5465851649641991E-11</c:v>
                </c:pt>
                <c:pt idx="3">
                  <c:v>424156.27215653041</c:v>
                </c:pt>
                <c:pt idx="4">
                  <c:v>862311.27195189835</c:v>
                </c:pt>
                <c:pt idx="5">
                  <c:v>1313549.1549892544</c:v>
                </c:pt>
                <c:pt idx="6">
                  <c:v>1777110.340000916</c:v>
                </c:pt>
                <c:pt idx="7">
                  <c:v>2256528.5571008609</c:v>
                </c:pt>
                <c:pt idx="8">
                  <c:v>2760205.078230205</c:v>
                </c:pt>
                <c:pt idx="9">
                  <c:v>3286774.9012914868</c:v>
                </c:pt>
                <c:pt idx="10">
                  <c:v>3833169.0838754736</c:v>
                </c:pt>
                <c:pt idx="11">
                  <c:v>4352983.6896903645</c:v>
                </c:pt>
                <c:pt idx="12">
                  <c:v>4897402.9164456995</c:v>
                </c:pt>
                <c:pt idx="13">
                  <c:v>5462976.3001614148</c:v>
                </c:pt>
                <c:pt idx="14">
                  <c:v>6043144.7289279941</c:v>
                </c:pt>
                <c:pt idx="15">
                  <c:v>6644947.1930513168</c:v>
                </c:pt>
                <c:pt idx="16">
                  <c:v>7195644.6666977406</c:v>
                </c:pt>
                <c:pt idx="17">
                  <c:v>7759889.9952993728</c:v>
                </c:pt>
                <c:pt idx="18">
                  <c:v>8341469.6977207754</c:v>
                </c:pt>
                <c:pt idx="19">
                  <c:v>8953366.5743264891</c:v>
                </c:pt>
                <c:pt idx="20">
                  <c:v>9580265.4884992801</c:v>
                </c:pt>
                <c:pt idx="21">
                  <c:v>10222541.491178326</c:v>
                </c:pt>
                <c:pt idx="22">
                  <c:v>10880579.009576283</c:v>
                </c:pt>
                <c:pt idx="23">
                  <c:v>11554816.893611178</c:v>
                </c:pt>
                <c:pt idx="24">
                  <c:v>12245615.340398878</c:v>
                </c:pt>
                <c:pt idx="25">
                  <c:v>12245615.340398878</c:v>
                </c:pt>
                <c:pt idx="26">
                  <c:v>12245615.340398878</c:v>
                </c:pt>
                <c:pt idx="27">
                  <c:v>12245615.340398878</c:v>
                </c:pt>
                <c:pt idx="28">
                  <c:v>12245615.340398878</c:v>
                </c:pt>
                <c:pt idx="29">
                  <c:v>12245615.340398878</c:v>
                </c:pt>
                <c:pt idx="30">
                  <c:v>12245615.340398878</c:v>
                </c:pt>
                <c:pt idx="31">
                  <c:v>12245615.340398878</c:v>
                </c:pt>
                <c:pt idx="32">
                  <c:v>12245615.340398878</c:v>
                </c:pt>
                <c:pt idx="33">
                  <c:v>12245615.340398878</c:v>
                </c:pt>
              </c:numCache>
            </c:numRef>
          </c:val>
        </c:ser>
        <c:ser>
          <c:idx val="2"/>
          <c:order val="2"/>
          <c:tx>
            <c:strRef>
              <c:f>Workings!$E$22</c:f>
              <c:strCache>
                <c:ptCount val="1"/>
                <c:pt idx="0">
                  <c:v>Cumulative Construction Costs</c:v>
                </c:pt>
              </c:strCache>
            </c:strRef>
          </c:tx>
          <c:spPr>
            <a:ln>
              <a:solidFill>
                <a:schemeClr val="accent3">
                  <a:lumMod val="75000"/>
                </a:schemeClr>
              </a:solidFill>
            </a:ln>
          </c:spPr>
          <c:marker>
            <c:symbol val="none"/>
          </c:marker>
          <c:cat>
            <c:numRef>
              <c:f>Workings!$J$3:$AQ$3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Workings!$J$22:$AQ$22</c:f>
              <c:numCache>
                <c:formatCode>#,##0_);\(#,##0\);"-  ";" "@</c:formatCode>
                <c:ptCount val="34"/>
                <c:pt idx="0">
                  <c:v>0</c:v>
                </c:pt>
                <c:pt idx="1">
                  <c:v>0</c:v>
                </c:pt>
                <c:pt idx="2">
                  <c:v>0</c:v>
                </c:pt>
                <c:pt idx="3">
                  <c:v>3468087.7088760622</c:v>
                </c:pt>
                <c:pt idx="4">
                  <c:v>3468087.7088760622</c:v>
                </c:pt>
                <c:pt idx="5">
                  <c:v>3468087.7088760622</c:v>
                </c:pt>
                <c:pt idx="6">
                  <c:v>3468087.7088760622</c:v>
                </c:pt>
                <c:pt idx="7">
                  <c:v>3468087.7088760622</c:v>
                </c:pt>
                <c:pt idx="8">
                  <c:v>3468087.7088760622</c:v>
                </c:pt>
                <c:pt idx="9">
                  <c:v>3468087.7088760622</c:v>
                </c:pt>
                <c:pt idx="10">
                  <c:v>3468087.7088760622</c:v>
                </c:pt>
                <c:pt idx="11">
                  <c:v>3468087.7088760622</c:v>
                </c:pt>
                <c:pt idx="12">
                  <c:v>3468087.7088760622</c:v>
                </c:pt>
                <c:pt idx="13">
                  <c:v>3468087.7088760622</c:v>
                </c:pt>
                <c:pt idx="14">
                  <c:v>3468087.7088760622</c:v>
                </c:pt>
                <c:pt idx="15">
                  <c:v>3468087.7088760622</c:v>
                </c:pt>
                <c:pt idx="16">
                  <c:v>3468087.7088760622</c:v>
                </c:pt>
                <c:pt idx="17">
                  <c:v>3468087.7088760622</c:v>
                </c:pt>
                <c:pt idx="18">
                  <c:v>3468087.7088760622</c:v>
                </c:pt>
                <c:pt idx="19">
                  <c:v>3468087.7088760622</c:v>
                </c:pt>
                <c:pt idx="20">
                  <c:v>3468087.7088760622</c:v>
                </c:pt>
                <c:pt idx="21">
                  <c:v>3468087.7088760622</c:v>
                </c:pt>
                <c:pt idx="22">
                  <c:v>3468087.7088760622</c:v>
                </c:pt>
                <c:pt idx="23">
                  <c:v>3468087.7088760622</c:v>
                </c:pt>
                <c:pt idx="24">
                  <c:v>3468087.7088760622</c:v>
                </c:pt>
                <c:pt idx="25">
                  <c:v>3468087.7088760622</c:v>
                </c:pt>
                <c:pt idx="26">
                  <c:v>3468087.7088760622</c:v>
                </c:pt>
                <c:pt idx="27">
                  <c:v>3468087.7088760622</c:v>
                </c:pt>
                <c:pt idx="28">
                  <c:v>3468087.7088760622</c:v>
                </c:pt>
                <c:pt idx="29">
                  <c:v>3468087.7088760622</c:v>
                </c:pt>
                <c:pt idx="30">
                  <c:v>3468087.7088760622</c:v>
                </c:pt>
                <c:pt idx="31">
                  <c:v>3468087.7088760622</c:v>
                </c:pt>
                <c:pt idx="32">
                  <c:v>3468087.7088760622</c:v>
                </c:pt>
                <c:pt idx="33">
                  <c:v>3468087.7088760622</c:v>
                </c:pt>
              </c:numCache>
            </c:numRef>
          </c:val>
        </c:ser>
        <c:marker val="1"/>
        <c:axId val="59246848"/>
        <c:axId val="59252736"/>
      </c:lineChart>
      <c:catAx>
        <c:axId val="59246848"/>
        <c:scaling>
          <c:orientation val="minMax"/>
        </c:scaling>
        <c:axPos val="b"/>
        <c:numFmt formatCode="General" sourceLinked="1"/>
        <c:majorTickMark val="none"/>
        <c:tickLblPos val="nextTo"/>
        <c:txPr>
          <a:bodyPr rot="-2700000"/>
          <a:lstStyle/>
          <a:p>
            <a:pPr>
              <a:defRPr/>
            </a:pPr>
            <a:endParaRPr lang="en-US"/>
          </a:p>
        </c:txPr>
        <c:crossAx val="59252736"/>
        <c:crosses val="autoZero"/>
        <c:auto val="1"/>
        <c:lblAlgn val="ctr"/>
        <c:lblOffset val="100"/>
      </c:catAx>
      <c:valAx>
        <c:axId val="59252736"/>
        <c:scaling>
          <c:orientation val="minMax"/>
        </c:scaling>
        <c:axPos val="l"/>
        <c:majorGridlines>
          <c:spPr>
            <a:ln>
              <a:solidFill>
                <a:srgbClr val="4F81BD">
                  <a:alpha val="33000"/>
                </a:srgbClr>
              </a:solidFill>
              <a:prstDash val="sysDash"/>
            </a:ln>
          </c:spPr>
        </c:majorGridlines>
        <c:title>
          <c:tx>
            <c:rich>
              <a:bodyPr rot="0" vert="horz"/>
              <a:lstStyle/>
              <a:p>
                <a:pPr>
                  <a:defRPr/>
                </a:pPr>
                <a:r>
                  <a:rPr lang="en-US"/>
                  <a:t>£</a:t>
                </a:r>
              </a:p>
            </c:rich>
          </c:tx>
          <c:layout/>
        </c:title>
        <c:numFmt formatCode="#,##0_);\(#,##0\);&quot;-  &quot;;&quot; &quot;@" sourceLinked="1"/>
        <c:majorTickMark val="none"/>
        <c:tickLblPos val="nextTo"/>
        <c:crossAx val="59246848"/>
        <c:crosses val="autoZero"/>
        <c:crossBetween val="between"/>
      </c:valAx>
    </c:plotArea>
    <c:legend>
      <c:legendPos val="b"/>
      <c:layout/>
    </c:legend>
    <c:plotVisOnly val="1"/>
    <c:dispBlanksAs val="gap"/>
  </c:chart>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style val="4"/>
  <c:chart>
    <c:title>
      <c:tx>
        <c:rich>
          <a:bodyPr/>
          <a:lstStyle/>
          <a:p>
            <a:pPr>
              <a:defRPr/>
            </a:pPr>
            <a:r>
              <a:rPr lang="en-US"/>
              <a:t>Tonnes of Carbon Saved</a:t>
            </a:r>
          </a:p>
        </c:rich>
      </c:tx>
      <c:layout/>
    </c:title>
    <c:plotArea>
      <c:layout/>
      <c:lineChart>
        <c:grouping val="standard"/>
        <c:ser>
          <c:idx val="0"/>
          <c:order val="0"/>
          <c:tx>
            <c:strRef>
              <c:f>Workings!$E$84</c:f>
              <c:strCache>
                <c:ptCount val="1"/>
                <c:pt idx="0">
                  <c:v>Cumulative tonnes of carbon saved</c:v>
                </c:pt>
              </c:strCache>
            </c:strRef>
          </c:tx>
          <c:marker>
            <c:symbol val="none"/>
          </c:marker>
          <c:cat>
            <c:numRef>
              <c:f>'Comparison of Cashflows'!$J$3:$AQ$3</c:f>
              <c:numCache>
                <c:formatCode>General</c:formatCode>
                <c:ptCount val="3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pt idx="21">
                  <c:v>2033</c:v>
                </c:pt>
                <c:pt idx="22">
                  <c:v>2034</c:v>
                </c:pt>
                <c:pt idx="23">
                  <c:v>2035</c:v>
                </c:pt>
                <c:pt idx="24">
                  <c:v>2036</c:v>
                </c:pt>
                <c:pt idx="25">
                  <c:v>2037</c:v>
                </c:pt>
                <c:pt idx="26">
                  <c:v>2038</c:v>
                </c:pt>
                <c:pt idx="27">
                  <c:v>2039</c:v>
                </c:pt>
                <c:pt idx="28">
                  <c:v>2040</c:v>
                </c:pt>
                <c:pt idx="29">
                  <c:v>2041</c:v>
                </c:pt>
                <c:pt idx="30">
                  <c:v>2042</c:v>
                </c:pt>
                <c:pt idx="31">
                  <c:v>2043</c:v>
                </c:pt>
                <c:pt idx="32">
                  <c:v>2044</c:v>
                </c:pt>
                <c:pt idx="33">
                  <c:v>2045</c:v>
                </c:pt>
              </c:numCache>
            </c:numRef>
          </c:cat>
          <c:val>
            <c:numRef>
              <c:f>Workings!$J$84:$QI$84</c:f>
              <c:numCache>
                <c:formatCode>#,##0_);\(#,##0\);"-  ";" "@</c:formatCode>
                <c:ptCount val="35"/>
                <c:pt idx="0">
                  <c:v>0</c:v>
                </c:pt>
                <c:pt idx="1">
                  <c:v>0</c:v>
                </c:pt>
                <c:pt idx="2">
                  <c:v>0</c:v>
                </c:pt>
                <c:pt idx="3">
                  <c:v>891.33522574000006</c:v>
                </c:pt>
                <c:pt idx="4">
                  <c:v>1741.2129991199999</c:v>
                </c:pt>
                <c:pt idx="5">
                  <c:v>2570.36204632</c:v>
                </c:pt>
                <c:pt idx="6">
                  <c:v>3378.7823673399998</c:v>
                </c:pt>
                <c:pt idx="7">
                  <c:v>4145.7452359999997</c:v>
                </c:pt>
                <c:pt idx="8">
                  <c:v>4829.7931999399998</c:v>
                </c:pt>
                <c:pt idx="9">
                  <c:v>5472.3837115200004</c:v>
                </c:pt>
                <c:pt idx="10">
                  <c:v>6094.2454969199998</c:v>
                </c:pt>
                <c:pt idx="11">
                  <c:v>6653.9211037799996</c:v>
                </c:pt>
                <c:pt idx="12">
                  <c:v>7213.5967106399994</c:v>
                </c:pt>
                <c:pt idx="13">
                  <c:v>7773.2723174999992</c:v>
                </c:pt>
                <c:pt idx="14">
                  <c:v>8291.4904719999995</c:v>
                </c:pt>
                <c:pt idx="15">
                  <c:v>8788.9799003199987</c:v>
                </c:pt>
                <c:pt idx="16">
                  <c:v>9245.0118762799993</c:v>
                </c:pt>
                <c:pt idx="17">
                  <c:v>9680.3151260599989</c:v>
                </c:pt>
                <c:pt idx="18">
                  <c:v>10074.160923479998</c:v>
                </c:pt>
                <c:pt idx="19">
                  <c:v>10468.006720899997</c:v>
                </c:pt>
                <c:pt idx="20">
                  <c:v>10861.852518319996</c:v>
                </c:pt>
                <c:pt idx="21">
                  <c:v>11255.698315739995</c:v>
                </c:pt>
                <c:pt idx="22">
                  <c:v>11649.544113159995</c:v>
                </c:pt>
                <c:pt idx="23">
                  <c:v>12043.389910579994</c:v>
                </c:pt>
                <c:pt idx="24">
                  <c:v>12437.235707999993</c:v>
                </c:pt>
                <c:pt idx="25">
                  <c:v>12437.235707999993</c:v>
                </c:pt>
                <c:pt idx="26">
                  <c:v>12437.235707999993</c:v>
                </c:pt>
                <c:pt idx="27">
                  <c:v>12437.235707999993</c:v>
                </c:pt>
                <c:pt idx="28">
                  <c:v>12437.235707999993</c:v>
                </c:pt>
                <c:pt idx="29">
                  <c:v>12437.235707999993</c:v>
                </c:pt>
                <c:pt idx="30">
                  <c:v>12437.235707999993</c:v>
                </c:pt>
                <c:pt idx="31">
                  <c:v>12437.235707999993</c:v>
                </c:pt>
                <c:pt idx="32">
                  <c:v>12437.235707999993</c:v>
                </c:pt>
                <c:pt idx="33">
                  <c:v>12437.235707999993</c:v>
                </c:pt>
              </c:numCache>
            </c:numRef>
          </c:val>
        </c:ser>
        <c:marker val="1"/>
        <c:axId val="59281408"/>
        <c:axId val="59283328"/>
      </c:lineChart>
      <c:catAx>
        <c:axId val="59281408"/>
        <c:scaling>
          <c:orientation val="minMax"/>
        </c:scaling>
        <c:axPos val="b"/>
        <c:title>
          <c:tx>
            <c:rich>
              <a:bodyPr/>
              <a:lstStyle/>
              <a:p>
                <a:pPr>
                  <a:defRPr/>
                </a:pPr>
                <a:r>
                  <a:rPr lang="en-US"/>
                  <a:t>Year</a:t>
                </a:r>
                <a:r>
                  <a:rPr lang="en-US" baseline="0"/>
                  <a:t> ending 31 March</a:t>
                </a:r>
                <a:endParaRPr lang="en-US"/>
              </a:p>
            </c:rich>
          </c:tx>
          <c:layout/>
        </c:title>
        <c:numFmt formatCode="General" sourceLinked="1"/>
        <c:majorTickMark val="none"/>
        <c:tickLblPos val="nextTo"/>
        <c:txPr>
          <a:bodyPr rot="-2700000"/>
          <a:lstStyle/>
          <a:p>
            <a:pPr>
              <a:defRPr/>
            </a:pPr>
            <a:endParaRPr lang="en-US"/>
          </a:p>
        </c:txPr>
        <c:crossAx val="59283328"/>
        <c:crosses val="autoZero"/>
        <c:auto val="1"/>
        <c:lblAlgn val="ctr"/>
        <c:lblOffset val="100"/>
      </c:catAx>
      <c:valAx>
        <c:axId val="59283328"/>
        <c:scaling>
          <c:orientation val="minMax"/>
        </c:scaling>
        <c:axPos val="l"/>
        <c:majorGridlines>
          <c:spPr>
            <a:ln>
              <a:solidFill>
                <a:srgbClr val="4F81BD">
                  <a:alpha val="33000"/>
                </a:srgbClr>
              </a:solidFill>
              <a:prstDash val="sysDash"/>
            </a:ln>
          </c:spPr>
        </c:majorGridlines>
        <c:title>
          <c:tx>
            <c:rich>
              <a:bodyPr rot="0" vert="horz"/>
              <a:lstStyle/>
              <a:p>
                <a:pPr>
                  <a:defRPr/>
                </a:pPr>
                <a:r>
                  <a:rPr lang="en-US"/>
                  <a:t>£</a:t>
                </a:r>
              </a:p>
            </c:rich>
          </c:tx>
          <c:layout/>
        </c:title>
        <c:numFmt formatCode="#,##0_);\(#,##0\);&quot;-  &quot;;&quot; &quot;@" sourceLinked="1"/>
        <c:majorTickMark val="none"/>
        <c:tickLblPos val="nextTo"/>
        <c:crossAx val="59281408"/>
        <c:crosses val="autoZero"/>
        <c:crossBetween val="between"/>
      </c:valAx>
    </c:plotArea>
    <c:legend>
      <c:legendPos val="b"/>
      <c:layout/>
    </c:legend>
    <c:plotVisOnly val="1"/>
    <c:dispBlanksAs val="gap"/>
  </c:chart>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403411</xdr:colOff>
      <xdr:row>0</xdr:row>
      <xdr:rowOff>123264</xdr:rowOff>
    </xdr:from>
    <xdr:to>
      <xdr:col>14</xdr:col>
      <xdr:colOff>8253</xdr:colOff>
      <xdr:row>0</xdr:row>
      <xdr:rowOff>638734</xdr:rowOff>
    </xdr:to>
    <xdr:pic>
      <xdr:nvPicPr>
        <xdr:cNvPr id="2" name="Picture 1"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720852" y="123264"/>
          <a:ext cx="1420195" cy="51547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0</xdr:colOff>
      <xdr:row>9</xdr:row>
      <xdr:rowOff>168088</xdr:rowOff>
    </xdr:from>
    <xdr:to>
      <xdr:col>13</xdr:col>
      <xdr:colOff>593912</xdr:colOff>
      <xdr:row>23</xdr:row>
      <xdr:rowOff>104215</xdr:rowOff>
    </xdr:to>
    <xdr:sp macro="" textlink="">
      <xdr:nvSpPr>
        <xdr:cNvPr id="3" name="Text Box 2"/>
        <xdr:cNvSpPr txBox="1">
          <a:spLocks noChangeArrowheads="1"/>
        </xdr:cNvSpPr>
      </xdr:nvSpPr>
      <xdr:spPr bwMode="auto">
        <a:xfrm>
          <a:off x="313765" y="6364941"/>
          <a:ext cx="8807823" cy="2748803"/>
        </a:xfrm>
        <a:prstGeom prst="rect">
          <a:avLst/>
        </a:prstGeom>
        <a:solidFill>
          <a:srgbClr val="FFFFFF"/>
        </a:solidFill>
        <a:ln w="9525">
          <a:solidFill>
            <a:srgbClr val="000000"/>
          </a:solidFill>
          <a:miter lim="800000"/>
          <a:headEnd/>
          <a:tailEnd/>
        </a:ln>
      </xdr:spPr>
      <xdr:txBody>
        <a:bodyPr vertOverflow="clip" wrap="square" lIns="180000" tIns="18288" rIns="180000" bIns="180000" anchor="t" upright="1"/>
        <a:lstStyle/>
        <a:p>
          <a:pPr algn="ctr" rtl="0">
            <a:defRPr sz="1000"/>
          </a:pPr>
          <a:r>
            <a:rPr lang="en-GB" sz="1200" b="1" i="0" u="none" strike="noStrike" baseline="0">
              <a:solidFill>
                <a:srgbClr val="000000"/>
              </a:solidFill>
              <a:latin typeface="Times New Roman" pitchFamily="18" charset="0"/>
              <a:cs typeface="Times New Roman" pitchFamily="18" charset="0"/>
            </a:rPr>
            <a:t>Scottish Futures Trust Disclaimer</a:t>
          </a:r>
        </a:p>
        <a:p>
          <a:pPr algn="ctr" rtl="0">
            <a:defRPr sz="1000"/>
          </a:pPr>
          <a:r>
            <a:rPr lang="en-GB" sz="1200" b="1" i="0" u="none" strike="noStrike" baseline="0">
              <a:solidFill>
                <a:srgbClr val="000000"/>
              </a:solidFill>
              <a:latin typeface="Times New Roman" pitchFamily="18" charset="0"/>
              <a:cs typeface="Times New Roman" pitchFamily="18" charset="0"/>
            </a:rPr>
            <a:t>     </a:t>
          </a:r>
          <a:endParaRPr lang="en-GB" sz="1200" b="0" i="0" u="none" strike="noStrike" baseline="0">
            <a:solidFill>
              <a:srgbClr val="000000"/>
            </a:solidFill>
            <a:latin typeface="Times New Roman" pitchFamily="18" charset="0"/>
            <a:cs typeface="Times New Roman" pitchFamily="18" charset="0"/>
          </a:endParaRPr>
        </a:p>
        <a:p>
          <a:pPr algn="ctr"/>
          <a:r>
            <a:rPr lang="en-GB" sz="1200">
              <a:latin typeface="Times New Roman" pitchFamily="18" charset="0"/>
              <a:ea typeface="+mn-ea"/>
              <a:cs typeface="Times New Roman" pitchFamily="18" charset="0"/>
            </a:rPr>
            <a:t>This financial model (“Model”) was developed by Scottish Futures Trust (“SFT”) to</a:t>
          </a:r>
          <a:r>
            <a:rPr lang="en-GB" sz="1200" baseline="0">
              <a:latin typeface="Times New Roman" pitchFamily="18" charset="0"/>
              <a:ea typeface="+mn-ea"/>
              <a:cs typeface="Times New Roman" pitchFamily="18" charset="0"/>
            </a:rPr>
            <a:t> support the development of an initial feasibility study by providing a high level indication of the impact of an upgrade in street lighting. </a:t>
          </a:r>
          <a:r>
            <a:rPr lang="en-GB" sz="1200">
              <a:latin typeface="Times New Roman" pitchFamily="18" charset="0"/>
              <a:ea typeface="+mn-ea"/>
              <a:cs typeface="Times New Roman" pitchFamily="18" charset="0"/>
            </a:rPr>
            <a:t> It is not intended, and should not be used as the basis for investment decision making. The Model has been developed using data and assumptions from a variety of sources. SFT has not sought to establish the reliability of those sources or verified the information so provided, nor has the Model been audited by SFT.  Accordingly, no representation or warranty of any kind (whether express or implied) is given by SFT to any person as to the internal consistency or accuracy of the Model nor any output from it.  Moreover the Model does not absolve any recipient from conducting its own audit in order to verify its functionality and/or performance. SFT accepts no duty of care to any person for the development of the Model, its use, nor in respect of any output from it.  Accordingly, regardless of the form of action, whether in contract, delict or otherwise, and to the extent permitted by applicable law, SFT accepts no liability of any kind and disclaims all responsibility for the consequences of any person acting or refraining to act in reliance on the Model and/or its output or for any decisions made or not made which are based upon such Model and/or its output.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67235</xdr:colOff>
      <xdr:row>0</xdr:row>
      <xdr:rowOff>100853</xdr:rowOff>
    </xdr:from>
    <xdr:to>
      <xdr:col>16</xdr:col>
      <xdr:colOff>291353</xdr:colOff>
      <xdr:row>3</xdr:row>
      <xdr:rowOff>52076</xdr:rowOff>
    </xdr:to>
    <xdr:pic>
      <xdr:nvPicPr>
        <xdr:cNvPr id="2" name="Picture 1"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0130117" y="100853"/>
          <a:ext cx="952501" cy="48910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3" name="Picture 2"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40941" y="0"/>
          <a:ext cx="907679" cy="5219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4" name="Picture 3"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40941" y="0"/>
          <a:ext cx="907679" cy="5219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4" name="Picture 3"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40941" y="0"/>
          <a:ext cx="907679" cy="5219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4" name="Picture 3"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40941" y="0"/>
          <a:ext cx="907679" cy="5219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907679</xdr:colOff>
      <xdr:row>2</xdr:row>
      <xdr:rowOff>140979</xdr:rowOff>
    </xdr:to>
    <xdr:pic>
      <xdr:nvPicPr>
        <xdr:cNvPr id="4" name="Picture 3" descr="http://companyweb/Shared%20Documents/SFT%20Logo%20Files/SFT%20rbg%20colou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40941" y="0"/>
          <a:ext cx="907679" cy="5219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9</xdr:col>
      <xdr:colOff>145676</xdr:colOff>
      <xdr:row>6</xdr:row>
      <xdr:rowOff>15689</xdr:rowOff>
    </xdr:from>
    <xdr:to>
      <xdr:col>15</xdr:col>
      <xdr:colOff>693529</xdr:colOff>
      <xdr:row>22</xdr:row>
      <xdr:rowOff>150247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15</xdr:col>
      <xdr:colOff>923363</xdr:colOff>
      <xdr:row>23</xdr:row>
      <xdr:rowOff>128920</xdr:rowOff>
    </xdr:from>
    <xdr:to>
      <xdr:col>21</xdr:col>
      <xdr:colOff>742834</xdr:colOff>
      <xdr:row>37</xdr:row>
      <xdr:rowOff>140214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15</xdr:col>
      <xdr:colOff>923363</xdr:colOff>
      <xdr:row>6</xdr:row>
      <xdr:rowOff>15689</xdr:rowOff>
    </xdr:from>
    <xdr:to>
      <xdr:col>21</xdr:col>
      <xdr:colOff>742834</xdr:colOff>
      <xdr:row>22</xdr:row>
      <xdr:rowOff>150247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15</xdr:col>
      <xdr:colOff>923363</xdr:colOff>
      <xdr:row>39</xdr:row>
      <xdr:rowOff>90447</xdr:rowOff>
    </xdr:from>
    <xdr:to>
      <xdr:col>21</xdr:col>
      <xdr:colOff>742834</xdr:colOff>
      <xdr:row>57</xdr:row>
      <xdr:rowOff>79330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9</xdr:col>
      <xdr:colOff>145676</xdr:colOff>
      <xdr:row>23</xdr:row>
      <xdr:rowOff>128920</xdr:rowOff>
    </xdr:from>
    <xdr:to>
      <xdr:col>15</xdr:col>
      <xdr:colOff>693529</xdr:colOff>
      <xdr:row>37</xdr:row>
      <xdr:rowOff>140214</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145676</xdr:colOff>
      <xdr:row>39</xdr:row>
      <xdr:rowOff>90447</xdr:rowOff>
    </xdr:from>
    <xdr:to>
      <xdr:col>15</xdr:col>
      <xdr:colOff>693529</xdr:colOff>
      <xdr:row>57</xdr:row>
      <xdr:rowOff>79330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237725</xdr:colOff>
      <xdr:row>0</xdr:row>
      <xdr:rowOff>108857</xdr:rowOff>
    </xdr:from>
    <xdr:to>
      <xdr:col>7</xdr:col>
      <xdr:colOff>1163334</xdr:colOff>
      <xdr:row>3</xdr:row>
      <xdr:rowOff>40822</xdr:rowOff>
    </xdr:to>
    <xdr:pic>
      <xdr:nvPicPr>
        <xdr:cNvPr id="12" name="Picture 11" descr="http://companyweb/Shared%20Documents/SFT%20Logo%20Files/SFT%20rbg%20colour.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4518372" y="108857"/>
          <a:ext cx="1340227" cy="4698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pageSetUpPr fitToPage="1"/>
  </sheetPr>
  <dimension ref="A1:O24"/>
  <sheetViews>
    <sheetView tabSelected="1" zoomScale="85" zoomScaleNormal="85" workbookViewId="0"/>
  </sheetViews>
  <sheetFormatPr defaultRowHeight="15"/>
  <cols>
    <col min="1" max="1" width="4.7109375" style="81" customWidth="1"/>
    <col min="2" max="2" width="23.42578125" style="81" customWidth="1"/>
    <col min="3" max="3" width="9.140625" style="81"/>
    <col min="4" max="4" width="9.140625" style="81" customWidth="1"/>
    <col min="5" max="16384" width="9.140625" style="81"/>
  </cols>
  <sheetData>
    <row r="1" spans="1:15" ht="65.099999999999994" customHeight="1">
      <c r="A1" s="78" t="s">
        <v>105</v>
      </c>
      <c r="B1" s="79"/>
      <c r="C1" s="79"/>
      <c r="D1" s="79"/>
      <c r="E1" s="79"/>
      <c r="F1" s="79"/>
      <c r="G1" s="79"/>
      <c r="H1" s="79"/>
      <c r="I1" s="79"/>
      <c r="J1" s="79"/>
      <c r="K1" s="79"/>
      <c r="L1" s="79"/>
      <c r="M1" s="79"/>
      <c r="N1" s="79"/>
      <c r="O1" s="80"/>
    </row>
    <row r="2" spans="1:15">
      <c r="A2" s="82"/>
      <c r="B2" s="83"/>
      <c r="C2" s="83"/>
      <c r="D2" s="83"/>
      <c r="E2" s="83"/>
      <c r="F2" s="83"/>
      <c r="G2" s="83"/>
      <c r="H2" s="83"/>
      <c r="I2" s="83"/>
      <c r="J2" s="83"/>
      <c r="K2" s="83"/>
      <c r="L2" s="83"/>
      <c r="M2" s="83"/>
      <c r="N2" s="83"/>
      <c r="O2" s="84"/>
    </row>
    <row r="3" spans="1:15">
      <c r="A3" s="125"/>
      <c r="B3" s="85"/>
      <c r="C3" s="85"/>
      <c r="D3" s="85"/>
      <c r="E3" s="85"/>
      <c r="F3" s="85"/>
      <c r="G3" s="85"/>
      <c r="H3" s="85"/>
      <c r="I3" s="85"/>
      <c r="J3" s="85"/>
      <c r="K3" s="85"/>
      <c r="L3" s="85"/>
      <c r="M3" s="85"/>
      <c r="N3" s="85"/>
      <c r="O3" s="86"/>
    </row>
    <row r="4" spans="1:15">
      <c r="A4" s="125"/>
      <c r="B4" s="85"/>
      <c r="C4" s="85"/>
      <c r="D4" s="85"/>
      <c r="E4" s="85"/>
      <c r="F4" s="85"/>
      <c r="G4" s="85"/>
      <c r="H4" s="85"/>
      <c r="I4" s="85"/>
      <c r="J4" s="85"/>
      <c r="K4" s="85"/>
      <c r="L4" s="85"/>
      <c r="M4" s="85"/>
      <c r="N4" s="85"/>
      <c r="O4" s="86"/>
    </row>
    <row r="5" spans="1:15" ht="15.75">
      <c r="A5" s="126"/>
      <c r="B5" s="138" t="s">
        <v>137</v>
      </c>
      <c r="C5" s="138"/>
      <c r="D5" s="138"/>
      <c r="E5" s="138"/>
      <c r="F5" s="85" t="str">
        <f>PROPER('Input Constants'!F7)</f>
        <v>Base</v>
      </c>
      <c r="G5" s="85"/>
      <c r="H5" s="85"/>
      <c r="I5" s="85"/>
      <c r="J5" s="85"/>
      <c r="K5" s="85"/>
      <c r="L5" s="85"/>
      <c r="M5" s="85"/>
      <c r="N5" s="85"/>
      <c r="O5" s="86"/>
    </row>
    <row r="6" spans="1:15" ht="27" customHeight="1">
      <c r="A6" s="126"/>
      <c r="B6" s="144"/>
      <c r="C6" s="144"/>
      <c r="D6" s="144"/>
      <c r="E6" s="144"/>
      <c r="F6" s="85"/>
      <c r="G6" s="139"/>
      <c r="H6" s="139"/>
      <c r="I6" s="139"/>
      <c r="J6" s="139"/>
      <c r="K6" s="139"/>
      <c r="L6" s="139"/>
      <c r="M6" s="139"/>
      <c r="N6" s="139"/>
      <c r="O6" s="87"/>
    </row>
    <row r="7" spans="1:15">
      <c r="A7" s="127"/>
      <c r="B7" s="145" t="s">
        <v>228</v>
      </c>
      <c r="C7" s="145"/>
      <c r="D7" s="145"/>
      <c r="E7" s="145"/>
      <c r="F7" s="146"/>
      <c r="G7" s="146"/>
      <c r="H7" s="146"/>
      <c r="I7" s="146"/>
      <c r="J7" s="146"/>
      <c r="K7" s="146"/>
      <c r="L7" s="146"/>
      <c r="M7" s="146"/>
      <c r="N7" s="146"/>
      <c r="O7" s="86"/>
    </row>
    <row r="8" spans="1:15" ht="45" customHeight="1">
      <c r="A8" s="127"/>
      <c r="B8" s="140" t="s">
        <v>104</v>
      </c>
      <c r="C8" s="140"/>
      <c r="D8" s="140"/>
      <c r="E8" s="140"/>
      <c r="F8" s="140"/>
      <c r="G8" s="140"/>
      <c r="H8" s="140"/>
      <c r="I8" s="140"/>
      <c r="J8" s="140"/>
      <c r="K8" s="140"/>
      <c r="L8" s="140"/>
      <c r="M8" s="140"/>
      <c r="N8" s="140"/>
      <c r="O8" s="86"/>
    </row>
    <row r="9" spans="1:15" ht="275.25" customHeight="1">
      <c r="A9" s="128"/>
      <c r="B9" s="141" t="s">
        <v>229</v>
      </c>
      <c r="C9" s="142"/>
      <c r="D9" s="142"/>
      <c r="E9" s="142"/>
      <c r="F9" s="142"/>
      <c r="G9" s="142"/>
      <c r="H9" s="142"/>
      <c r="I9" s="142"/>
      <c r="J9" s="142"/>
      <c r="K9" s="142"/>
      <c r="L9" s="142"/>
      <c r="M9" s="142"/>
      <c r="N9" s="143"/>
      <c r="O9" s="86"/>
    </row>
    <row r="10" spans="1:15" s="124" customFormat="1">
      <c r="A10" s="129"/>
      <c r="B10" s="88"/>
      <c r="C10" s="88"/>
      <c r="D10" s="88"/>
      <c r="E10" s="89"/>
      <c r="F10" s="85"/>
      <c r="G10" s="85"/>
      <c r="H10" s="85"/>
      <c r="I10" s="85"/>
      <c r="J10" s="85"/>
      <c r="K10" s="85"/>
      <c r="L10" s="85"/>
      <c r="M10" s="85"/>
      <c r="N10" s="85"/>
      <c r="O10" s="86"/>
    </row>
    <row r="11" spans="1:15" s="124" customFormat="1" ht="15.75">
      <c r="A11" s="126"/>
      <c r="B11" s="123"/>
      <c r="C11" s="85"/>
      <c r="D11" s="85"/>
      <c r="E11" s="85"/>
      <c r="F11" s="85"/>
      <c r="G11" s="85"/>
      <c r="H11" s="85"/>
      <c r="I11" s="85"/>
      <c r="J11" s="85"/>
      <c r="K11" s="85"/>
      <c r="L11" s="85"/>
      <c r="M11" s="85"/>
      <c r="N11" s="85"/>
      <c r="O11" s="86"/>
    </row>
    <row r="12" spans="1:15" s="124" customFormat="1" ht="15.75">
      <c r="A12" s="126"/>
      <c r="B12" s="123"/>
      <c r="C12" s="85"/>
      <c r="D12" s="85"/>
      <c r="E12" s="85"/>
      <c r="F12" s="85"/>
      <c r="G12" s="85"/>
      <c r="H12" s="85"/>
      <c r="I12" s="85"/>
      <c r="J12" s="85"/>
      <c r="K12" s="85"/>
      <c r="L12" s="85"/>
      <c r="M12" s="85"/>
      <c r="N12" s="85"/>
      <c r="O12" s="86"/>
    </row>
    <row r="13" spans="1:15" s="124" customFormat="1" ht="15.75">
      <c r="A13" s="126"/>
      <c r="B13" s="123"/>
      <c r="C13" s="85"/>
      <c r="D13" s="85"/>
      <c r="E13" s="85"/>
      <c r="F13" s="85"/>
      <c r="G13" s="85"/>
      <c r="H13" s="85"/>
      <c r="I13" s="85"/>
      <c r="J13" s="85"/>
      <c r="K13" s="85"/>
      <c r="L13" s="85"/>
      <c r="M13" s="85"/>
      <c r="N13" s="85"/>
      <c r="O13" s="86"/>
    </row>
    <row r="14" spans="1:15" s="124" customFormat="1" ht="15.75">
      <c r="A14" s="126"/>
      <c r="B14" s="123"/>
      <c r="C14" s="85"/>
      <c r="D14" s="85"/>
      <c r="E14" s="85"/>
      <c r="F14" s="85"/>
      <c r="G14" s="85"/>
      <c r="H14" s="85"/>
      <c r="I14" s="85"/>
      <c r="J14" s="85"/>
      <c r="K14" s="85"/>
      <c r="L14" s="85"/>
      <c r="M14" s="85"/>
      <c r="N14" s="85"/>
      <c r="O14" s="86"/>
    </row>
    <row r="15" spans="1:15" s="124" customFormat="1" ht="15.75">
      <c r="A15" s="126"/>
      <c r="B15" s="123"/>
      <c r="C15" s="85"/>
      <c r="D15" s="85"/>
      <c r="E15" s="85"/>
      <c r="F15" s="85"/>
      <c r="G15" s="85"/>
      <c r="H15" s="85"/>
      <c r="I15" s="85"/>
      <c r="J15" s="85"/>
      <c r="K15" s="85"/>
      <c r="L15" s="85"/>
      <c r="M15" s="85"/>
      <c r="N15" s="85"/>
      <c r="O15" s="86"/>
    </row>
    <row r="16" spans="1:15" s="124" customFormat="1" ht="15.75">
      <c r="A16" s="126"/>
      <c r="B16" s="123"/>
      <c r="C16" s="85"/>
      <c r="D16" s="85"/>
      <c r="E16" s="85"/>
      <c r="F16" s="85"/>
      <c r="G16" s="85"/>
      <c r="H16" s="85"/>
      <c r="I16" s="85"/>
      <c r="J16" s="85"/>
      <c r="K16" s="85"/>
      <c r="L16" s="85"/>
      <c r="M16" s="85"/>
      <c r="N16" s="85"/>
      <c r="O16" s="86"/>
    </row>
    <row r="17" spans="1:15" s="124" customFormat="1" ht="15.75">
      <c r="A17" s="126"/>
      <c r="B17" s="123"/>
      <c r="C17" s="85"/>
      <c r="D17" s="85"/>
      <c r="E17" s="85"/>
      <c r="F17" s="85"/>
      <c r="G17" s="85"/>
      <c r="H17" s="85"/>
      <c r="I17" s="85"/>
      <c r="J17" s="85"/>
      <c r="K17" s="85"/>
      <c r="L17" s="85"/>
      <c r="M17" s="85"/>
      <c r="N17" s="85"/>
      <c r="O17" s="86"/>
    </row>
    <row r="18" spans="1:15" s="124" customFormat="1" ht="15.75">
      <c r="A18" s="126"/>
      <c r="B18" s="123"/>
      <c r="C18" s="85"/>
      <c r="D18" s="85"/>
      <c r="E18" s="85"/>
      <c r="F18" s="85"/>
      <c r="G18" s="85"/>
      <c r="H18" s="85"/>
      <c r="I18" s="85"/>
      <c r="J18" s="85"/>
      <c r="K18" s="85"/>
      <c r="L18" s="85"/>
      <c r="M18" s="85"/>
      <c r="N18" s="85"/>
      <c r="O18" s="86"/>
    </row>
    <row r="19" spans="1:15" s="124" customFormat="1" ht="15.75">
      <c r="A19" s="126"/>
      <c r="B19" s="123"/>
      <c r="C19" s="85"/>
      <c r="D19" s="85"/>
      <c r="E19" s="85"/>
      <c r="F19" s="85"/>
      <c r="G19" s="85"/>
      <c r="H19" s="85"/>
      <c r="I19" s="85"/>
      <c r="J19" s="85"/>
      <c r="K19" s="85"/>
      <c r="L19" s="85"/>
      <c r="M19" s="85"/>
      <c r="N19" s="85"/>
      <c r="O19" s="86"/>
    </row>
    <row r="20" spans="1:15" s="124" customFormat="1" ht="15.75">
      <c r="A20" s="126"/>
      <c r="B20" s="123"/>
      <c r="C20" s="85"/>
      <c r="D20" s="85"/>
      <c r="E20" s="85"/>
      <c r="F20" s="85"/>
      <c r="G20" s="85"/>
      <c r="H20" s="85"/>
      <c r="I20" s="85"/>
      <c r="J20" s="85"/>
      <c r="K20" s="85"/>
      <c r="L20" s="85"/>
      <c r="M20" s="85"/>
      <c r="N20" s="85"/>
      <c r="O20" s="86"/>
    </row>
    <row r="21" spans="1:15" s="124" customFormat="1" ht="15.75">
      <c r="A21" s="126"/>
      <c r="B21" s="123"/>
      <c r="C21" s="85"/>
      <c r="D21" s="85"/>
      <c r="E21" s="85"/>
      <c r="F21" s="85"/>
      <c r="G21" s="85"/>
      <c r="H21" s="85"/>
      <c r="I21" s="85"/>
      <c r="J21" s="85"/>
      <c r="K21" s="85"/>
      <c r="L21" s="85"/>
      <c r="M21" s="85"/>
      <c r="N21" s="85"/>
      <c r="O21" s="86"/>
    </row>
    <row r="22" spans="1:15" s="124" customFormat="1" ht="15.75">
      <c r="A22" s="126"/>
      <c r="B22" s="123"/>
      <c r="C22" s="85"/>
      <c r="D22" s="85"/>
      <c r="E22" s="85"/>
      <c r="F22" s="85"/>
      <c r="G22" s="85"/>
      <c r="H22" s="85"/>
      <c r="I22" s="85"/>
      <c r="J22" s="85"/>
      <c r="K22" s="85"/>
      <c r="L22" s="85"/>
      <c r="M22" s="85"/>
      <c r="N22" s="85"/>
      <c r="O22" s="86"/>
    </row>
    <row r="23" spans="1:15" s="124" customFormat="1" ht="15.75">
      <c r="A23" s="126"/>
      <c r="B23" s="123"/>
      <c r="C23" s="85"/>
      <c r="D23" s="85"/>
      <c r="E23" s="85"/>
      <c r="F23" s="85"/>
      <c r="G23" s="85"/>
      <c r="H23" s="85"/>
      <c r="I23" s="85"/>
      <c r="J23" s="85"/>
      <c r="K23" s="85"/>
      <c r="L23" s="85"/>
      <c r="M23" s="85"/>
      <c r="N23" s="85"/>
      <c r="O23" s="86"/>
    </row>
    <row r="24" spans="1:15" s="124" customFormat="1" ht="15.75" thickBot="1">
      <c r="A24" s="130"/>
      <c r="B24" s="90"/>
      <c r="C24" s="90"/>
      <c r="D24" s="90"/>
      <c r="E24" s="90"/>
      <c r="F24" s="90"/>
      <c r="G24" s="90"/>
      <c r="H24" s="90"/>
      <c r="I24" s="90"/>
      <c r="J24" s="90"/>
      <c r="K24" s="90"/>
      <c r="L24" s="90"/>
      <c r="M24" s="90"/>
      <c r="N24" s="90"/>
      <c r="O24" s="91"/>
    </row>
  </sheetData>
  <sheetProtection password="D033" sheet="1" objects="1" scenarios="1"/>
  <mergeCells count="6">
    <mergeCell ref="B5:E5"/>
    <mergeCell ref="G6:N6"/>
    <mergeCell ref="B8:N8"/>
    <mergeCell ref="B9:N9"/>
    <mergeCell ref="B6:E6"/>
    <mergeCell ref="B7:N7"/>
  </mergeCells>
  <conditionalFormatting sqref="G6">
    <cfRule type="expression" dxfId="5" priority="1" stopIfTrue="1">
      <formula>$E$6&gt;$O$6</formula>
    </cfRule>
  </conditionalFormatting>
  <pageMargins left="0.70866141732283472" right="0.70866141732283472" top="0.74803149606299213" bottom="0.74803149606299213" header="0.31496062992125984" footer="0.31496062992125984"/>
  <pageSetup paperSize="9" scale="69" orientation="landscape" r:id="rId1"/>
  <headerFooter>
    <oddFooter>&amp;L&amp;F
&amp;A&amp;C&amp;P / &amp;N&amp;R&amp;T
&amp;D</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BM102"/>
  <sheetViews>
    <sheetView showGridLines="0" zoomScale="85" workbookViewId="0">
      <pane xSplit="6" ySplit="5" topLeftCell="G6" activePane="bottomRight" state="frozen"/>
      <selection activeCell="E3" sqref="E3"/>
      <selection pane="topRight" activeCell="E3" sqref="E3"/>
      <selection pane="bottomLeft" activeCell="E3" sqref="E3"/>
      <selection pane="bottomRight" activeCell="G6" sqref="G6"/>
    </sheetView>
  </sheetViews>
  <sheetFormatPr defaultColWidth="0" defaultRowHeight="12.75" zeroHeight="1"/>
  <cols>
    <col min="1" max="2" width="0.85546875" customWidth="1"/>
    <col min="3" max="4" width="0.7109375" customWidth="1"/>
    <col min="5" max="5" width="45.7109375" customWidth="1"/>
    <col min="6" max="7" width="11.7109375" customWidth="1"/>
    <col min="8" max="8" width="2.7109375" customWidth="1"/>
    <col min="9" max="9" width="1.42578125" style="19" customWidth="1"/>
    <col min="10" max="16" width="11.7109375" customWidth="1"/>
    <col min="17" max="17" width="10" bestFit="1" customWidth="1"/>
    <col min="18" max="18" width="10.28515625" hidden="1" customWidth="1"/>
    <col min="19" max="19" width="10" hidden="1" customWidth="1"/>
    <col min="20" max="20" width="10.28515625" hidden="1" customWidth="1"/>
    <col min="21" max="21" width="10" hidden="1" customWidth="1"/>
    <col min="22" max="22" width="10.28515625" hidden="1" customWidth="1"/>
    <col min="23" max="23" width="10" hidden="1" customWidth="1"/>
    <col min="24" max="24" width="10.28515625" hidden="1" customWidth="1"/>
    <col min="25" max="25" width="10" hidden="1" customWidth="1"/>
    <col min="26" max="26" width="10.28515625" hidden="1" customWidth="1"/>
    <col min="27" max="27" width="10" hidden="1" customWidth="1"/>
    <col min="28" max="28" width="10.28515625" hidden="1" customWidth="1"/>
    <col min="29" max="29" width="10" hidden="1" customWidth="1"/>
    <col min="30" max="30" width="10.28515625" hidden="1" customWidth="1"/>
    <col min="31" max="31" width="10" hidden="1" customWidth="1"/>
    <col min="32" max="32" width="10.28515625" hidden="1" customWidth="1"/>
    <col min="33" max="33" width="10" hidden="1" customWidth="1"/>
    <col min="34" max="34" width="10.28515625" hidden="1" customWidth="1"/>
    <col min="35" max="35" width="10" hidden="1" customWidth="1"/>
    <col min="36" max="36" width="10.28515625" hidden="1" customWidth="1"/>
    <col min="37" max="37" width="10" hidden="1" customWidth="1"/>
    <col min="38" max="38" width="10.28515625" hidden="1" customWidth="1"/>
    <col min="39" max="39" width="10" hidden="1" customWidth="1"/>
    <col min="40" max="40" width="10.28515625" hidden="1" customWidth="1"/>
    <col min="41" max="41" width="10" hidden="1" customWidth="1"/>
    <col min="42" max="42" width="10.28515625" hidden="1" customWidth="1"/>
    <col min="43" max="43" width="10" hidden="1" customWidth="1"/>
    <col min="44" max="44" width="10.28515625" hidden="1" customWidth="1"/>
    <col min="45" max="45" width="10" hidden="1" customWidth="1"/>
    <col min="46" max="46" width="10.28515625" hidden="1" customWidth="1"/>
    <col min="47" max="47" width="10" hidden="1" customWidth="1"/>
    <col min="48" max="48" width="10.28515625" hidden="1" customWidth="1"/>
    <col min="49" max="49" width="10" hidden="1" customWidth="1"/>
    <col min="50" max="50" width="10.28515625" hidden="1" customWidth="1"/>
    <col min="51" max="51" width="10" hidden="1" customWidth="1"/>
    <col min="52" max="52" width="10.28515625" hidden="1" customWidth="1"/>
    <col min="53" max="53" width="10" hidden="1" customWidth="1"/>
    <col min="54" max="54" width="10.28515625" hidden="1" customWidth="1"/>
    <col min="55" max="55" width="10" hidden="1" customWidth="1"/>
    <col min="56" max="56" width="10.28515625" hidden="1" customWidth="1"/>
    <col min="57" max="57" width="10" hidden="1" customWidth="1"/>
    <col min="58" max="58" width="10.28515625" hidden="1" customWidth="1"/>
    <col min="59" max="59" width="10" hidden="1" customWidth="1"/>
    <col min="60" max="60" width="10.28515625" hidden="1" customWidth="1"/>
    <col min="61" max="61" width="10" hidden="1" customWidth="1"/>
    <col min="62" max="62" width="10.28515625" hidden="1" customWidth="1"/>
    <col min="63" max="63" width="10" hidden="1" customWidth="1"/>
    <col min="64" max="64" width="10.28515625" hidden="1" customWidth="1"/>
    <col min="65" max="65" width="10" hidden="1" customWidth="1"/>
    <col min="66" max="16384" width="9.140625" hidden="1"/>
  </cols>
  <sheetData>
    <row r="1" spans="1:65" ht="15">
      <c r="A1" s="61" t="s">
        <v>55</v>
      </c>
      <c r="B1" s="61"/>
      <c r="C1" s="60"/>
      <c r="D1" s="60"/>
      <c r="E1" s="60"/>
      <c r="G1" s="1"/>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ht="15">
      <c r="A2" s="61" t="str">
        <f>"Scenario: "&amp;PROPER('Input Constants'!$F$7)</f>
        <v>Scenario: Base</v>
      </c>
      <c r="B2" s="61"/>
      <c r="C2" s="60"/>
      <c r="D2" s="60"/>
      <c r="E2" s="60"/>
      <c r="G2" s="1"/>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row>
    <row r="3" spans="1:65"/>
    <row r="4" spans="1:65"/>
    <row r="5" spans="1:65">
      <c r="E5" s="1" t="s">
        <v>21</v>
      </c>
      <c r="G5" t="s">
        <v>23</v>
      </c>
      <c r="J5" s="73" t="s">
        <v>26</v>
      </c>
      <c r="K5" s="73" t="s">
        <v>27</v>
      </c>
      <c r="L5" s="73" t="s">
        <v>28</v>
      </c>
      <c r="M5" s="73" t="s">
        <v>29</v>
      </c>
      <c r="N5" s="73" t="s">
        <v>30</v>
      </c>
      <c r="O5" s="73" t="s">
        <v>31</v>
      </c>
      <c r="P5" s="73" t="s">
        <v>32</v>
      </c>
    </row>
    <row r="6" spans="1:65"/>
    <row r="7" spans="1:65">
      <c r="E7" t="s">
        <v>33</v>
      </c>
      <c r="F7" s="71" t="s">
        <v>26</v>
      </c>
    </row>
    <row r="8" spans="1:65">
      <c r="E8" t="s">
        <v>34</v>
      </c>
      <c r="F8">
        <f>MATCH(F7,J5:P5)</f>
        <v>1</v>
      </c>
    </row>
    <row r="9" spans="1:65"/>
    <row r="10" spans="1:65">
      <c r="D10" s="11" t="s">
        <v>109</v>
      </c>
    </row>
    <row r="11" spans="1:65">
      <c r="E11" t="s">
        <v>98</v>
      </c>
      <c r="F11" s="92">
        <f>INDEX(J11:P11,F$8)</f>
        <v>2012</v>
      </c>
      <c r="J11" s="96">
        <v>2012</v>
      </c>
      <c r="K11" s="96"/>
      <c r="L11" s="96"/>
      <c r="M11" s="96"/>
      <c r="N11" s="96"/>
      <c r="O11" s="96"/>
      <c r="P11" s="96"/>
    </row>
    <row r="12" spans="1:65">
      <c r="E12" t="s">
        <v>150</v>
      </c>
      <c r="F12" s="93">
        <f>DATE($F$11+1, 3, 31)</f>
        <v>41364</v>
      </c>
      <c r="G12" t="s">
        <v>35</v>
      </c>
      <c r="I12"/>
    </row>
    <row r="13" spans="1:65"/>
    <row r="14" spans="1:65">
      <c r="E14" t="s">
        <v>37</v>
      </c>
      <c r="F14" s="93">
        <f>EDATE(F12, -12) + 1</f>
        <v>41000</v>
      </c>
      <c r="G14" t="s">
        <v>35</v>
      </c>
      <c r="I14"/>
    </row>
    <row r="15" spans="1:65">
      <c r="E15" t="s">
        <v>83</v>
      </c>
      <c r="F15" s="94">
        <f>INDEX(J15:P15,F$8)</f>
        <v>25</v>
      </c>
      <c r="G15" t="s">
        <v>36</v>
      </c>
      <c r="J15" s="74">
        <v>25</v>
      </c>
      <c r="K15" s="74"/>
      <c r="L15" s="74"/>
      <c r="M15" s="74"/>
      <c r="N15" s="74"/>
      <c r="O15" s="74"/>
      <c r="P15" s="74"/>
    </row>
    <row r="16" spans="1:65">
      <c r="E16" t="s">
        <v>40</v>
      </c>
      <c r="F16" s="93">
        <f>EDATE(F14,F15*12) - 1</f>
        <v>50130</v>
      </c>
      <c r="G16" t="s">
        <v>35</v>
      </c>
    </row>
    <row r="17" spans="4:16">
      <c r="E17" s="4"/>
      <c r="F17" s="4"/>
    </row>
    <row r="18" spans="4:16">
      <c r="E18" t="s">
        <v>108</v>
      </c>
      <c r="F18" s="92">
        <v>2012</v>
      </c>
      <c r="J18" s="19"/>
      <c r="K18" s="19"/>
      <c r="L18" s="19"/>
      <c r="M18" s="19"/>
      <c r="N18" s="19"/>
      <c r="O18" s="19"/>
      <c r="P18" s="19"/>
    </row>
    <row r="19" spans="4:16">
      <c r="E19" t="s">
        <v>156</v>
      </c>
      <c r="F19" s="93">
        <f>DATE($F$18+1, 3, 31)</f>
        <v>41364</v>
      </c>
      <c r="G19" t="s">
        <v>35</v>
      </c>
      <c r="J19" s="19"/>
      <c r="K19" s="19"/>
      <c r="L19" s="19"/>
      <c r="M19" s="19"/>
      <c r="N19" s="19"/>
      <c r="O19" s="19"/>
      <c r="P19" s="19"/>
    </row>
    <row r="20" spans="4:16">
      <c r="J20" s="19"/>
      <c r="K20" s="19"/>
      <c r="L20" s="19"/>
      <c r="M20" s="19"/>
      <c r="N20" s="19"/>
      <c r="O20" s="19"/>
      <c r="P20" s="19"/>
    </row>
    <row r="21" spans="4:16">
      <c r="E21" t="s">
        <v>151</v>
      </c>
      <c r="F21" s="112">
        <f>((1 + 2.5%) * (1 + 3.5%)) - 1</f>
        <v>6.087499999999979E-2</v>
      </c>
      <c r="G21" t="s">
        <v>41</v>
      </c>
      <c r="J21" s="19"/>
      <c r="K21" s="19"/>
      <c r="L21" s="19"/>
      <c r="M21" s="19"/>
      <c r="N21" s="19"/>
      <c r="O21" s="19"/>
      <c r="P21" s="19"/>
    </row>
    <row r="22" spans="4:16">
      <c r="F22" s="13"/>
      <c r="J22" s="19"/>
      <c r="K22" s="19"/>
      <c r="L22" s="19"/>
      <c r="M22" s="19"/>
      <c r="N22" s="19"/>
      <c r="O22" s="19"/>
      <c r="P22" s="19"/>
    </row>
    <row r="23" spans="4:16">
      <c r="D23" s="11" t="s">
        <v>86</v>
      </c>
      <c r="F23" s="4"/>
    </row>
    <row r="24" spans="4:16">
      <c r="E24" t="s">
        <v>87</v>
      </c>
      <c r="F24" s="95">
        <f>INDEX(J24:P24,F$8)</f>
        <v>2.5000000000000001E-2</v>
      </c>
      <c r="G24" t="s">
        <v>38</v>
      </c>
      <c r="J24" s="75">
        <v>2.5000000000000001E-2</v>
      </c>
      <c r="K24" s="75"/>
      <c r="L24" s="75"/>
      <c r="M24" s="75"/>
      <c r="N24" s="75"/>
      <c r="O24" s="75"/>
      <c r="P24" s="75"/>
    </row>
    <row r="25" spans="4:16">
      <c r="E25" t="s">
        <v>88</v>
      </c>
      <c r="F25" s="95">
        <f>INDEX(J25:P25,F$8)</f>
        <v>2.5000000000000001E-2</v>
      </c>
      <c r="G25" t="s">
        <v>38</v>
      </c>
      <c r="J25" s="75">
        <v>2.5000000000000001E-2</v>
      </c>
      <c r="K25" s="75"/>
      <c r="L25" s="75"/>
      <c r="M25" s="75"/>
      <c r="N25" s="75"/>
      <c r="O25" s="75"/>
      <c r="P25" s="75"/>
    </row>
    <row r="26" spans="4:16">
      <c r="E26" t="s">
        <v>153</v>
      </c>
      <c r="F26" s="95">
        <f>INDEX(J26:P26,F$8)</f>
        <v>2.5000000000000001E-2</v>
      </c>
      <c r="G26" t="s">
        <v>38</v>
      </c>
      <c r="J26" s="75">
        <v>2.5000000000000001E-2</v>
      </c>
      <c r="K26" s="75"/>
      <c r="L26" s="75"/>
      <c r="M26" s="75"/>
      <c r="N26" s="75"/>
      <c r="O26" s="75"/>
      <c r="P26" s="75"/>
    </row>
    <row r="27" spans="4:16">
      <c r="F27" s="7"/>
      <c r="J27" s="19"/>
      <c r="K27" s="19"/>
      <c r="L27" s="19"/>
      <c r="M27" s="19"/>
      <c r="N27" s="19"/>
      <c r="O27" s="19"/>
      <c r="P27" s="19"/>
    </row>
    <row r="28" spans="4:16">
      <c r="D28" s="11" t="s">
        <v>112</v>
      </c>
      <c r="F28" s="4"/>
      <c r="G28" s="4"/>
    </row>
    <row r="29" spans="4:16">
      <c r="E29" t="s">
        <v>110</v>
      </c>
      <c r="F29" s="95">
        <f>INDEX(J29:P29,F$8)</f>
        <v>2.5000000000000001E-2</v>
      </c>
      <c r="G29" t="s">
        <v>38</v>
      </c>
      <c r="J29" s="75">
        <v>2.5000000000000001E-2</v>
      </c>
      <c r="K29" s="75"/>
      <c r="L29" s="75"/>
      <c r="M29" s="75"/>
      <c r="N29" s="75"/>
      <c r="O29" s="75"/>
      <c r="P29" s="75"/>
    </row>
    <row r="30" spans="4:16">
      <c r="E30" t="s">
        <v>111</v>
      </c>
      <c r="F30" s="95">
        <f>INDEX(J30:P30,F$8)</f>
        <v>2.5000000000000001E-2</v>
      </c>
      <c r="G30" t="s">
        <v>38</v>
      </c>
      <c r="J30" s="75">
        <v>2.5000000000000001E-2</v>
      </c>
      <c r="K30" s="75"/>
      <c r="L30" s="75"/>
      <c r="M30" s="75"/>
      <c r="N30" s="75"/>
      <c r="O30" s="75"/>
      <c r="P30" s="75"/>
    </row>
    <row r="31" spans="4:16">
      <c r="E31" t="s">
        <v>154</v>
      </c>
      <c r="F31" s="95">
        <f>INDEX(J31:P31,F$8)</f>
        <v>2.5000000000000001E-2</v>
      </c>
      <c r="G31" t="s">
        <v>38</v>
      </c>
      <c r="J31" s="75">
        <v>2.5000000000000001E-2</v>
      </c>
      <c r="K31" s="75"/>
      <c r="L31" s="75"/>
      <c r="M31" s="75"/>
      <c r="N31" s="75"/>
      <c r="O31" s="75"/>
      <c r="P31" s="75"/>
    </row>
    <row r="32" spans="4:16">
      <c r="F32" s="7"/>
    </row>
    <row r="33" spans="5:16">
      <c r="E33" t="s">
        <v>102</v>
      </c>
      <c r="F33" s="95">
        <f>INDEX(J33:P33,F$8)</f>
        <v>0.01</v>
      </c>
      <c r="G33" t="s">
        <v>38</v>
      </c>
      <c r="J33" s="75">
        <v>0.01</v>
      </c>
      <c r="K33" s="75"/>
      <c r="L33" s="75"/>
      <c r="M33" s="75"/>
      <c r="N33" s="75"/>
      <c r="O33" s="75"/>
      <c r="P33" s="75"/>
    </row>
    <row r="34" spans="5:16">
      <c r="F34" s="7"/>
      <c r="J34" s="19"/>
      <c r="K34" s="19"/>
      <c r="L34" s="19"/>
      <c r="M34" s="19"/>
      <c r="N34" s="19"/>
      <c r="O34" s="19"/>
      <c r="P34" s="19"/>
    </row>
    <row r="35" spans="5:16">
      <c r="E35" s="11" t="s">
        <v>50</v>
      </c>
      <c r="F35" s="4"/>
      <c r="G35" s="4"/>
    </row>
    <row r="36" spans="5:16">
      <c r="E36" t="s">
        <v>101</v>
      </c>
      <c r="F36" s="94" t="str">
        <f>INDEX(J36:P36,F$8)</f>
        <v>Annuity</v>
      </c>
      <c r="G36" s="4"/>
      <c r="J36" s="76" t="s">
        <v>99</v>
      </c>
      <c r="K36" s="76"/>
      <c r="L36" s="76"/>
      <c r="M36" s="76"/>
      <c r="N36" s="76"/>
      <c r="O36" s="76"/>
      <c r="P36" s="76"/>
    </row>
    <row r="37" spans="5:16">
      <c r="E37" s="11"/>
      <c r="F37" s="4"/>
      <c r="G37" s="4"/>
    </row>
    <row r="38" spans="5:16">
      <c r="E38" t="s">
        <v>163</v>
      </c>
      <c r="F38" s="94">
        <f>INDEX(J38:P38,F$8)</f>
        <v>15</v>
      </c>
      <c r="G38" t="s">
        <v>36</v>
      </c>
      <c r="J38" s="74">
        <v>15</v>
      </c>
      <c r="K38" s="74"/>
      <c r="L38" s="74"/>
      <c r="M38" s="74"/>
      <c r="N38" s="74"/>
      <c r="O38" s="74"/>
      <c r="P38" s="74"/>
    </row>
    <row r="39" spans="5:16">
      <c r="E39" t="s">
        <v>164</v>
      </c>
      <c r="F39" s="95">
        <f>INDEX(J39:P39,F$8)</f>
        <v>0.04</v>
      </c>
      <c r="G39" t="s">
        <v>38</v>
      </c>
      <c r="J39" s="75">
        <v>0.04</v>
      </c>
      <c r="K39" s="75"/>
      <c r="L39" s="75"/>
      <c r="M39" s="75"/>
      <c r="N39" s="75"/>
      <c r="O39" s="75"/>
      <c r="P39" s="75"/>
    </row>
    <row r="40" spans="5:16">
      <c r="E40" t="s">
        <v>165</v>
      </c>
      <c r="F40" s="95">
        <f>INDEX(J40:P40,F$8)</f>
        <v>0.8</v>
      </c>
      <c r="G40" s="4" t="s">
        <v>41</v>
      </c>
      <c r="J40" s="75">
        <v>0.8</v>
      </c>
      <c r="K40" s="75"/>
      <c r="L40" s="75"/>
      <c r="M40" s="75"/>
      <c r="N40" s="75"/>
      <c r="O40" s="75"/>
      <c r="P40" s="75"/>
    </row>
    <row r="41" spans="5:16">
      <c r="E41" s="4"/>
      <c r="F41" s="4"/>
      <c r="G41" s="4"/>
    </row>
    <row r="42" spans="5:16">
      <c r="E42" t="s">
        <v>169</v>
      </c>
      <c r="F42" s="94">
        <f>INDEX(J42:P42,F$8)</f>
        <v>10</v>
      </c>
      <c r="G42" t="s">
        <v>36</v>
      </c>
      <c r="J42" s="74">
        <v>10</v>
      </c>
      <c r="K42" s="74"/>
      <c r="L42" s="74"/>
      <c r="M42" s="74"/>
      <c r="N42" s="74"/>
      <c r="O42" s="74"/>
      <c r="P42" s="74"/>
    </row>
    <row r="43" spans="5:16">
      <c r="E43" t="s">
        <v>170</v>
      </c>
      <c r="F43" s="95">
        <f>INDEX(J43:P43,F$8)</f>
        <v>0.06</v>
      </c>
      <c r="G43" t="s">
        <v>38</v>
      </c>
      <c r="J43" s="75">
        <v>0.06</v>
      </c>
      <c r="K43" s="75"/>
      <c r="L43" s="75"/>
      <c r="M43" s="75"/>
      <c r="N43" s="75"/>
      <c r="O43" s="75"/>
      <c r="P43" s="75"/>
    </row>
    <row r="44" spans="5:16">
      <c r="E44" t="s">
        <v>171</v>
      </c>
      <c r="F44" s="95">
        <f>INDEX(J44:P44,F$8)</f>
        <v>0.2</v>
      </c>
      <c r="G44" s="4" t="s">
        <v>41</v>
      </c>
      <c r="J44" s="75">
        <v>0.2</v>
      </c>
      <c r="K44" s="75"/>
      <c r="L44" s="75"/>
      <c r="M44" s="75"/>
      <c r="N44" s="75"/>
      <c r="O44" s="75"/>
      <c r="P44" s="75"/>
    </row>
    <row r="45" spans="5:16"/>
    <row r="46" spans="5:16">
      <c r="E46" t="s">
        <v>166</v>
      </c>
      <c r="F46" s="94">
        <f>INDEX(J46:P46,F$8)</f>
        <v>10</v>
      </c>
      <c r="G46" t="s">
        <v>36</v>
      </c>
      <c r="J46" s="74">
        <v>10</v>
      </c>
      <c r="K46" s="74"/>
      <c r="L46" s="74"/>
      <c r="M46" s="74"/>
      <c r="N46" s="74"/>
      <c r="O46" s="74"/>
      <c r="P46" s="74"/>
    </row>
    <row r="47" spans="5:16">
      <c r="E47" t="s">
        <v>167</v>
      </c>
      <c r="F47" s="95">
        <f>INDEX(J47:P47,F$8)</f>
        <v>0.05</v>
      </c>
      <c r="G47" t="s">
        <v>38</v>
      </c>
      <c r="J47" s="75">
        <v>0.05</v>
      </c>
      <c r="K47" s="75"/>
      <c r="L47" s="75"/>
      <c r="M47" s="75"/>
      <c r="N47" s="75"/>
      <c r="O47" s="75"/>
      <c r="P47" s="75"/>
    </row>
    <row r="48" spans="5:16">
      <c r="E48" t="s">
        <v>168</v>
      </c>
      <c r="F48" s="95">
        <f>INDEX(J48:P48,F$8)</f>
        <v>0</v>
      </c>
      <c r="G48" s="4" t="s">
        <v>41</v>
      </c>
      <c r="J48" s="133">
        <f>MAX(100% - J40 - J44, 0)</f>
        <v>0</v>
      </c>
      <c r="K48" s="133"/>
      <c r="L48" s="133"/>
      <c r="M48" s="133"/>
      <c r="N48" s="133"/>
      <c r="O48" s="133"/>
      <c r="P48" s="133"/>
    </row>
    <row r="49" spans="5:6"/>
    <row r="50" spans="5:6"/>
    <row r="51" spans="5:6" ht="16.5" customHeight="1"/>
    <row r="52" spans="5:6"/>
    <row r="53" spans="5:6" hidden="1">
      <c r="E53" s="99" t="s">
        <v>107</v>
      </c>
      <c r="F53" s="98" t="s">
        <v>106</v>
      </c>
    </row>
    <row r="54" spans="5:6" hidden="1">
      <c r="E54" s="97" t="s">
        <v>99</v>
      </c>
      <c r="F54" s="97">
        <v>2012</v>
      </c>
    </row>
    <row r="55" spans="5:6" hidden="1">
      <c r="E55" s="97" t="s">
        <v>100</v>
      </c>
      <c r="F55" s="97">
        <f>F54+1</f>
        <v>2013</v>
      </c>
    </row>
    <row r="56" spans="5:6" hidden="1">
      <c r="F56" s="97">
        <f t="shared" ref="F56:F61" si="0">F55+1</f>
        <v>2014</v>
      </c>
    </row>
    <row r="57" spans="5:6" hidden="1">
      <c r="F57" s="97">
        <f t="shared" si="0"/>
        <v>2015</v>
      </c>
    </row>
    <row r="58" spans="5:6" hidden="1">
      <c r="F58" s="97">
        <f t="shared" si="0"/>
        <v>2016</v>
      </c>
    </row>
    <row r="59" spans="5:6" hidden="1">
      <c r="F59" s="97">
        <f t="shared" si="0"/>
        <v>2017</v>
      </c>
    </row>
    <row r="60" spans="5:6" hidden="1">
      <c r="F60" s="97">
        <f t="shared" si="0"/>
        <v>2018</v>
      </c>
    </row>
    <row r="61" spans="5:6" hidden="1">
      <c r="F61" s="97">
        <f t="shared" si="0"/>
        <v>2019</v>
      </c>
    </row>
    <row r="62" spans="5:6"/>
    <row r="63" spans="5:6"/>
    <row r="64" spans="5:6"/>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sheetData>
  <sheetProtection password="D033" sheet="1" objects="1" scenarios="1"/>
  <phoneticPr fontId="6" type="noConversion"/>
  <dataValidations count="21">
    <dataValidation type="list" allowBlank="1" showInputMessage="1" showErrorMessage="1" promptTitle="Repayment profile" prompt="Enter the repayment profile for the borrowings._x000a__x000a_This will apply to all borrowings selected below." sqref="J36:P36">
      <formula1>$E$54:$E$55</formula1>
    </dataValidation>
    <dataValidation allowBlank="1" showInputMessage="1" showErrorMessage="1" promptTitle="Inflation rate" prompt="Enter the per annum inflation rate to be applied to the Status Quo energy costs" sqref="J25:P25"/>
    <dataValidation allowBlank="1" showInputMessage="1" showErrorMessage="1" promptTitle="Inflation rate" prompt="Enter the per annum inflation rate to be applied to the Status Quo lifecycle costs" sqref="J26"/>
    <dataValidation allowBlank="1" showInputMessage="1" showErrorMessage="1" promptTitle="Inflation rate" prompt="Enter the per annum inflation rate to be applied to the Upgrade maintenance costs" sqref="J29:P29"/>
    <dataValidation allowBlank="1" showInputMessage="1" showErrorMessage="1" promptTitle="Inflation rate" prompt="Enter the per annum inflation rate to be applied to the capital costs." sqref="J33:P33"/>
    <dataValidation allowBlank="1" showInputMessage="1" showErrorMessage="1" promptTitle="Inflation rate" prompt="Enter the per annum inflation rate to be applied to the Status Quo maintenance costs" sqref="J24:P24"/>
    <dataValidation allowBlank="1" showInputMessage="1" showErrorMessage="1" promptTitle="Operation length" prompt="Enter number of years to be analysed." sqref="K15:P15"/>
    <dataValidation allowBlank="1" showInputMessage="1" showErrorMessage="1" promptTitle="Inflation rate" prompt="Enter the per annum inflation rate to be applied to the Upgrade energy costs" sqref="J30:P30"/>
    <dataValidation allowBlank="1" showInputMessage="1" showErrorMessage="1" promptTitle="Inflation rate" prompt="Enter the per annum inflation rate to be applied to the Upgrade lifecycle costs" sqref="J31:P31"/>
    <dataValidation allowBlank="1" showInputMessage="1" showErrorMessage="1" promptTitle="Tranche A interest rate" prompt="Enter annual all-in interest rate for Tranche A." sqref="J39:P39"/>
    <dataValidation allowBlank="1" showInputMessage="1" showErrorMessage="1" promptTitle="Tranche A proportion" prompt="Enter percentage of funding requirement to be met from Tranche A." sqref="J40:P40"/>
    <dataValidation allowBlank="1" showInputMessage="1" showErrorMessage="1" promptTitle="Operation length" prompt="Enter number of years to be analysed._x000a__x000a_Ensure that the operations end date is no more than 25 years from the year of upgrade." sqref="J15"/>
    <dataValidation allowBlank="1" showInputMessage="1" showErrorMessage="1" promptTitle="Tranche A term" prompt="Enter number of years for Tranche A to be repaid._x000a__x000a_Note that the borrowing should be fully repaid within the analysis period." sqref="J38:P38"/>
    <dataValidation type="list" allowBlank="1" showInputMessage="1" showErrorMessage="1" promptTitle="Scenario selection" prompt="Select the scenario to be used in the model. _x000a__x000a_This chooses the data from columns J to P." sqref="F7">
      <formula1>$J$5:$P$5</formula1>
    </dataValidation>
    <dataValidation type="list" allowBlank="1" showInputMessage="1" showErrorMessage="1" promptTitle="Base year" prompt="Enter the starting year for the financial model._x000a__x000a_Ensure this matches the base year entered in Sheet 0 in the Technical Model." sqref="J11:P11">
      <formula1>$F$54:$F$61</formula1>
    </dataValidation>
    <dataValidation allowBlank="1" showInputMessage="1" showErrorMessage="1" promptTitle="Tranche B term" prompt="Enter number of years for Tranche B to be repaid._x000a__x000a_Note that the borrowing should be fully repaid within the analysis period." sqref="J42:P42"/>
    <dataValidation allowBlank="1" showInputMessage="1" showErrorMessage="1" promptTitle="Tranche B interest rate" prompt="Enter annual all-in interest rate for Tranche B." sqref="J43:P43"/>
    <dataValidation allowBlank="1" showInputMessage="1" showErrorMessage="1" promptTitle="Tranche B proportion" prompt="Enter percentage of funding requirement to be met from Tranche B." sqref="J44:P44"/>
    <dataValidation allowBlank="1" showInputMessage="1" showErrorMessage="1" promptTitle="Tranche C term" prompt="Enter number of years for Tranche C to be repaid._x000a__x000a_Note that the borrowing should be fully repaid within the analysis period." sqref="J46:P46"/>
    <dataValidation allowBlank="1" showInputMessage="1" showErrorMessage="1" promptTitle="Tranche C interest rate" prompt="Enter annual all-in interest rate for Tranche C." sqref="J47:P47"/>
    <dataValidation allowBlank="1" showInputMessage="1" showErrorMessage="1" promptTitle="Tranche C proportion" prompt="Percentage of funding requirement to be met from Tranche C." sqref="J48:P48"/>
  </dataValidations>
  <pageMargins left="0.74803149606299213" right="0.74803149606299213" top="0.98425196850393704" bottom="0.98425196850393704" header="0.51181102362204722" footer="0.51181102362204722"/>
  <pageSetup paperSize="9" scale="5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pageSetUpPr fitToPage="1"/>
  </sheetPr>
  <dimension ref="A1:BY56"/>
  <sheetViews>
    <sheetView showGridLines="0" zoomScale="85" zoomScaleNormal="85" workbookViewId="0">
      <pane xSplit="9" ySplit="5" topLeftCell="J6" activePane="bottomRight" state="frozen"/>
      <selection activeCell="H1" sqref="H1"/>
      <selection pane="topRight" activeCell="H1" sqref="H1"/>
      <selection pane="bottomLeft" activeCell="H1" sqref="H1"/>
      <selection pane="bottomRight" activeCell="J6" sqref="J6"/>
    </sheetView>
  </sheetViews>
  <sheetFormatPr defaultColWidth="0" defaultRowHeight="12.75"/>
  <cols>
    <col min="1" max="4" width="0.85546875" customWidth="1"/>
    <col min="5" max="5" width="45.7109375" customWidth="1"/>
    <col min="6" max="7" width="11.7109375" customWidth="1"/>
    <col min="8" max="8" width="13.85546875" customWidth="1"/>
    <col min="9" max="9" width="1.42578125" customWidth="1"/>
    <col min="10" max="43" width="13.7109375" customWidth="1"/>
    <col min="44" max="44" width="10.28515625" bestFit="1" customWidth="1"/>
    <col min="45" max="45" width="10" hidden="1" customWidth="1"/>
    <col min="46" max="46" width="10.28515625" hidden="1" customWidth="1"/>
    <col min="47" max="47" width="10" hidden="1" customWidth="1"/>
    <col min="48" max="48" width="10.28515625" hidden="1" customWidth="1"/>
    <col min="49" max="49" width="10" hidden="1" customWidth="1"/>
    <col min="50" max="50" width="10.28515625" hidden="1" customWidth="1"/>
    <col min="51" max="51" width="10" hidden="1" customWidth="1"/>
    <col min="52" max="52" width="10.28515625" hidden="1" customWidth="1"/>
    <col min="53" max="53" width="10" hidden="1" customWidth="1"/>
    <col min="54" max="70" width="9.140625" hidden="1" customWidth="1"/>
    <col min="71" max="71" width="10" hidden="1" customWidth="1"/>
    <col min="72" max="72" width="10.28515625" hidden="1" customWidth="1"/>
    <col min="73" max="73" width="10" hidden="1" customWidth="1"/>
    <col min="74" max="74" width="10.28515625" hidden="1" customWidth="1"/>
    <col min="75" max="75" width="10" hidden="1" customWidth="1"/>
    <col min="76" max="76" width="10.28515625" hidden="1" customWidth="1"/>
    <col min="77" max="77" width="10" hidden="1" customWidth="1"/>
    <col min="78" max="16384" width="9.140625" hidden="1"/>
  </cols>
  <sheetData>
    <row r="1" spans="1:53" ht="15">
      <c r="A1" s="61" t="str">
        <f>'Input Constants'!$A$1</f>
        <v>Scottish Futures Trust Model</v>
      </c>
      <c r="B1" s="61"/>
      <c r="C1" s="60"/>
      <c r="D1" s="60"/>
      <c r="E1" s="60"/>
      <c r="F1" t="str">
        <f>Flags!F1</f>
        <v>Period Starting</v>
      </c>
      <c r="G1" s="1"/>
      <c r="J1" s="2">
        <f>Flags!J1</f>
        <v>41000</v>
      </c>
      <c r="K1" s="2">
        <f>Flags!K1</f>
        <v>41365</v>
      </c>
      <c r="L1" s="2">
        <f>Flags!L1</f>
        <v>41730</v>
      </c>
      <c r="M1" s="2">
        <f>Flags!M1</f>
        <v>42095</v>
      </c>
      <c r="N1" s="2">
        <f>Flags!N1</f>
        <v>42461</v>
      </c>
      <c r="O1" s="2">
        <f>Flags!O1</f>
        <v>42826</v>
      </c>
      <c r="P1" s="2">
        <f>Flags!P1</f>
        <v>43191</v>
      </c>
      <c r="Q1" s="2">
        <f>Flags!Q1</f>
        <v>43556</v>
      </c>
      <c r="R1" s="2">
        <f>Flags!R1</f>
        <v>43922</v>
      </c>
      <c r="S1" s="2">
        <f>Flags!S1</f>
        <v>44287</v>
      </c>
      <c r="T1" s="2">
        <f>Flags!T1</f>
        <v>44652</v>
      </c>
      <c r="U1" s="2">
        <f>Flags!U1</f>
        <v>45017</v>
      </c>
      <c r="V1" s="2">
        <f>Flags!V1</f>
        <v>45383</v>
      </c>
      <c r="W1" s="2">
        <f>Flags!W1</f>
        <v>45748</v>
      </c>
      <c r="X1" s="2">
        <f>Flags!X1</f>
        <v>46113</v>
      </c>
      <c r="Y1" s="2">
        <f>Flags!Y1</f>
        <v>46478</v>
      </c>
      <c r="Z1" s="2">
        <f>Flags!Z1</f>
        <v>46844</v>
      </c>
      <c r="AA1" s="2">
        <f>Flags!AA1</f>
        <v>47209</v>
      </c>
      <c r="AB1" s="2">
        <f>Flags!AB1</f>
        <v>47574</v>
      </c>
      <c r="AC1" s="2">
        <f>Flags!AC1</f>
        <v>47939</v>
      </c>
      <c r="AD1" s="2">
        <f>Flags!AD1</f>
        <v>48305</v>
      </c>
      <c r="AE1" s="2">
        <f>Flags!AE1</f>
        <v>48670</v>
      </c>
      <c r="AF1" s="2">
        <f>Flags!AF1</f>
        <v>49035</v>
      </c>
      <c r="AG1" s="2">
        <f>Flags!AG1</f>
        <v>49400</v>
      </c>
      <c r="AH1" s="2">
        <f>Flags!AH1</f>
        <v>49766</v>
      </c>
      <c r="AI1" s="2">
        <f>Flags!AI1</f>
        <v>50131</v>
      </c>
      <c r="AJ1" s="2">
        <f>Flags!AJ1</f>
        <v>50496</v>
      </c>
      <c r="AK1" s="2">
        <f>Flags!AK1</f>
        <v>50861</v>
      </c>
      <c r="AL1" s="2">
        <f>Flags!AL1</f>
        <v>51227</v>
      </c>
      <c r="AM1" s="2">
        <f>Flags!AM1</f>
        <v>51592</v>
      </c>
      <c r="AN1" s="2">
        <f>Flags!AN1</f>
        <v>51957</v>
      </c>
      <c r="AO1" s="2">
        <f>Flags!AO1</f>
        <v>52322</v>
      </c>
      <c r="AP1" s="2">
        <f>Flags!AP1</f>
        <v>52688</v>
      </c>
      <c r="AQ1" s="2">
        <f>Flags!AQ1</f>
        <v>53053</v>
      </c>
      <c r="AR1" s="3"/>
      <c r="AS1" s="3"/>
      <c r="AT1" s="3"/>
      <c r="AU1" s="3"/>
      <c r="AV1" s="3"/>
      <c r="AW1" s="3"/>
      <c r="AX1" s="3"/>
      <c r="AY1" s="3"/>
      <c r="AZ1" s="3"/>
      <c r="BA1" s="3"/>
    </row>
    <row r="2" spans="1:53" ht="15">
      <c r="A2" s="61" t="str">
        <f>'Input Constants'!$A$2</f>
        <v>Scenario: Base</v>
      </c>
      <c r="B2" s="61"/>
      <c r="C2" s="60"/>
      <c r="D2" s="60"/>
      <c r="E2" s="60"/>
      <c r="F2" t="str">
        <f>Flags!F2</f>
        <v>Period Ending</v>
      </c>
      <c r="G2" s="1"/>
      <c r="J2" s="2">
        <f>Flags!J2</f>
        <v>41364</v>
      </c>
      <c r="K2" s="2">
        <f>Flags!K2</f>
        <v>41729</v>
      </c>
      <c r="L2" s="2">
        <f>Flags!L2</f>
        <v>42094</v>
      </c>
      <c r="M2" s="2">
        <f>Flags!M2</f>
        <v>42460</v>
      </c>
      <c r="N2" s="2">
        <f>Flags!N2</f>
        <v>42825</v>
      </c>
      <c r="O2" s="2">
        <f>Flags!O2</f>
        <v>43190</v>
      </c>
      <c r="P2" s="2">
        <f>Flags!P2</f>
        <v>43555</v>
      </c>
      <c r="Q2" s="2">
        <f>Flags!Q2</f>
        <v>43921</v>
      </c>
      <c r="R2" s="2">
        <f>Flags!R2</f>
        <v>44286</v>
      </c>
      <c r="S2" s="2">
        <f>Flags!S2</f>
        <v>44651</v>
      </c>
      <c r="T2" s="2">
        <f>Flags!T2</f>
        <v>45016</v>
      </c>
      <c r="U2" s="2">
        <f>Flags!U2</f>
        <v>45382</v>
      </c>
      <c r="V2" s="2">
        <f>Flags!V2</f>
        <v>45747</v>
      </c>
      <c r="W2" s="2">
        <f>Flags!W2</f>
        <v>46112</v>
      </c>
      <c r="X2" s="2">
        <f>Flags!X2</f>
        <v>46477</v>
      </c>
      <c r="Y2" s="2">
        <f>Flags!Y2</f>
        <v>46843</v>
      </c>
      <c r="Z2" s="2">
        <f>Flags!Z2</f>
        <v>47208</v>
      </c>
      <c r="AA2" s="2">
        <f>Flags!AA2</f>
        <v>47573</v>
      </c>
      <c r="AB2" s="2">
        <f>Flags!AB2</f>
        <v>47938</v>
      </c>
      <c r="AC2" s="2">
        <f>Flags!AC2</f>
        <v>48304</v>
      </c>
      <c r="AD2" s="2">
        <f>Flags!AD2</f>
        <v>48669</v>
      </c>
      <c r="AE2" s="2">
        <f>Flags!AE2</f>
        <v>49034</v>
      </c>
      <c r="AF2" s="2">
        <f>Flags!AF2</f>
        <v>49399</v>
      </c>
      <c r="AG2" s="2">
        <f>Flags!AG2</f>
        <v>49765</v>
      </c>
      <c r="AH2" s="2">
        <f>Flags!AH2</f>
        <v>50130</v>
      </c>
      <c r="AI2" s="2">
        <f>Flags!AI2</f>
        <v>50495</v>
      </c>
      <c r="AJ2" s="2">
        <f>Flags!AJ2</f>
        <v>50860</v>
      </c>
      <c r="AK2" s="2">
        <f>Flags!AK2</f>
        <v>51226</v>
      </c>
      <c r="AL2" s="2">
        <f>Flags!AL2</f>
        <v>51591</v>
      </c>
      <c r="AM2" s="2">
        <f>Flags!AM2</f>
        <v>51956</v>
      </c>
      <c r="AN2" s="2">
        <f>Flags!AN2</f>
        <v>52321</v>
      </c>
      <c r="AO2" s="2">
        <f>Flags!AO2</f>
        <v>52687</v>
      </c>
      <c r="AP2" s="2">
        <f>Flags!AP2</f>
        <v>53052</v>
      </c>
      <c r="AQ2" s="2">
        <f>Flags!AQ2</f>
        <v>53417</v>
      </c>
      <c r="AR2" s="3"/>
      <c r="AS2" s="3"/>
      <c r="AT2" s="3"/>
      <c r="AU2" s="3"/>
      <c r="AV2" s="3"/>
      <c r="AW2" s="3"/>
      <c r="AX2" s="3"/>
      <c r="AY2" s="3"/>
      <c r="AZ2" s="3"/>
      <c r="BA2" s="3"/>
    </row>
    <row r="3" spans="1:53">
      <c r="F3" t="str">
        <f>Flags!F3</f>
        <v>Year</v>
      </c>
      <c r="J3">
        <f>Flags!J3</f>
        <v>2012</v>
      </c>
      <c r="K3">
        <f>Flags!K3</f>
        <v>2013</v>
      </c>
      <c r="L3">
        <f>Flags!L3</f>
        <v>2014</v>
      </c>
      <c r="M3">
        <f>Flags!M3</f>
        <v>2015</v>
      </c>
      <c r="N3">
        <f>Flags!N3</f>
        <v>2016</v>
      </c>
      <c r="O3">
        <f>Flags!O3</f>
        <v>2017</v>
      </c>
      <c r="P3">
        <f>Flags!P3</f>
        <v>2018</v>
      </c>
      <c r="Q3">
        <f>Flags!Q3</f>
        <v>2019</v>
      </c>
      <c r="R3">
        <f>Flags!R3</f>
        <v>2020</v>
      </c>
      <c r="S3">
        <f>Flags!S3</f>
        <v>2021</v>
      </c>
      <c r="T3">
        <f>Flags!T3</f>
        <v>2022</v>
      </c>
      <c r="U3">
        <f>Flags!U3</f>
        <v>2023</v>
      </c>
      <c r="V3">
        <f>Flags!V3</f>
        <v>2024</v>
      </c>
      <c r="W3">
        <f>Flags!W3</f>
        <v>2025</v>
      </c>
      <c r="X3">
        <f>Flags!X3</f>
        <v>2026</v>
      </c>
      <c r="Y3">
        <f>Flags!Y3</f>
        <v>2027</v>
      </c>
      <c r="Z3">
        <f>Flags!Z3</f>
        <v>2028</v>
      </c>
      <c r="AA3">
        <f>Flags!AA3</f>
        <v>2029</v>
      </c>
      <c r="AB3">
        <f>Flags!AB3</f>
        <v>2030</v>
      </c>
      <c r="AC3">
        <f>Flags!AC3</f>
        <v>2031</v>
      </c>
      <c r="AD3">
        <f>Flags!AD3</f>
        <v>2032</v>
      </c>
      <c r="AE3">
        <f>Flags!AE3</f>
        <v>2033</v>
      </c>
      <c r="AF3">
        <f>Flags!AF3</f>
        <v>2034</v>
      </c>
      <c r="AG3">
        <f>Flags!AG3</f>
        <v>2035</v>
      </c>
      <c r="AH3">
        <f>Flags!AH3</f>
        <v>2036</v>
      </c>
      <c r="AI3">
        <f>Flags!AI3</f>
        <v>2037</v>
      </c>
      <c r="AJ3">
        <f>Flags!AJ3</f>
        <v>2038</v>
      </c>
      <c r="AK3">
        <f>Flags!AK3</f>
        <v>2039</v>
      </c>
      <c r="AL3">
        <f>Flags!AL3</f>
        <v>2040</v>
      </c>
      <c r="AM3">
        <f>Flags!AM3</f>
        <v>2041</v>
      </c>
      <c r="AN3">
        <f>Flags!AN3</f>
        <v>2042</v>
      </c>
      <c r="AO3">
        <f>Flags!AO3</f>
        <v>2043</v>
      </c>
      <c r="AP3">
        <f>Flags!AP3</f>
        <v>2044</v>
      </c>
      <c r="AQ3">
        <f>Flags!AQ3</f>
        <v>2045</v>
      </c>
    </row>
    <row r="5" spans="1:53">
      <c r="E5" s="1" t="s">
        <v>22</v>
      </c>
      <c r="G5" s="73" t="s">
        <v>23</v>
      </c>
      <c r="H5" s="73" t="s">
        <v>24</v>
      </c>
    </row>
    <row r="7" spans="1:53" s="109" customFormat="1">
      <c r="D7" s="108" t="s">
        <v>43</v>
      </c>
    </row>
    <row r="9" spans="1:53">
      <c r="E9" s="59" t="s">
        <v>91</v>
      </c>
    </row>
    <row r="10" spans="1:53">
      <c r="E10" s="42" t="s">
        <v>95</v>
      </c>
      <c r="G10" t="s">
        <v>42</v>
      </c>
      <c r="H10" s="101">
        <f>SUM(J10:AQ10)</f>
        <v>2866000</v>
      </c>
      <c r="J10" s="77">
        <v>0</v>
      </c>
      <c r="K10" s="77">
        <v>0</v>
      </c>
      <c r="L10" s="77">
        <v>0</v>
      </c>
      <c r="M10" s="77">
        <v>2866000</v>
      </c>
      <c r="N10" s="77">
        <v>0</v>
      </c>
      <c r="O10" s="77">
        <v>0</v>
      </c>
      <c r="P10" s="77">
        <v>0</v>
      </c>
      <c r="Q10" s="77">
        <v>0</v>
      </c>
      <c r="R10" s="77">
        <v>0</v>
      </c>
      <c r="S10" s="77">
        <v>0</v>
      </c>
      <c r="T10" s="77">
        <v>0</v>
      </c>
      <c r="U10" s="77">
        <v>0</v>
      </c>
      <c r="V10" s="77">
        <v>0</v>
      </c>
      <c r="W10" s="77">
        <v>0</v>
      </c>
      <c r="X10" s="77">
        <v>0</v>
      </c>
      <c r="Y10" s="77">
        <v>0</v>
      </c>
      <c r="Z10" s="77">
        <v>0</v>
      </c>
      <c r="AA10" s="77">
        <v>0</v>
      </c>
      <c r="AB10" s="77">
        <v>0</v>
      </c>
      <c r="AC10" s="77">
        <v>0</v>
      </c>
      <c r="AD10" s="77">
        <v>0</v>
      </c>
      <c r="AE10" s="77">
        <v>0</v>
      </c>
      <c r="AF10" s="77">
        <v>0</v>
      </c>
      <c r="AG10" s="77">
        <v>0</v>
      </c>
      <c r="AH10" s="77">
        <v>0</v>
      </c>
      <c r="AI10" s="77">
        <v>0</v>
      </c>
      <c r="AJ10" s="77">
        <v>0</v>
      </c>
      <c r="AK10" s="77">
        <v>0</v>
      </c>
      <c r="AL10" s="77">
        <v>0</v>
      </c>
      <c r="AM10" s="77">
        <v>0</v>
      </c>
      <c r="AN10" s="77">
        <v>0</v>
      </c>
      <c r="AO10" s="77">
        <v>0</v>
      </c>
      <c r="AP10" s="77">
        <v>0</v>
      </c>
      <c r="AQ10" s="77">
        <v>0</v>
      </c>
    </row>
    <row r="11" spans="1:53">
      <c r="E11" s="42" t="s">
        <v>96</v>
      </c>
      <c r="G11" t="s">
        <v>42</v>
      </c>
      <c r="H11" s="101">
        <f>SUM(J11:AQ11)</f>
        <v>500000</v>
      </c>
      <c r="J11" s="100"/>
      <c r="K11" s="100"/>
      <c r="L11" s="100"/>
      <c r="M11" s="100">
        <v>500000</v>
      </c>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row>
    <row r="12" spans="1:53">
      <c r="E12" s="42" t="s">
        <v>97</v>
      </c>
      <c r="G12" t="s">
        <v>42</v>
      </c>
      <c r="H12" s="101">
        <f>SUM(J12:AQ12)</f>
        <v>0</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row>
    <row r="13" spans="1:53">
      <c r="E13" s="103" t="s">
        <v>123</v>
      </c>
      <c r="H13" s="101">
        <f>SUM(J13:AQ13)</f>
        <v>3366000</v>
      </c>
      <c r="J13" s="55">
        <f>SUM(J10:J12)</f>
        <v>0</v>
      </c>
      <c r="K13" s="55">
        <f t="shared" ref="K13:AQ13" si="0">SUM(K10:K12)</f>
        <v>0</v>
      </c>
      <c r="L13" s="55">
        <f t="shared" si="0"/>
        <v>0</v>
      </c>
      <c r="M13" s="55">
        <f t="shared" si="0"/>
        <v>3366000</v>
      </c>
      <c r="N13" s="55">
        <f t="shared" si="0"/>
        <v>0</v>
      </c>
      <c r="O13" s="55">
        <f t="shared" si="0"/>
        <v>0</v>
      </c>
      <c r="P13" s="55">
        <f t="shared" si="0"/>
        <v>0</v>
      </c>
      <c r="Q13" s="55">
        <f t="shared" si="0"/>
        <v>0</v>
      </c>
      <c r="R13" s="55">
        <f t="shared" si="0"/>
        <v>0</v>
      </c>
      <c r="S13" s="55">
        <f t="shared" si="0"/>
        <v>0</v>
      </c>
      <c r="T13" s="55">
        <f t="shared" si="0"/>
        <v>0</v>
      </c>
      <c r="U13" s="55">
        <f t="shared" si="0"/>
        <v>0</v>
      </c>
      <c r="V13" s="55">
        <f t="shared" si="0"/>
        <v>0</v>
      </c>
      <c r="W13" s="55">
        <f t="shared" si="0"/>
        <v>0</v>
      </c>
      <c r="X13" s="55">
        <f t="shared" si="0"/>
        <v>0</v>
      </c>
      <c r="Y13" s="55">
        <f t="shared" si="0"/>
        <v>0</v>
      </c>
      <c r="Z13" s="55">
        <f t="shared" si="0"/>
        <v>0</v>
      </c>
      <c r="AA13" s="55">
        <f t="shared" si="0"/>
        <v>0</v>
      </c>
      <c r="AB13" s="55">
        <f t="shared" si="0"/>
        <v>0</v>
      </c>
      <c r="AC13" s="55">
        <f t="shared" si="0"/>
        <v>0</v>
      </c>
      <c r="AD13" s="55">
        <f t="shared" si="0"/>
        <v>0</v>
      </c>
      <c r="AE13" s="55">
        <f t="shared" si="0"/>
        <v>0</v>
      </c>
      <c r="AF13" s="55">
        <f t="shared" si="0"/>
        <v>0</v>
      </c>
      <c r="AG13" s="55">
        <f t="shared" si="0"/>
        <v>0</v>
      </c>
      <c r="AH13" s="55">
        <f t="shared" si="0"/>
        <v>0</v>
      </c>
      <c r="AI13" s="55">
        <f t="shared" si="0"/>
        <v>0</v>
      </c>
      <c r="AJ13" s="55">
        <f t="shared" si="0"/>
        <v>0</v>
      </c>
      <c r="AK13" s="55">
        <f t="shared" si="0"/>
        <v>0</v>
      </c>
      <c r="AL13" s="55">
        <f t="shared" si="0"/>
        <v>0</v>
      </c>
      <c r="AM13" s="55">
        <f t="shared" si="0"/>
        <v>0</v>
      </c>
      <c r="AN13" s="55">
        <f t="shared" si="0"/>
        <v>0</v>
      </c>
      <c r="AO13" s="55">
        <f t="shared" si="0"/>
        <v>0</v>
      </c>
      <c r="AP13" s="55">
        <f t="shared" si="0"/>
        <v>0</v>
      </c>
      <c r="AQ13" s="55">
        <f t="shared" si="0"/>
        <v>0</v>
      </c>
    </row>
    <row r="14" spans="1:53">
      <c r="H14" s="44"/>
      <c r="I14" s="44"/>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row>
    <row r="15" spans="1:53">
      <c r="E15" s="59" t="s">
        <v>136</v>
      </c>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row>
    <row r="16" spans="1:53">
      <c r="E16" s="18" t="s">
        <v>57</v>
      </c>
      <c r="G16" t="s">
        <v>42</v>
      </c>
      <c r="H16" s="101">
        <f>SUM(J16:AQ16)</f>
        <v>0</v>
      </c>
      <c r="I16" s="44"/>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row>
    <row r="17" spans="4:43">
      <c r="E17" s="6" t="s">
        <v>45</v>
      </c>
      <c r="G17" t="s">
        <v>42</v>
      </c>
      <c r="H17" s="101">
        <f>SUM(J17:AQ17)</f>
        <v>0</v>
      </c>
      <c r="I17" s="44"/>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row>
    <row r="18" spans="4:43">
      <c r="E18" s="1" t="s">
        <v>48</v>
      </c>
      <c r="H18" s="101">
        <f>SUM(J18:AQ18)</f>
        <v>0</v>
      </c>
      <c r="I18" s="44"/>
      <c r="J18" s="48">
        <f>SUM(J16:J17)</f>
        <v>0</v>
      </c>
      <c r="K18" s="48">
        <f t="shared" ref="K18:AQ18" si="1">SUM(K16:K17)</f>
        <v>0</v>
      </c>
      <c r="L18" s="48">
        <f t="shared" si="1"/>
        <v>0</v>
      </c>
      <c r="M18" s="48">
        <f t="shared" si="1"/>
        <v>0</v>
      </c>
      <c r="N18" s="48">
        <f t="shared" si="1"/>
        <v>0</v>
      </c>
      <c r="O18" s="48">
        <f t="shared" si="1"/>
        <v>0</v>
      </c>
      <c r="P18" s="48">
        <f t="shared" si="1"/>
        <v>0</v>
      </c>
      <c r="Q18" s="48">
        <f t="shared" si="1"/>
        <v>0</v>
      </c>
      <c r="R18" s="48">
        <f t="shared" si="1"/>
        <v>0</v>
      </c>
      <c r="S18" s="48">
        <f t="shared" si="1"/>
        <v>0</v>
      </c>
      <c r="T18" s="48">
        <f t="shared" si="1"/>
        <v>0</v>
      </c>
      <c r="U18" s="48">
        <f t="shared" si="1"/>
        <v>0</v>
      </c>
      <c r="V18" s="48">
        <f t="shared" si="1"/>
        <v>0</v>
      </c>
      <c r="W18" s="48">
        <f t="shared" si="1"/>
        <v>0</v>
      </c>
      <c r="X18" s="48">
        <f t="shared" si="1"/>
        <v>0</v>
      </c>
      <c r="Y18" s="48">
        <f t="shared" si="1"/>
        <v>0</v>
      </c>
      <c r="Z18" s="48">
        <f t="shared" si="1"/>
        <v>0</v>
      </c>
      <c r="AA18" s="48">
        <f t="shared" si="1"/>
        <v>0</v>
      </c>
      <c r="AB18" s="48">
        <f t="shared" si="1"/>
        <v>0</v>
      </c>
      <c r="AC18" s="48">
        <f t="shared" si="1"/>
        <v>0</v>
      </c>
      <c r="AD18" s="48">
        <f t="shared" si="1"/>
        <v>0</v>
      </c>
      <c r="AE18" s="48">
        <f t="shared" si="1"/>
        <v>0</v>
      </c>
      <c r="AF18" s="48">
        <f t="shared" si="1"/>
        <v>0</v>
      </c>
      <c r="AG18" s="48">
        <f t="shared" si="1"/>
        <v>0</v>
      </c>
      <c r="AH18" s="48">
        <f t="shared" si="1"/>
        <v>0</v>
      </c>
      <c r="AI18" s="48">
        <f t="shared" si="1"/>
        <v>0</v>
      </c>
      <c r="AJ18" s="48">
        <f t="shared" si="1"/>
        <v>0</v>
      </c>
      <c r="AK18" s="48">
        <f t="shared" si="1"/>
        <v>0</v>
      </c>
      <c r="AL18" s="48">
        <f t="shared" si="1"/>
        <v>0</v>
      </c>
      <c r="AM18" s="48">
        <f t="shared" si="1"/>
        <v>0</v>
      </c>
      <c r="AN18" s="48">
        <f t="shared" si="1"/>
        <v>0</v>
      </c>
      <c r="AO18" s="48">
        <f t="shared" si="1"/>
        <v>0</v>
      </c>
      <c r="AP18" s="48">
        <f t="shared" si="1"/>
        <v>0</v>
      </c>
      <c r="AQ18" s="48">
        <f t="shared" si="1"/>
        <v>0</v>
      </c>
    </row>
    <row r="19" spans="4:43">
      <c r="E19" s="1"/>
      <c r="H19" s="44"/>
      <c r="I19" s="44"/>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row>
    <row r="20" spans="4:43" s="109" customFormat="1">
      <c r="D20" s="108" t="s">
        <v>140</v>
      </c>
    </row>
    <row r="21" spans="4:43">
      <c r="H21" s="44"/>
      <c r="I21" s="44"/>
      <c r="J21" s="44"/>
      <c r="K21" s="44"/>
      <c r="L21" s="44"/>
      <c r="M21" s="44"/>
      <c r="N21" s="44"/>
      <c r="O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row>
    <row r="22" spans="4:43">
      <c r="E22" s="11" t="s">
        <v>84</v>
      </c>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row>
    <row r="23" spans="4:43">
      <c r="E23" s="18" t="s">
        <v>56</v>
      </c>
      <c r="G23" t="s">
        <v>42</v>
      </c>
      <c r="H23" s="101">
        <f>SUM(J23:AQ23)</f>
        <v>6910758.9285714254</v>
      </c>
      <c r="I23" s="44"/>
      <c r="J23" s="77">
        <v>249882.06845238095</v>
      </c>
      <c r="K23" s="77">
        <v>249882.06845238095</v>
      </c>
      <c r="L23" s="77">
        <v>249882.06845238095</v>
      </c>
      <c r="M23" s="77">
        <v>249882.06845238095</v>
      </c>
      <c r="N23" s="77">
        <v>249882.06845238095</v>
      </c>
      <c r="O23" s="77">
        <v>249882.06845238095</v>
      </c>
      <c r="P23" s="77">
        <v>249882.06845238095</v>
      </c>
      <c r="Q23" s="77">
        <v>249882.06845238095</v>
      </c>
      <c r="R23" s="77">
        <v>251030.50595238095</v>
      </c>
      <c r="S23" s="77">
        <v>251030.50595238095</v>
      </c>
      <c r="T23" s="77">
        <v>251030.50595238095</v>
      </c>
      <c r="U23" s="77">
        <v>251030.50595238095</v>
      </c>
      <c r="V23" s="77">
        <v>251030.50595238095</v>
      </c>
      <c r="W23" s="77">
        <v>251030.50595238095</v>
      </c>
      <c r="X23" s="77">
        <v>251030.50595238095</v>
      </c>
      <c r="Y23" s="77">
        <v>251030.50595238095</v>
      </c>
      <c r="Z23" s="77">
        <v>207389.88095238095</v>
      </c>
      <c r="AA23" s="77">
        <v>207389.88095238095</v>
      </c>
      <c r="AB23" s="77">
        <v>207389.88095238095</v>
      </c>
      <c r="AC23" s="77">
        <v>207389.88095238095</v>
      </c>
      <c r="AD23" s="77">
        <v>207389.88095238095</v>
      </c>
      <c r="AE23" s="77">
        <v>207389.88095238095</v>
      </c>
      <c r="AF23" s="77">
        <v>207389.88095238095</v>
      </c>
      <c r="AG23" s="77">
        <v>207389.88095238095</v>
      </c>
      <c r="AH23" s="77">
        <v>207389.88095238095</v>
      </c>
      <c r="AI23" s="77">
        <v>207389.88095238095</v>
      </c>
      <c r="AJ23" s="77">
        <v>207389.88095238095</v>
      </c>
      <c r="AK23" s="77">
        <v>207389.88095238095</v>
      </c>
      <c r="AL23" s="77">
        <v>207389.88095238095</v>
      </c>
      <c r="AM23" s="77">
        <v>207389.88095238095</v>
      </c>
      <c r="AN23" s="77">
        <v>0</v>
      </c>
      <c r="AO23" s="77">
        <v>0</v>
      </c>
      <c r="AP23" s="77">
        <v>0</v>
      </c>
      <c r="AQ23" s="77">
        <v>0</v>
      </c>
    </row>
    <row r="24" spans="4:43">
      <c r="E24" s="18" t="s">
        <v>155</v>
      </c>
      <c r="G24" t="s">
        <v>42</v>
      </c>
      <c r="H24" s="101">
        <f>SUM(J24:AQ24)</f>
        <v>16033084.088434491</v>
      </c>
      <c r="I24" s="44"/>
      <c r="J24" s="77">
        <v>423898.78900000005</v>
      </c>
      <c r="K24" s="77">
        <v>436559</v>
      </c>
      <c r="L24" s="77">
        <v>459399.51841295534</v>
      </c>
      <c r="M24" s="77">
        <v>457626.34776165243</v>
      </c>
      <c r="N24" s="77">
        <v>466048.90835534071</v>
      </c>
      <c r="O24" s="77">
        <v>471261.76342796767</v>
      </c>
      <c r="P24" s="77">
        <v>468487.01800088206</v>
      </c>
      <c r="Q24" s="77">
        <v>478177.7955735565</v>
      </c>
      <c r="R24" s="77">
        <v>494587.95666695747</v>
      </c>
      <c r="S24" s="77">
        <v>514426.13658529252</v>
      </c>
      <c r="T24" s="77">
        <v>521780.46185239701</v>
      </c>
      <c r="U24" s="77">
        <v>524810.18388629612</v>
      </c>
      <c r="V24" s="77">
        <v>543643.45600130816</v>
      </c>
      <c r="W24" s="77">
        <v>555807.34000869445</v>
      </c>
      <c r="X24" s="77">
        <v>558965.38360288518</v>
      </c>
      <c r="Y24" s="77">
        <v>570742.63641562627</v>
      </c>
      <c r="Z24" s="77">
        <v>571124.26806896122</v>
      </c>
      <c r="AA24" s="77">
        <v>572154.17357883463</v>
      </c>
      <c r="AB24" s="77">
        <v>578631.91260290786</v>
      </c>
      <c r="AC24" s="77">
        <v>578631.91260290786</v>
      </c>
      <c r="AD24" s="77">
        <v>578631.91260290786</v>
      </c>
      <c r="AE24" s="77">
        <v>578631.91260290786</v>
      </c>
      <c r="AF24" s="77">
        <v>578631.91260290786</v>
      </c>
      <c r="AG24" s="77">
        <v>578631.91260290786</v>
      </c>
      <c r="AH24" s="77">
        <v>578631.91260290786</v>
      </c>
      <c r="AI24" s="77">
        <v>578631.91260290786</v>
      </c>
      <c r="AJ24" s="77">
        <v>578631.91260290786</v>
      </c>
      <c r="AK24" s="77">
        <v>578631.91260290786</v>
      </c>
      <c r="AL24" s="77">
        <v>578631.91260290786</v>
      </c>
      <c r="AM24" s="77">
        <v>578631.91260290786</v>
      </c>
      <c r="AN24" s="77">
        <v>0</v>
      </c>
      <c r="AO24" s="77">
        <v>0</v>
      </c>
      <c r="AP24" s="77">
        <v>0</v>
      </c>
      <c r="AQ24" s="77">
        <v>0</v>
      </c>
    </row>
    <row r="25" spans="4:43">
      <c r="E25" s="18" t="s">
        <v>152</v>
      </c>
      <c r="F25" s="4"/>
      <c r="G25" t="s">
        <v>42</v>
      </c>
      <c r="H25" s="101">
        <f>SUM(J25:AQ25)</f>
        <v>0</v>
      </c>
      <c r="I25" s="44"/>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row>
    <row r="26" spans="4:43">
      <c r="E26" s="1" t="s">
        <v>85</v>
      </c>
      <c r="F26" s="4"/>
      <c r="G26" s="4"/>
      <c r="H26" s="101">
        <f>SUM(J26:AQ26)</f>
        <v>22943843.017005939</v>
      </c>
      <c r="I26" s="44"/>
      <c r="J26" s="48">
        <f t="shared" ref="J26:AO26" si="2">SUM(J23:J25)</f>
        <v>673780.85745238094</v>
      </c>
      <c r="K26" s="48">
        <f t="shared" si="2"/>
        <v>686441.06845238095</v>
      </c>
      <c r="L26" s="48">
        <f t="shared" si="2"/>
        <v>709281.58686533628</v>
      </c>
      <c r="M26" s="48">
        <f t="shared" si="2"/>
        <v>707508.41621403338</v>
      </c>
      <c r="N26" s="48">
        <f t="shared" si="2"/>
        <v>715930.97680772166</v>
      </c>
      <c r="O26" s="48">
        <f t="shared" si="2"/>
        <v>721143.83188034862</v>
      </c>
      <c r="P26" s="48">
        <f t="shared" si="2"/>
        <v>718369.08645326295</v>
      </c>
      <c r="Q26" s="48">
        <f t="shared" si="2"/>
        <v>728059.86402593739</v>
      </c>
      <c r="R26" s="48">
        <f t="shared" si="2"/>
        <v>745618.46261933842</v>
      </c>
      <c r="S26" s="48">
        <f t="shared" si="2"/>
        <v>765456.64253767347</v>
      </c>
      <c r="T26" s="48">
        <f t="shared" si="2"/>
        <v>772810.9678047779</v>
      </c>
      <c r="U26" s="48">
        <f t="shared" si="2"/>
        <v>775840.68983867706</v>
      </c>
      <c r="V26" s="48">
        <f t="shared" si="2"/>
        <v>794673.96195368911</v>
      </c>
      <c r="W26" s="48">
        <f t="shared" si="2"/>
        <v>806837.84596107539</v>
      </c>
      <c r="X26" s="48">
        <f t="shared" si="2"/>
        <v>809995.88955526613</v>
      </c>
      <c r="Y26" s="48">
        <f t="shared" si="2"/>
        <v>821773.14236800722</v>
      </c>
      <c r="Z26" s="48">
        <f t="shared" si="2"/>
        <v>778514.14902134216</v>
      </c>
      <c r="AA26" s="48">
        <f t="shared" si="2"/>
        <v>779544.05453121557</v>
      </c>
      <c r="AB26" s="48">
        <f t="shared" si="2"/>
        <v>786021.79355528881</v>
      </c>
      <c r="AC26" s="48">
        <f t="shared" si="2"/>
        <v>786021.79355528881</v>
      </c>
      <c r="AD26" s="48">
        <f t="shared" si="2"/>
        <v>786021.79355528881</v>
      </c>
      <c r="AE26" s="48">
        <f t="shared" si="2"/>
        <v>786021.79355528881</v>
      </c>
      <c r="AF26" s="48">
        <f t="shared" si="2"/>
        <v>786021.79355528881</v>
      </c>
      <c r="AG26" s="48">
        <f t="shared" si="2"/>
        <v>786021.79355528881</v>
      </c>
      <c r="AH26" s="48">
        <f t="shared" si="2"/>
        <v>786021.79355528881</v>
      </c>
      <c r="AI26" s="48">
        <f t="shared" si="2"/>
        <v>786021.79355528881</v>
      </c>
      <c r="AJ26" s="48">
        <f t="shared" si="2"/>
        <v>786021.79355528881</v>
      </c>
      <c r="AK26" s="48">
        <f t="shared" si="2"/>
        <v>786021.79355528881</v>
      </c>
      <c r="AL26" s="48">
        <f t="shared" si="2"/>
        <v>786021.79355528881</v>
      </c>
      <c r="AM26" s="48">
        <f t="shared" si="2"/>
        <v>786021.79355528881</v>
      </c>
      <c r="AN26" s="48">
        <f t="shared" si="2"/>
        <v>0</v>
      </c>
      <c r="AO26" s="48">
        <f t="shared" si="2"/>
        <v>0</v>
      </c>
      <c r="AP26" s="48">
        <f t="shared" ref="AP26:AQ26" si="3">SUM(AP23:AP25)</f>
        <v>0</v>
      </c>
      <c r="AQ26" s="48">
        <f t="shared" si="3"/>
        <v>0</v>
      </c>
    </row>
    <row r="27" spans="4:43">
      <c r="E27" s="4"/>
      <c r="F27" s="4"/>
      <c r="G27" s="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row>
    <row r="29" spans="4:43">
      <c r="E29" s="11" t="s">
        <v>115</v>
      </c>
    </row>
    <row r="30" spans="4:43">
      <c r="E30" t="s">
        <v>56</v>
      </c>
      <c r="G30" t="s">
        <v>42</v>
      </c>
      <c r="H30" s="101">
        <f>SUM(J30:AQ30)</f>
        <v>3553432.7291666651</v>
      </c>
      <c r="J30" s="77">
        <v>249882.06845238095</v>
      </c>
      <c r="K30" s="77">
        <v>249882.06845238095</v>
      </c>
      <c r="L30" s="77">
        <v>249882.06845238095</v>
      </c>
      <c r="M30" s="77">
        <v>86570.122023809527</v>
      </c>
      <c r="N30" s="77">
        <v>86570.122023809527</v>
      </c>
      <c r="O30" s="77">
        <v>86570.122023809527</v>
      </c>
      <c r="P30" s="77">
        <v>86570.122023809527</v>
      </c>
      <c r="Q30" s="77">
        <v>86570.122023809527</v>
      </c>
      <c r="R30" s="77">
        <v>86570.122023809527</v>
      </c>
      <c r="S30" s="77">
        <v>86570.122023809527</v>
      </c>
      <c r="T30" s="77">
        <v>86570.122023809527</v>
      </c>
      <c r="U30" s="77">
        <v>116921.68452380953</v>
      </c>
      <c r="V30" s="77">
        <v>116921.68452380953</v>
      </c>
      <c r="W30" s="77">
        <v>116921.68452380953</v>
      </c>
      <c r="X30" s="77">
        <v>116921.68452380953</v>
      </c>
      <c r="Y30" s="77">
        <v>116921.68452380953</v>
      </c>
      <c r="Z30" s="77">
        <v>116921.68452380953</v>
      </c>
      <c r="AA30" s="77">
        <v>116921.68452380953</v>
      </c>
      <c r="AB30" s="77">
        <v>116921.68452380953</v>
      </c>
      <c r="AC30" s="77">
        <v>106895.64285714286</v>
      </c>
      <c r="AD30" s="77">
        <v>106895.64285714286</v>
      </c>
      <c r="AE30" s="77">
        <v>106895.64285714286</v>
      </c>
      <c r="AF30" s="77">
        <v>106895.64285714286</v>
      </c>
      <c r="AG30" s="77">
        <v>106895.64285714286</v>
      </c>
      <c r="AH30" s="77">
        <v>106895.64285714286</v>
      </c>
      <c r="AI30" s="77">
        <v>106895.64285714286</v>
      </c>
      <c r="AJ30" s="77">
        <v>106895.64285714286</v>
      </c>
      <c r="AK30" s="77">
        <v>106895.64285714286</v>
      </c>
      <c r="AL30" s="77">
        <v>106895.64285714286</v>
      </c>
      <c r="AM30" s="77">
        <v>106895.64285714286</v>
      </c>
      <c r="AN30" s="77">
        <v>0</v>
      </c>
      <c r="AO30" s="77">
        <v>0</v>
      </c>
      <c r="AP30" s="77">
        <v>0</v>
      </c>
      <c r="AQ30" s="77">
        <v>0</v>
      </c>
    </row>
    <row r="31" spans="4:43">
      <c r="E31" s="18" t="s">
        <v>155</v>
      </c>
      <c r="G31" t="s">
        <v>42</v>
      </c>
      <c r="H31" s="101">
        <f>SUM(J31:AQ31)</f>
        <v>9046939.0503517184</v>
      </c>
      <c r="J31" s="77">
        <v>423898.78900000005</v>
      </c>
      <c r="K31" s="77">
        <v>436559</v>
      </c>
      <c r="L31" s="77">
        <v>459399.51841295534</v>
      </c>
      <c r="M31" s="77">
        <v>240335.87257949496</v>
      </c>
      <c r="N31" s="77">
        <v>244759.22682808389</v>
      </c>
      <c r="O31" s="77">
        <v>247496.91026488369</v>
      </c>
      <c r="P31" s="77">
        <v>246039.67147899119</v>
      </c>
      <c r="Q31" s="77">
        <v>251129.06699848949</v>
      </c>
      <c r="R31" s="77">
        <v>259747.34346977068</v>
      </c>
      <c r="S31" s="77">
        <v>270165.94437503436</v>
      </c>
      <c r="T31" s="77">
        <v>274028.28357151692</v>
      </c>
      <c r="U31" s="77">
        <v>275619.4307863834</v>
      </c>
      <c r="V31" s="77">
        <v>285510.27494216163</v>
      </c>
      <c r="W31" s="77">
        <v>291898.49470085785</v>
      </c>
      <c r="X31" s="77">
        <v>293557.03373945621</v>
      </c>
      <c r="Y31" s="77">
        <v>299742.20280846639</v>
      </c>
      <c r="Z31" s="77">
        <v>299942.62784268224</v>
      </c>
      <c r="AA31" s="77">
        <v>300483.51286951808</v>
      </c>
      <c r="AB31" s="77">
        <v>303885.48714024725</v>
      </c>
      <c r="AC31" s="77">
        <v>303885.48714024725</v>
      </c>
      <c r="AD31" s="77">
        <v>303885.48714024725</v>
      </c>
      <c r="AE31" s="77">
        <v>303885.48714024725</v>
      </c>
      <c r="AF31" s="77">
        <v>303885.48714024725</v>
      </c>
      <c r="AG31" s="77">
        <v>303885.48714024725</v>
      </c>
      <c r="AH31" s="77">
        <v>303885.48714024725</v>
      </c>
      <c r="AI31" s="77">
        <v>303885.48714024725</v>
      </c>
      <c r="AJ31" s="77">
        <v>303885.48714024725</v>
      </c>
      <c r="AK31" s="77">
        <v>303885.48714024725</v>
      </c>
      <c r="AL31" s="77">
        <v>303885.48714024725</v>
      </c>
      <c r="AM31" s="77">
        <v>303885.48714024725</v>
      </c>
      <c r="AN31" s="77">
        <v>0</v>
      </c>
      <c r="AO31" s="77">
        <v>0</v>
      </c>
      <c r="AP31" s="77">
        <v>0</v>
      </c>
      <c r="AQ31" s="77">
        <v>0</v>
      </c>
    </row>
    <row r="32" spans="4:43">
      <c r="E32" s="18" t="s">
        <v>152</v>
      </c>
      <c r="G32" t="s">
        <v>42</v>
      </c>
      <c r="H32" s="101">
        <f>SUM(J32:AQ32)</f>
        <v>0</v>
      </c>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row>
    <row r="33" spans="4:43">
      <c r="E33" s="1" t="s">
        <v>116</v>
      </c>
      <c r="H33" s="101">
        <f>SUM(J33:AQ33)</f>
        <v>12600371.779518373</v>
      </c>
      <c r="J33" s="48">
        <f t="shared" ref="J33:AO33" si="4">SUM(J30:J32)</f>
        <v>673780.85745238094</v>
      </c>
      <c r="K33" s="48">
        <f t="shared" si="4"/>
        <v>686441.06845238095</v>
      </c>
      <c r="L33" s="48">
        <f t="shared" si="4"/>
        <v>709281.58686533628</v>
      </c>
      <c r="M33" s="48">
        <f t="shared" si="4"/>
        <v>326905.99460330448</v>
      </c>
      <c r="N33" s="48">
        <f t="shared" si="4"/>
        <v>331329.34885189345</v>
      </c>
      <c r="O33" s="48">
        <f t="shared" si="4"/>
        <v>334067.03228869324</v>
      </c>
      <c r="P33" s="48">
        <f t="shared" si="4"/>
        <v>332609.79350280075</v>
      </c>
      <c r="Q33" s="48">
        <f t="shared" si="4"/>
        <v>337699.18902229902</v>
      </c>
      <c r="R33" s="48">
        <f t="shared" si="4"/>
        <v>346317.46549358021</v>
      </c>
      <c r="S33" s="48">
        <f t="shared" si="4"/>
        <v>356736.06639884389</v>
      </c>
      <c r="T33" s="48">
        <f t="shared" si="4"/>
        <v>360598.40559532645</v>
      </c>
      <c r="U33" s="48">
        <f t="shared" si="4"/>
        <v>392541.11531019292</v>
      </c>
      <c r="V33" s="48">
        <f t="shared" si="4"/>
        <v>402431.95946597116</v>
      </c>
      <c r="W33" s="48">
        <f t="shared" si="4"/>
        <v>408820.17922466737</v>
      </c>
      <c r="X33" s="48">
        <f t="shared" si="4"/>
        <v>410478.71826326574</v>
      </c>
      <c r="Y33" s="48">
        <f t="shared" si="4"/>
        <v>416663.88733227592</v>
      </c>
      <c r="Z33" s="48">
        <f t="shared" si="4"/>
        <v>416864.31236649177</v>
      </c>
      <c r="AA33" s="48">
        <f t="shared" si="4"/>
        <v>417405.1973933276</v>
      </c>
      <c r="AB33" s="48">
        <f t="shared" si="4"/>
        <v>420807.17166405678</v>
      </c>
      <c r="AC33" s="48">
        <f t="shared" si="4"/>
        <v>410781.12999739009</v>
      </c>
      <c r="AD33" s="48">
        <f t="shared" si="4"/>
        <v>410781.12999739009</v>
      </c>
      <c r="AE33" s="48">
        <f t="shared" si="4"/>
        <v>410781.12999739009</v>
      </c>
      <c r="AF33" s="48">
        <f t="shared" si="4"/>
        <v>410781.12999739009</v>
      </c>
      <c r="AG33" s="48">
        <f t="shared" si="4"/>
        <v>410781.12999739009</v>
      </c>
      <c r="AH33" s="48">
        <f t="shared" si="4"/>
        <v>410781.12999739009</v>
      </c>
      <c r="AI33" s="48">
        <f t="shared" si="4"/>
        <v>410781.12999739009</v>
      </c>
      <c r="AJ33" s="48">
        <f t="shared" si="4"/>
        <v>410781.12999739009</v>
      </c>
      <c r="AK33" s="48">
        <f t="shared" si="4"/>
        <v>410781.12999739009</v>
      </c>
      <c r="AL33" s="48">
        <f t="shared" si="4"/>
        <v>410781.12999739009</v>
      </c>
      <c r="AM33" s="48">
        <f t="shared" si="4"/>
        <v>410781.12999739009</v>
      </c>
      <c r="AN33" s="48">
        <f t="shared" si="4"/>
        <v>0</v>
      </c>
      <c r="AO33" s="48">
        <f t="shared" si="4"/>
        <v>0</v>
      </c>
      <c r="AP33" s="48">
        <f t="shared" ref="AP33:AQ33" si="5">SUM(AP30:AP32)</f>
        <v>0</v>
      </c>
      <c r="AQ33" s="48">
        <f t="shared" si="5"/>
        <v>0</v>
      </c>
    </row>
    <row r="35" spans="4:43">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4:43">
      <c r="D36" s="1" t="s">
        <v>65</v>
      </c>
    </row>
    <row r="37" spans="4:43">
      <c r="E37" t="s">
        <v>114</v>
      </c>
      <c r="G37" t="s">
        <v>141</v>
      </c>
      <c r="H37" s="101">
        <f>SUM(J37:AQ37)</f>
        <v>130967700</v>
      </c>
      <c r="J37" s="77">
        <v>4365590</v>
      </c>
      <c r="K37" s="77">
        <v>4365590</v>
      </c>
      <c r="L37" s="77">
        <v>4365590</v>
      </c>
      <c r="M37" s="77">
        <v>4365590</v>
      </c>
      <c r="N37" s="77">
        <v>4365590</v>
      </c>
      <c r="O37" s="77">
        <v>4365590</v>
      </c>
      <c r="P37" s="77">
        <v>4365590</v>
      </c>
      <c r="Q37" s="77">
        <v>4365590</v>
      </c>
      <c r="R37" s="77">
        <v>4365590</v>
      </c>
      <c r="S37" s="77">
        <v>4365590</v>
      </c>
      <c r="T37" s="77">
        <v>4365590</v>
      </c>
      <c r="U37" s="77">
        <v>4365590</v>
      </c>
      <c r="V37" s="77">
        <v>4365590</v>
      </c>
      <c r="W37" s="77">
        <v>4365590</v>
      </c>
      <c r="X37" s="77">
        <v>4365590</v>
      </c>
      <c r="Y37" s="77">
        <v>4365590</v>
      </c>
      <c r="Z37" s="77">
        <v>4365590</v>
      </c>
      <c r="AA37" s="77">
        <v>4365590</v>
      </c>
      <c r="AB37" s="77">
        <v>4365590</v>
      </c>
      <c r="AC37" s="77">
        <v>4365590</v>
      </c>
      <c r="AD37" s="77">
        <v>4365590</v>
      </c>
      <c r="AE37" s="77">
        <v>4365590</v>
      </c>
      <c r="AF37" s="77">
        <v>4365590</v>
      </c>
      <c r="AG37" s="77">
        <v>4365590</v>
      </c>
      <c r="AH37" s="77">
        <v>4365590</v>
      </c>
      <c r="AI37" s="77">
        <v>4365590</v>
      </c>
      <c r="AJ37" s="77">
        <v>4365590</v>
      </c>
      <c r="AK37" s="77">
        <v>4365590</v>
      </c>
      <c r="AL37" s="77">
        <v>4365590</v>
      </c>
      <c r="AM37" s="77">
        <v>4365590</v>
      </c>
      <c r="AN37" s="77">
        <v>0</v>
      </c>
      <c r="AO37" s="77">
        <v>0</v>
      </c>
      <c r="AP37" s="77">
        <v>0</v>
      </c>
      <c r="AQ37" s="77">
        <v>0</v>
      </c>
    </row>
    <row r="38" spans="4:43">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row>
    <row r="39" spans="4:43">
      <c r="E39" t="s">
        <v>113</v>
      </c>
      <c r="G39" t="s">
        <v>141</v>
      </c>
      <c r="H39" s="101">
        <f>SUM(J39:AQ39)</f>
        <v>75000139.313999981</v>
      </c>
      <c r="J39" s="77">
        <v>4365590</v>
      </c>
      <c r="K39" s="77">
        <v>4365590</v>
      </c>
      <c r="L39" s="77">
        <v>4365590</v>
      </c>
      <c r="M39" s="77">
        <v>2292717.3820000002</v>
      </c>
      <c r="N39" s="77">
        <v>2292717.3820000002</v>
      </c>
      <c r="O39" s="77">
        <v>2292717.3820000002</v>
      </c>
      <c r="P39" s="77">
        <v>2292717.3820000002</v>
      </c>
      <c r="Q39" s="77">
        <v>2292717.3820000002</v>
      </c>
      <c r="R39" s="77">
        <v>2292717.3820000002</v>
      </c>
      <c r="S39" s="77">
        <v>2292717.3820000002</v>
      </c>
      <c r="T39" s="77">
        <v>2292717.3820000002</v>
      </c>
      <c r="U39" s="77">
        <v>2292717.3820000002</v>
      </c>
      <c r="V39" s="77">
        <v>2292717.3820000002</v>
      </c>
      <c r="W39" s="77">
        <v>2292717.3820000002</v>
      </c>
      <c r="X39" s="77">
        <v>2292717.3820000002</v>
      </c>
      <c r="Y39" s="77">
        <v>2292717.3820000002</v>
      </c>
      <c r="Z39" s="77">
        <v>2292717.3820000002</v>
      </c>
      <c r="AA39" s="77">
        <v>2292717.3820000002</v>
      </c>
      <c r="AB39" s="77">
        <v>2292717.3820000002</v>
      </c>
      <c r="AC39" s="77">
        <v>2292717.3820000002</v>
      </c>
      <c r="AD39" s="77">
        <v>2292717.3820000002</v>
      </c>
      <c r="AE39" s="77">
        <v>2292717.3820000002</v>
      </c>
      <c r="AF39" s="77">
        <v>2292717.3820000002</v>
      </c>
      <c r="AG39" s="77">
        <v>2292717.3820000002</v>
      </c>
      <c r="AH39" s="77">
        <v>2292717.3820000002</v>
      </c>
      <c r="AI39" s="77">
        <v>2292717.3820000002</v>
      </c>
      <c r="AJ39" s="77">
        <v>2292717.3820000002</v>
      </c>
      <c r="AK39" s="77">
        <v>2292717.3820000002</v>
      </c>
      <c r="AL39" s="77">
        <v>2292717.3820000002</v>
      </c>
      <c r="AM39" s="77">
        <v>2292717.3820000002</v>
      </c>
      <c r="AN39" s="77">
        <v>0</v>
      </c>
      <c r="AO39" s="77">
        <v>0</v>
      </c>
      <c r="AP39" s="77">
        <v>0</v>
      </c>
      <c r="AQ39" s="77">
        <v>0</v>
      </c>
    </row>
    <row r="41" spans="4:43">
      <c r="E41" s="18" t="s">
        <v>218</v>
      </c>
      <c r="G41" t="s">
        <v>93</v>
      </c>
      <c r="H41" s="101">
        <f>SUM(J41:AQ41)</f>
        <v>36278.052899999995</v>
      </c>
      <c r="J41" s="77">
        <v>2051.8272999999999</v>
      </c>
      <c r="K41" s="77">
        <v>2008.1714000000002</v>
      </c>
      <c r="L41" s="77">
        <v>1877.2037</v>
      </c>
      <c r="M41" s="77">
        <v>1877.2037</v>
      </c>
      <c r="N41" s="77">
        <v>1789.8919000000001</v>
      </c>
      <c r="O41" s="77">
        <v>1746.2360000000001</v>
      </c>
      <c r="P41" s="77">
        <v>1702.5801000000001</v>
      </c>
      <c r="Q41" s="77">
        <v>1615.2683000000002</v>
      </c>
      <c r="R41" s="77">
        <v>1440.6447000000001</v>
      </c>
      <c r="S41" s="77">
        <v>1353.3329000000001</v>
      </c>
      <c r="T41" s="77">
        <v>1309.6769999999999</v>
      </c>
      <c r="U41" s="77">
        <v>1178.7093000000002</v>
      </c>
      <c r="V41" s="77">
        <v>1178.7093000000002</v>
      </c>
      <c r="W41" s="77">
        <v>1178.7093000000002</v>
      </c>
      <c r="X41" s="77">
        <v>1091.3975</v>
      </c>
      <c r="Y41" s="77">
        <v>1047.7415999999998</v>
      </c>
      <c r="Z41" s="77">
        <v>960.4298</v>
      </c>
      <c r="AA41" s="77">
        <v>916.77390000000003</v>
      </c>
      <c r="AB41" s="77">
        <v>829.46209999999996</v>
      </c>
      <c r="AC41" s="77">
        <v>829.46209999999996</v>
      </c>
      <c r="AD41" s="77">
        <v>829.46209999999996</v>
      </c>
      <c r="AE41" s="77">
        <v>829.46209999999996</v>
      </c>
      <c r="AF41" s="77">
        <v>829.46209999999996</v>
      </c>
      <c r="AG41" s="77">
        <v>829.46209999999996</v>
      </c>
      <c r="AH41" s="77">
        <v>829.46209999999996</v>
      </c>
      <c r="AI41" s="77">
        <v>829.46209999999996</v>
      </c>
      <c r="AJ41" s="77">
        <v>829.46209999999996</v>
      </c>
      <c r="AK41" s="77">
        <v>829.46209999999996</v>
      </c>
      <c r="AL41" s="77">
        <v>829.46209999999996</v>
      </c>
      <c r="AM41" s="77">
        <v>829.46209999999996</v>
      </c>
      <c r="AN41" s="77">
        <v>0</v>
      </c>
      <c r="AO41" s="77">
        <v>0</v>
      </c>
      <c r="AP41" s="77">
        <v>0</v>
      </c>
      <c r="AQ41" s="77">
        <v>0</v>
      </c>
    </row>
    <row r="43" spans="4:43">
      <c r="E43" s="18" t="s">
        <v>219</v>
      </c>
      <c r="G43" t="s">
        <v>93</v>
      </c>
      <c r="H43" s="101">
        <f>SUM(J43:AQ43)</f>
        <v>21871.588204900017</v>
      </c>
      <c r="J43" s="77">
        <v>2051.8272999999999</v>
      </c>
      <c r="K43" s="77">
        <v>2008.1714000000002</v>
      </c>
      <c r="L43" s="77">
        <v>1877.2037</v>
      </c>
      <c r="M43" s="77">
        <v>985.86847425999997</v>
      </c>
      <c r="N43" s="77">
        <v>940.01412662000007</v>
      </c>
      <c r="O43" s="77">
        <v>917.08695280000006</v>
      </c>
      <c r="P43" s="77">
        <v>894.15977898000006</v>
      </c>
      <c r="Q43" s="77">
        <v>848.30543134000004</v>
      </c>
      <c r="R43" s="77">
        <v>756.59673606000013</v>
      </c>
      <c r="S43" s="77">
        <v>710.74238842</v>
      </c>
      <c r="T43" s="77">
        <v>687.8152146000001</v>
      </c>
      <c r="U43" s="77">
        <v>619.03369314000008</v>
      </c>
      <c r="V43" s="77">
        <v>619.03369314000008</v>
      </c>
      <c r="W43" s="77">
        <v>619.03369314000008</v>
      </c>
      <c r="X43" s="77">
        <v>573.17934550000007</v>
      </c>
      <c r="Y43" s="77">
        <v>550.25217168000006</v>
      </c>
      <c r="Z43" s="77">
        <v>504.39782403999999</v>
      </c>
      <c r="AA43" s="77">
        <v>481.47065022000004</v>
      </c>
      <c r="AB43" s="77">
        <v>435.61630258000008</v>
      </c>
      <c r="AC43" s="77">
        <v>435.61630258000008</v>
      </c>
      <c r="AD43" s="77">
        <v>435.61630258000008</v>
      </c>
      <c r="AE43" s="77">
        <v>435.61630258000008</v>
      </c>
      <c r="AF43" s="77">
        <v>435.61630258000008</v>
      </c>
      <c r="AG43" s="77">
        <v>435.61630258000008</v>
      </c>
      <c r="AH43" s="77">
        <v>435.61630258000008</v>
      </c>
      <c r="AI43" s="77">
        <v>435.61630258000008</v>
      </c>
      <c r="AJ43" s="77">
        <v>435.61630258000008</v>
      </c>
      <c r="AK43" s="77">
        <v>435.61630258000008</v>
      </c>
      <c r="AL43" s="77">
        <v>435.61630258000008</v>
      </c>
      <c r="AM43" s="77">
        <v>435.61630258000008</v>
      </c>
      <c r="AN43" s="77">
        <v>0</v>
      </c>
      <c r="AO43" s="77">
        <v>0</v>
      </c>
      <c r="AP43" s="77">
        <v>0</v>
      </c>
      <c r="AQ43" s="77">
        <v>0</v>
      </c>
    </row>
    <row r="45" spans="4:43">
      <c r="E45" t="s">
        <v>64</v>
      </c>
      <c r="G45" s="18" t="s">
        <v>144</v>
      </c>
      <c r="J45" s="100">
        <v>12</v>
      </c>
      <c r="K45" s="100">
        <v>12</v>
      </c>
      <c r="L45" s="100">
        <v>16</v>
      </c>
      <c r="M45" s="100">
        <v>16</v>
      </c>
      <c r="N45" s="100">
        <v>16</v>
      </c>
      <c r="O45" s="100">
        <v>16</v>
      </c>
      <c r="P45" s="100">
        <v>20</v>
      </c>
      <c r="Q45" s="100">
        <v>20</v>
      </c>
      <c r="R45" s="100">
        <v>25</v>
      </c>
      <c r="S45" s="100">
        <v>25</v>
      </c>
      <c r="T45" s="100">
        <v>30</v>
      </c>
      <c r="U45" s="100">
        <v>30</v>
      </c>
      <c r="V45" s="100">
        <v>30</v>
      </c>
      <c r="W45" s="100">
        <v>30</v>
      </c>
      <c r="X45" s="100">
        <v>30</v>
      </c>
      <c r="Y45" s="100">
        <v>30</v>
      </c>
      <c r="Z45" s="100">
        <v>30</v>
      </c>
      <c r="AA45" s="100">
        <v>30</v>
      </c>
      <c r="AB45" s="100">
        <v>30</v>
      </c>
      <c r="AC45" s="100">
        <v>30</v>
      </c>
      <c r="AD45" s="100">
        <v>30</v>
      </c>
      <c r="AE45" s="100">
        <v>30</v>
      </c>
      <c r="AF45" s="100">
        <v>30</v>
      </c>
      <c r="AG45" s="100">
        <v>30</v>
      </c>
      <c r="AH45" s="100">
        <v>30</v>
      </c>
      <c r="AI45" s="100">
        <v>30</v>
      </c>
      <c r="AJ45" s="100">
        <v>30</v>
      </c>
      <c r="AK45" s="100">
        <v>30</v>
      </c>
      <c r="AL45" s="100">
        <v>30</v>
      </c>
      <c r="AM45" s="100">
        <v>30</v>
      </c>
      <c r="AN45" s="100">
        <v>30</v>
      </c>
      <c r="AO45" s="100">
        <v>30</v>
      </c>
      <c r="AP45" s="100">
        <v>30</v>
      </c>
      <c r="AQ45" s="100">
        <v>30</v>
      </c>
    </row>
    <row r="51" spans="14:40">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row>
    <row r="52" spans="14:40">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row>
    <row r="53" spans="14:40">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40">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40">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row r="56" spans="14:40">
      <c r="N56" s="55"/>
    </row>
  </sheetData>
  <sheetProtection password="D033" sheet="1" objects="1" scenarios="1"/>
  <phoneticPr fontId="6" type="noConversion"/>
  <dataValidations count="15">
    <dataValidation allowBlank="1" showInputMessage="1" showErrorMessage="1" promptTitle="Cost of carbon allowances" prompt="Enter the forecast cost per tonne of buying carbon allowances." sqref="J45:AQ45"/>
    <dataValidation allowBlank="1" showInputMessage="1" showErrorMessage="1" promptTitle="Maintenance costs input" prompt="Copy in profile from the Technical Model from sheet 'Output for Financials' row 23._x000a__x000a_(Right click on mouse, select Paste Special and then Values)" sqref="J23"/>
    <dataValidation allowBlank="1" showInputMessage="1" showErrorMessage="1" promptTitle="Energy costs input" prompt="Copy in profile from the Technical Model from sheet 'Output for Financials' row 24._x000a__x000a_(Right click on mouse, select Paste Special and then Values)" sqref="J24"/>
    <dataValidation allowBlank="1" showInputMessage="1" showErrorMessage="1" promptTitle="Maintenance costs input" prompt="Copy in profile from the Technical Model from sheet 'Output for Financials' row 30._x000a__x000a_(Right click on mouse, select Paste Special and then Values)" sqref="J30"/>
    <dataValidation allowBlank="1" showInputMessage="1" showErrorMessage="1" promptTitle="Energy consumption input" prompt="Copy in profile from the Technical Model from sheet 'Output for Financials' row 37._x000a__x000a_(Right click on mouse, select Paste Special and then Values)" sqref="J37"/>
    <dataValidation allowBlank="1" showInputMessage="1" showErrorMessage="1" promptTitle="CO2 emissions input" prompt="Copy in profile from the Technical Model from sheet 'Output for Financials' row 41._x000a__x000a_(Right click on mouse, select Paste Special and then Values)" sqref="J41"/>
    <dataValidation allowBlank="1" showInputMessage="1" showErrorMessage="1" promptTitle="Energy consumption input" prompt="Copy in profile from the Technical Model from sheet 'Output for Financials' row 39._x000a__x000a_(Right click on mouse, select Paste Special and then Values)" sqref="J39"/>
    <dataValidation allowBlank="1" showInputMessage="1" showErrorMessage="1" promptTitle="CO2 emissions input" prompt="Copy in profile from the Technical Model from sheet 'Output for Financials' row 43._x000a__x000a_(Right click on mouse, select Paste Special and then Values)" sqref="J43"/>
    <dataValidation allowBlank="1" showInputMessage="1" showErrorMessage="1" promptTitle="Energy costs input" prompt="Copy in profile from the Technical Model from sheet 'Output for Financials' row 31._x000a__x000a_(Right click on mouse, select Paste Special and then Values)" sqref="J31"/>
    <dataValidation allowBlank="1" showInputMessage="1" showErrorMessage="1" promptTitle="Other infrastructure costs input" prompt="Input any other infrastructure costs._x000a__x000a_Note that the spend must be in the same year as the upgrade costs on row 10." sqref="J11:AQ11"/>
    <dataValidation allowBlank="1" showInputMessage="1" showErrorMessage="1" promptTitle="Other capital costs input" prompt="Input any other capital costs._x000a__x000a_Note that the spend must be in the same year as the upgrade costs on row 10." sqref="J12"/>
    <dataValidation allowBlank="1" showInputMessage="1" showErrorMessage="1" promptTitle="Other contributions input" prompt="Input any other contribution._x000a__x000a_Note that the contribution must be in the same year as the upgrade costs on row 10." sqref="J17:AQ17"/>
    <dataValidation allowBlank="1" showInputMessage="1" showErrorMessage="1" promptTitle="Council contributions input" prompt="Input any Council contribution._x000a__x000a_Note that the contribution must be in the same year as the upgrade costs on row 10." sqref="J16:AQ16"/>
    <dataValidation allowBlank="1" showInputMessage="1" showErrorMessage="1" promptTitle="Other operational costs" prompt="Input any other status quo operational costs." sqref="J25:AQ25"/>
    <dataValidation allowBlank="1" showInputMessage="1" showErrorMessage="1" promptTitle="Other operational costs" prompt="Input any other upgrade operational costs." sqref="J32:AQ32"/>
  </dataValidations>
  <pageMargins left="0.74803149606299213" right="0.74803149606299213" top="0.98425196850393704" bottom="0.98425196850393704" header="0.51181102362204722" footer="0.51181102362204722"/>
  <pageSetup paperSize="9" scale="35" fitToWidth="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pageSetUpPr fitToPage="1"/>
  </sheetPr>
  <dimension ref="A1:BW86"/>
  <sheetViews>
    <sheetView showGridLines="0" zoomScale="85" workbookViewId="0">
      <pane xSplit="9" ySplit="5" topLeftCell="J6" activePane="bottomRight" state="frozen"/>
      <selection activeCell="H1" sqref="H1"/>
      <selection pane="topRight" activeCell="H1" sqref="H1"/>
      <selection pane="bottomLeft" activeCell="H1" sqref="H1"/>
      <selection pane="bottomRight" activeCell="J6" sqref="J6"/>
    </sheetView>
  </sheetViews>
  <sheetFormatPr defaultColWidth="0" defaultRowHeight="12.75" zeroHeight="1"/>
  <cols>
    <col min="1" max="4" width="0.85546875" customWidth="1"/>
    <col min="5" max="5" width="45.7109375" customWidth="1"/>
    <col min="6" max="7" width="11.7109375" customWidth="1"/>
    <col min="8" max="8" width="13.85546875" customWidth="1"/>
    <col min="9" max="9" width="1.42578125" customWidth="1"/>
    <col min="10" max="43" width="13.7109375" customWidth="1"/>
    <col min="44" max="44" width="13.140625" bestFit="1" customWidth="1"/>
    <col min="45" max="49" width="13.140625" hidden="1" customWidth="1"/>
    <col min="50" max="51" width="11.28515625" hidden="1" customWidth="1"/>
    <col min="52" max="68" width="0" hidden="1" customWidth="1"/>
    <col min="69" max="73" width="13.140625" hidden="1" customWidth="1"/>
    <col min="74" max="75" width="11.28515625" hidden="1" customWidth="1"/>
    <col min="76" max="16384" width="9.140625" hidden="1"/>
  </cols>
  <sheetData>
    <row r="1" spans="1:51" ht="15">
      <c r="A1" s="61" t="str">
        <f>'Input Constants'!$A$1</f>
        <v>Scottish Futures Trust Model</v>
      </c>
      <c r="B1" s="61"/>
      <c r="C1" s="60"/>
      <c r="D1" s="60"/>
      <c r="E1" s="60"/>
      <c r="F1" s="6" t="s">
        <v>0</v>
      </c>
      <c r="J1" s="2">
        <f>DATE(YEAR(J2)-1, MONTH(J2), DAY(J2)) + 1</f>
        <v>41000</v>
      </c>
      <c r="K1" s="2">
        <f t="shared" ref="K1" si="0">DATE(YEAR(K2)-1, MONTH(K2), DAY(K2)) + 1</f>
        <v>41365</v>
      </c>
      <c r="L1" s="2">
        <f t="shared" ref="L1" si="1">DATE(YEAR(L2)-1, MONTH(L2), DAY(L2)) + 1</f>
        <v>41730</v>
      </c>
      <c r="M1" s="2">
        <f t="shared" ref="M1" si="2">DATE(YEAR(M2)-1, MONTH(M2), DAY(M2)) + 1</f>
        <v>42095</v>
      </c>
      <c r="N1" s="2">
        <f t="shared" ref="N1" si="3">DATE(YEAR(N2)-1, MONTH(N2), DAY(N2)) + 1</f>
        <v>42461</v>
      </c>
      <c r="O1" s="2">
        <f t="shared" ref="O1" si="4">DATE(YEAR(O2)-1, MONTH(O2), DAY(O2)) + 1</f>
        <v>42826</v>
      </c>
      <c r="P1" s="2">
        <f t="shared" ref="P1" si="5">DATE(YEAR(P2)-1, MONTH(P2), DAY(P2)) + 1</f>
        <v>43191</v>
      </c>
      <c r="Q1" s="2">
        <f t="shared" ref="Q1" si="6">DATE(YEAR(Q2)-1, MONTH(Q2), DAY(Q2)) + 1</f>
        <v>43556</v>
      </c>
      <c r="R1" s="2">
        <f t="shared" ref="R1" si="7">DATE(YEAR(R2)-1, MONTH(R2), DAY(R2)) + 1</f>
        <v>43922</v>
      </c>
      <c r="S1" s="2">
        <f t="shared" ref="S1" si="8">DATE(YEAR(S2)-1, MONTH(S2), DAY(S2)) + 1</f>
        <v>44287</v>
      </c>
      <c r="T1" s="2">
        <f t="shared" ref="T1" si="9">DATE(YEAR(T2)-1, MONTH(T2), DAY(T2)) + 1</f>
        <v>44652</v>
      </c>
      <c r="U1" s="2">
        <f t="shared" ref="U1" si="10">DATE(YEAR(U2)-1, MONTH(U2), DAY(U2)) + 1</f>
        <v>45017</v>
      </c>
      <c r="V1" s="2">
        <f t="shared" ref="V1" si="11">DATE(YEAR(V2)-1, MONTH(V2), DAY(V2)) + 1</f>
        <v>45383</v>
      </c>
      <c r="W1" s="2">
        <f t="shared" ref="W1" si="12">DATE(YEAR(W2)-1, MONTH(W2), DAY(W2)) + 1</f>
        <v>45748</v>
      </c>
      <c r="X1" s="2">
        <f t="shared" ref="X1" si="13">DATE(YEAR(X2)-1, MONTH(X2), DAY(X2)) + 1</f>
        <v>46113</v>
      </c>
      <c r="Y1" s="2">
        <f t="shared" ref="Y1" si="14">DATE(YEAR(Y2)-1, MONTH(Y2), DAY(Y2)) + 1</f>
        <v>46478</v>
      </c>
      <c r="Z1" s="2">
        <f t="shared" ref="Z1" si="15">DATE(YEAR(Z2)-1, MONTH(Z2), DAY(Z2)) + 1</f>
        <v>46844</v>
      </c>
      <c r="AA1" s="2">
        <f t="shared" ref="AA1" si="16">DATE(YEAR(AA2)-1, MONTH(AA2), DAY(AA2)) + 1</f>
        <v>47209</v>
      </c>
      <c r="AB1" s="2">
        <f t="shared" ref="AB1" si="17">DATE(YEAR(AB2)-1, MONTH(AB2), DAY(AB2)) + 1</f>
        <v>47574</v>
      </c>
      <c r="AC1" s="2">
        <f t="shared" ref="AC1" si="18">DATE(YEAR(AC2)-1, MONTH(AC2), DAY(AC2)) + 1</f>
        <v>47939</v>
      </c>
      <c r="AD1" s="2">
        <f t="shared" ref="AD1" si="19">DATE(YEAR(AD2)-1, MONTH(AD2), DAY(AD2)) + 1</f>
        <v>48305</v>
      </c>
      <c r="AE1" s="2">
        <f t="shared" ref="AE1" si="20">DATE(YEAR(AE2)-1, MONTH(AE2), DAY(AE2)) + 1</f>
        <v>48670</v>
      </c>
      <c r="AF1" s="2">
        <f t="shared" ref="AF1" si="21">DATE(YEAR(AF2)-1, MONTH(AF2), DAY(AF2)) + 1</f>
        <v>49035</v>
      </c>
      <c r="AG1" s="2">
        <f t="shared" ref="AG1" si="22">DATE(YEAR(AG2)-1, MONTH(AG2), DAY(AG2)) + 1</f>
        <v>49400</v>
      </c>
      <c r="AH1" s="2">
        <f t="shared" ref="AH1" si="23">DATE(YEAR(AH2)-1, MONTH(AH2), DAY(AH2)) + 1</f>
        <v>49766</v>
      </c>
      <c r="AI1" s="2">
        <f t="shared" ref="AI1" si="24">DATE(YEAR(AI2)-1, MONTH(AI2), DAY(AI2)) + 1</f>
        <v>50131</v>
      </c>
      <c r="AJ1" s="2">
        <f t="shared" ref="AJ1" si="25">DATE(YEAR(AJ2)-1, MONTH(AJ2), DAY(AJ2)) + 1</f>
        <v>50496</v>
      </c>
      <c r="AK1" s="2">
        <f t="shared" ref="AK1" si="26">DATE(YEAR(AK2)-1, MONTH(AK2), DAY(AK2)) + 1</f>
        <v>50861</v>
      </c>
      <c r="AL1" s="2">
        <f t="shared" ref="AL1" si="27">DATE(YEAR(AL2)-1, MONTH(AL2), DAY(AL2)) + 1</f>
        <v>51227</v>
      </c>
      <c r="AM1" s="2">
        <f t="shared" ref="AM1" si="28">DATE(YEAR(AM2)-1, MONTH(AM2), DAY(AM2)) + 1</f>
        <v>51592</v>
      </c>
      <c r="AN1" s="2">
        <f t="shared" ref="AN1" si="29">DATE(YEAR(AN2)-1, MONTH(AN2), DAY(AN2)) + 1</f>
        <v>51957</v>
      </c>
      <c r="AO1" s="2">
        <f t="shared" ref="AO1" si="30">DATE(YEAR(AO2)-1, MONTH(AO2), DAY(AO2)) + 1</f>
        <v>52322</v>
      </c>
      <c r="AP1" s="2">
        <f t="shared" ref="AP1" si="31">DATE(YEAR(AP2)-1, MONTH(AP2), DAY(AP2)) + 1</f>
        <v>52688</v>
      </c>
      <c r="AQ1" s="2">
        <f t="shared" ref="AQ1" si="32">DATE(YEAR(AQ2)-1, MONTH(AQ2), DAY(AQ2)) + 1</f>
        <v>53053</v>
      </c>
      <c r="AR1" s="3"/>
      <c r="AS1" s="3"/>
      <c r="AT1" s="3"/>
      <c r="AU1" s="3"/>
      <c r="AV1" s="3"/>
      <c r="AW1" s="3"/>
      <c r="AX1" s="3"/>
      <c r="AY1" s="3"/>
    </row>
    <row r="2" spans="1:51" ht="15">
      <c r="A2" s="61" t="str">
        <f>'Input Constants'!$A$2</f>
        <v>Scenario: Base</v>
      </c>
      <c r="B2" s="61"/>
      <c r="C2" s="60"/>
      <c r="D2" s="60"/>
      <c r="E2" s="60"/>
      <c r="F2" s="6" t="s">
        <v>1</v>
      </c>
      <c r="J2" s="14">
        <f>IF(I2=0,  'Input Constants'!$F$12, EDATE(I2,12))</f>
        <v>41364</v>
      </c>
      <c r="K2" s="14">
        <f>IF(J2=0,  'Input Constants'!$F$12, EDATE(J2,12))</f>
        <v>41729</v>
      </c>
      <c r="L2" s="14">
        <f>IF(K2=0,  'Input Constants'!$F$12, EDATE(K2,12))</f>
        <v>42094</v>
      </c>
      <c r="M2" s="14">
        <f>IF(L2=0,  'Input Constants'!$F$12, EDATE(L2,12))</f>
        <v>42460</v>
      </c>
      <c r="N2" s="14">
        <f>IF(M2=0,  'Input Constants'!$F$12, EDATE(M2,12))</f>
        <v>42825</v>
      </c>
      <c r="O2" s="14">
        <f>IF(N2=0,  'Input Constants'!$F$12, EDATE(N2,12))</f>
        <v>43190</v>
      </c>
      <c r="P2" s="14">
        <f>IF(O2=0,  'Input Constants'!$F$12, EDATE(O2,12))</f>
        <v>43555</v>
      </c>
      <c r="Q2" s="14">
        <f>IF(P2=0,  'Input Constants'!$F$12, EDATE(P2,12))</f>
        <v>43921</v>
      </c>
      <c r="R2" s="14">
        <f>IF(Q2=0,  'Input Constants'!$F$12, EDATE(Q2,12))</f>
        <v>44286</v>
      </c>
      <c r="S2" s="14">
        <f>IF(R2=0,  'Input Constants'!$F$12, EDATE(R2,12))</f>
        <v>44651</v>
      </c>
      <c r="T2" s="14">
        <f>IF(S2=0,  'Input Constants'!$F$12, EDATE(S2,12))</f>
        <v>45016</v>
      </c>
      <c r="U2" s="14">
        <f>IF(T2=0,  'Input Constants'!$F$12, EDATE(T2,12))</f>
        <v>45382</v>
      </c>
      <c r="V2" s="14">
        <f>IF(U2=0,  'Input Constants'!$F$12, EDATE(U2,12))</f>
        <v>45747</v>
      </c>
      <c r="W2" s="14">
        <f>IF(V2=0,  'Input Constants'!$F$12, EDATE(V2,12))</f>
        <v>46112</v>
      </c>
      <c r="X2" s="14">
        <f>IF(W2=0,  'Input Constants'!$F$12, EDATE(W2,12))</f>
        <v>46477</v>
      </c>
      <c r="Y2" s="14">
        <f>IF(X2=0,  'Input Constants'!$F$12, EDATE(X2,12))</f>
        <v>46843</v>
      </c>
      <c r="Z2" s="14">
        <f>IF(Y2=0,  'Input Constants'!$F$12, EDATE(Y2,12))</f>
        <v>47208</v>
      </c>
      <c r="AA2" s="14">
        <f>IF(Z2=0,  'Input Constants'!$F$12, EDATE(Z2,12))</f>
        <v>47573</v>
      </c>
      <c r="AB2" s="14">
        <f>IF(AA2=0,  'Input Constants'!$F$12, EDATE(AA2,12))</f>
        <v>47938</v>
      </c>
      <c r="AC2" s="14">
        <f>IF(AB2=0,  'Input Constants'!$F$12, EDATE(AB2,12))</f>
        <v>48304</v>
      </c>
      <c r="AD2" s="14">
        <f>IF(AC2=0,  'Input Constants'!$F$12, EDATE(AC2,12))</f>
        <v>48669</v>
      </c>
      <c r="AE2" s="14">
        <f>IF(AD2=0,  'Input Constants'!$F$12, EDATE(AD2,12))</f>
        <v>49034</v>
      </c>
      <c r="AF2" s="14">
        <f>IF(AE2=0,  'Input Constants'!$F$12, EDATE(AE2,12))</f>
        <v>49399</v>
      </c>
      <c r="AG2" s="14">
        <f>IF(AF2=0,  'Input Constants'!$F$12, EDATE(AF2,12))</f>
        <v>49765</v>
      </c>
      <c r="AH2" s="14">
        <f>IF(AG2=0,  'Input Constants'!$F$12, EDATE(AG2,12))</f>
        <v>50130</v>
      </c>
      <c r="AI2" s="14">
        <f>IF(AH2=0,  'Input Constants'!$F$12, EDATE(AH2,12))</f>
        <v>50495</v>
      </c>
      <c r="AJ2" s="14">
        <f>IF(AI2=0,  'Input Constants'!$F$12, EDATE(AI2,12))</f>
        <v>50860</v>
      </c>
      <c r="AK2" s="14">
        <f>IF(AJ2=0,  'Input Constants'!$F$12, EDATE(AJ2,12))</f>
        <v>51226</v>
      </c>
      <c r="AL2" s="14">
        <f>IF(AK2=0,  'Input Constants'!$F$12, EDATE(AK2,12))</f>
        <v>51591</v>
      </c>
      <c r="AM2" s="14">
        <f>IF(AL2=0,  'Input Constants'!$F$12, EDATE(AL2,12))</f>
        <v>51956</v>
      </c>
      <c r="AN2" s="14">
        <f>IF(AM2=0,  'Input Constants'!$F$12, EDATE(AM2,12))</f>
        <v>52321</v>
      </c>
      <c r="AO2" s="14">
        <f>IF(AN2=0,  'Input Constants'!$F$12, EDATE(AN2,12))</f>
        <v>52687</v>
      </c>
      <c r="AP2" s="14">
        <f>IF(AO2=0,  'Input Constants'!$F$12, EDATE(AO2,12))</f>
        <v>53052</v>
      </c>
      <c r="AQ2" s="14">
        <f>IF(AP2=0,  'Input Constants'!$F$12, EDATE(AP2,12))</f>
        <v>53417</v>
      </c>
      <c r="AR2" s="3"/>
      <c r="AS2" s="3"/>
      <c r="AT2" s="3"/>
      <c r="AU2" s="3"/>
      <c r="AV2" s="3"/>
      <c r="AW2" s="3"/>
      <c r="AX2" s="3"/>
      <c r="AY2" s="3"/>
    </row>
    <row r="3" spans="1:51">
      <c r="F3" t="s">
        <v>158</v>
      </c>
      <c r="J3">
        <f>YEAR(J1)</f>
        <v>2012</v>
      </c>
      <c r="K3">
        <f t="shared" ref="K3:AQ3" si="33">YEAR(K1)</f>
        <v>2013</v>
      </c>
      <c r="L3">
        <f t="shared" si="33"/>
        <v>2014</v>
      </c>
      <c r="M3">
        <f t="shared" si="33"/>
        <v>2015</v>
      </c>
      <c r="N3">
        <f t="shared" si="33"/>
        <v>2016</v>
      </c>
      <c r="O3">
        <f t="shared" si="33"/>
        <v>2017</v>
      </c>
      <c r="P3">
        <f t="shared" si="33"/>
        <v>2018</v>
      </c>
      <c r="Q3">
        <f t="shared" si="33"/>
        <v>2019</v>
      </c>
      <c r="R3">
        <f t="shared" si="33"/>
        <v>2020</v>
      </c>
      <c r="S3">
        <f t="shared" si="33"/>
        <v>2021</v>
      </c>
      <c r="T3">
        <f t="shared" si="33"/>
        <v>2022</v>
      </c>
      <c r="U3">
        <f t="shared" si="33"/>
        <v>2023</v>
      </c>
      <c r="V3">
        <f t="shared" si="33"/>
        <v>2024</v>
      </c>
      <c r="W3">
        <f t="shared" si="33"/>
        <v>2025</v>
      </c>
      <c r="X3">
        <f t="shared" si="33"/>
        <v>2026</v>
      </c>
      <c r="Y3">
        <f t="shared" si="33"/>
        <v>2027</v>
      </c>
      <c r="Z3">
        <f t="shared" si="33"/>
        <v>2028</v>
      </c>
      <c r="AA3">
        <f t="shared" si="33"/>
        <v>2029</v>
      </c>
      <c r="AB3">
        <f t="shared" si="33"/>
        <v>2030</v>
      </c>
      <c r="AC3">
        <f t="shared" si="33"/>
        <v>2031</v>
      </c>
      <c r="AD3">
        <f t="shared" si="33"/>
        <v>2032</v>
      </c>
      <c r="AE3">
        <f t="shared" si="33"/>
        <v>2033</v>
      </c>
      <c r="AF3">
        <f t="shared" si="33"/>
        <v>2034</v>
      </c>
      <c r="AG3">
        <f t="shared" si="33"/>
        <v>2035</v>
      </c>
      <c r="AH3">
        <f t="shared" si="33"/>
        <v>2036</v>
      </c>
      <c r="AI3">
        <f t="shared" si="33"/>
        <v>2037</v>
      </c>
      <c r="AJ3">
        <f t="shared" si="33"/>
        <v>2038</v>
      </c>
      <c r="AK3">
        <f t="shared" si="33"/>
        <v>2039</v>
      </c>
      <c r="AL3">
        <f t="shared" si="33"/>
        <v>2040</v>
      </c>
      <c r="AM3">
        <f t="shared" si="33"/>
        <v>2041</v>
      </c>
      <c r="AN3">
        <f t="shared" si="33"/>
        <v>2042</v>
      </c>
      <c r="AO3">
        <f t="shared" si="33"/>
        <v>2043</v>
      </c>
      <c r="AP3">
        <f t="shared" si="33"/>
        <v>2044</v>
      </c>
      <c r="AQ3">
        <f t="shared" si="33"/>
        <v>2045</v>
      </c>
    </row>
    <row r="4" spans="1:51"/>
    <row r="5" spans="1:51">
      <c r="E5" s="1" t="s">
        <v>25</v>
      </c>
      <c r="G5" s="73" t="s">
        <v>23</v>
      </c>
      <c r="H5" s="73" t="s">
        <v>24</v>
      </c>
    </row>
    <row r="6" spans="1:51"/>
    <row r="7" spans="1:51">
      <c r="E7" s="11"/>
    </row>
    <row r="8" spans="1:51">
      <c r="E8" s="18" t="str">
        <f>'Input Constants'!E14</f>
        <v>Operations Start Date</v>
      </c>
      <c r="F8" s="2">
        <f>'Input Constants'!F14</f>
        <v>41000</v>
      </c>
    </row>
    <row r="9" spans="1:51">
      <c r="E9" s="18" t="str">
        <f>'Input Constants'!E16</f>
        <v>Operations End Date</v>
      </c>
      <c r="F9" s="2">
        <f>'Input Constants'!F16</f>
        <v>50130</v>
      </c>
    </row>
    <row r="10" spans="1:51">
      <c r="E10" t="s">
        <v>2</v>
      </c>
      <c r="H10" s="55">
        <f>SUM(J10:AQ10)</f>
        <v>25</v>
      </c>
      <c r="J10" s="45">
        <f>IF( AND(J$2&gt;$F8,J$2&lt;=$F9),1,0)</f>
        <v>1</v>
      </c>
      <c r="K10" s="45">
        <f t="shared" ref="K10:AQ10" si="34">IF( AND(K$2&gt;$F8,K$2&lt;=$F9),1,0)</f>
        <v>1</v>
      </c>
      <c r="L10" s="45">
        <f t="shared" si="34"/>
        <v>1</v>
      </c>
      <c r="M10" s="45">
        <f t="shared" si="34"/>
        <v>1</v>
      </c>
      <c r="N10" s="45">
        <f t="shared" si="34"/>
        <v>1</v>
      </c>
      <c r="O10" s="45">
        <f t="shared" si="34"/>
        <v>1</v>
      </c>
      <c r="P10" s="45">
        <f t="shared" si="34"/>
        <v>1</v>
      </c>
      <c r="Q10" s="45">
        <f t="shared" si="34"/>
        <v>1</v>
      </c>
      <c r="R10" s="45">
        <f t="shared" si="34"/>
        <v>1</v>
      </c>
      <c r="S10" s="45">
        <f t="shared" si="34"/>
        <v>1</v>
      </c>
      <c r="T10" s="45">
        <f t="shared" si="34"/>
        <v>1</v>
      </c>
      <c r="U10" s="45">
        <f t="shared" si="34"/>
        <v>1</v>
      </c>
      <c r="V10" s="45">
        <f t="shared" si="34"/>
        <v>1</v>
      </c>
      <c r="W10" s="45">
        <f t="shared" si="34"/>
        <v>1</v>
      </c>
      <c r="X10" s="45">
        <f t="shared" si="34"/>
        <v>1</v>
      </c>
      <c r="Y10" s="45">
        <f t="shared" si="34"/>
        <v>1</v>
      </c>
      <c r="Z10" s="45">
        <f t="shared" si="34"/>
        <v>1</v>
      </c>
      <c r="AA10" s="45">
        <f t="shared" si="34"/>
        <v>1</v>
      </c>
      <c r="AB10" s="45">
        <f t="shared" si="34"/>
        <v>1</v>
      </c>
      <c r="AC10" s="45">
        <f t="shared" si="34"/>
        <v>1</v>
      </c>
      <c r="AD10" s="45">
        <f t="shared" si="34"/>
        <v>1</v>
      </c>
      <c r="AE10" s="45">
        <f t="shared" si="34"/>
        <v>1</v>
      </c>
      <c r="AF10" s="45">
        <f t="shared" si="34"/>
        <v>1</v>
      </c>
      <c r="AG10" s="45">
        <f t="shared" si="34"/>
        <v>1</v>
      </c>
      <c r="AH10" s="45">
        <f t="shared" si="34"/>
        <v>1</v>
      </c>
      <c r="AI10" s="45">
        <f t="shared" si="34"/>
        <v>0</v>
      </c>
      <c r="AJ10" s="45">
        <f t="shared" si="34"/>
        <v>0</v>
      </c>
      <c r="AK10" s="45">
        <f t="shared" si="34"/>
        <v>0</v>
      </c>
      <c r="AL10" s="45">
        <f t="shared" si="34"/>
        <v>0</v>
      </c>
      <c r="AM10" s="45">
        <f t="shared" si="34"/>
        <v>0</v>
      </c>
      <c r="AN10" s="45">
        <f t="shared" si="34"/>
        <v>0</v>
      </c>
      <c r="AO10" s="45">
        <f t="shared" si="34"/>
        <v>0</v>
      </c>
      <c r="AP10" s="45">
        <f t="shared" si="34"/>
        <v>0</v>
      </c>
      <c r="AQ10" s="45">
        <f t="shared" si="34"/>
        <v>0</v>
      </c>
    </row>
    <row r="11" spans="1:51"/>
    <row r="12" spans="1:51">
      <c r="E12" t="s">
        <v>142</v>
      </c>
      <c r="J12" s="45">
        <f>IF(AND(J10=1, I10=0), 1, 0)</f>
        <v>1</v>
      </c>
      <c r="K12" s="45">
        <f t="shared" ref="K12:AQ12" si="35">IF(AND(K10=1, J10=0), 1, 0)</f>
        <v>0</v>
      </c>
      <c r="L12" s="45">
        <f t="shared" si="35"/>
        <v>0</v>
      </c>
      <c r="M12" s="45">
        <f t="shared" si="35"/>
        <v>0</v>
      </c>
      <c r="N12" s="45">
        <f t="shared" si="35"/>
        <v>0</v>
      </c>
      <c r="O12" s="45">
        <f t="shared" si="35"/>
        <v>0</v>
      </c>
      <c r="P12" s="45">
        <f t="shared" si="35"/>
        <v>0</v>
      </c>
      <c r="Q12" s="45">
        <f t="shared" si="35"/>
        <v>0</v>
      </c>
      <c r="R12" s="45">
        <f t="shared" si="35"/>
        <v>0</v>
      </c>
      <c r="S12" s="45">
        <f t="shared" si="35"/>
        <v>0</v>
      </c>
      <c r="T12" s="45">
        <f t="shared" si="35"/>
        <v>0</v>
      </c>
      <c r="U12" s="45">
        <f t="shared" si="35"/>
        <v>0</v>
      </c>
      <c r="V12" s="45">
        <f t="shared" si="35"/>
        <v>0</v>
      </c>
      <c r="W12" s="45">
        <f t="shared" si="35"/>
        <v>0</v>
      </c>
      <c r="X12" s="45">
        <f t="shared" si="35"/>
        <v>0</v>
      </c>
      <c r="Y12" s="45">
        <f t="shared" si="35"/>
        <v>0</v>
      </c>
      <c r="Z12" s="45">
        <f t="shared" si="35"/>
        <v>0</v>
      </c>
      <c r="AA12" s="45">
        <f t="shared" si="35"/>
        <v>0</v>
      </c>
      <c r="AB12" s="45">
        <f t="shared" si="35"/>
        <v>0</v>
      </c>
      <c r="AC12" s="45">
        <f t="shared" si="35"/>
        <v>0</v>
      </c>
      <c r="AD12" s="45">
        <f t="shared" si="35"/>
        <v>0</v>
      </c>
      <c r="AE12" s="45">
        <f t="shared" si="35"/>
        <v>0</v>
      </c>
      <c r="AF12" s="45">
        <f t="shared" si="35"/>
        <v>0</v>
      </c>
      <c r="AG12" s="45">
        <f t="shared" si="35"/>
        <v>0</v>
      </c>
      <c r="AH12" s="45">
        <f t="shared" si="35"/>
        <v>0</v>
      </c>
      <c r="AI12" s="45">
        <f t="shared" si="35"/>
        <v>0</v>
      </c>
      <c r="AJ12" s="45">
        <f t="shared" si="35"/>
        <v>0</v>
      </c>
      <c r="AK12" s="45">
        <f t="shared" si="35"/>
        <v>0</v>
      </c>
      <c r="AL12" s="45">
        <f t="shared" si="35"/>
        <v>0</v>
      </c>
      <c r="AM12" s="45">
        <f t="shared" si="35"/>
        <v>0</v>
      </c>
      <c r="AN12" s="45">
        <f t="shared" si="35"/>
        <v>0</v>
      </c>
      <c r="AO12" s="45">
        <f t="shared" si="35"/>
        <v>0</v>
      </c>
      <c r="AP12" s="45">
        <f t="shared" si="35"/>
        <v>0</v>
      </c>
      <c r="AQ12" s="45">
        <f t="shared" si="35"/>
        <v>0</v>
      </c>
      <c r="AR12" s="45"/>
    </row>
    <row r="13" spans="1:51">
      <c r="E13" t="s">
        <v>139</v>
      </c>
      <c r="J13" s="45">
        <f>IF(AND(J10=1, K10=0), 1, 0)</f>
        <v>0</v>
      </c>
      <c r="K13" s="45">
        <f t="shared" ref="K13:AQ13" si="36">IF(AND(K10=1, L10=0), 1, 0)</f>
        <v>0</v>
      </c>
      <c r="L13" s="45">
        <f t="shared" si="36"/>
        <v>0</v>
      </c>
      <c r="M13" s="45">
        <f t="shared" si="36"/>
        <v>0</v>
      </c>
      <c r="N13" s="45">
        <f t="shared" si="36"/>
        <v>0</v>
      </c>
      <c r="O13" s="45">
        <f t="shared" si="36"/>
        <v>0</v>
      </c>
      <c r="P13" s="45">
        <f t="shared" si="36"/>
        <v>0</v>
      </c>
      <c r="Q13" s="45">
        <f t="shared" si="36"/>
        <v>0</v>
      </c>
      <c r="R13" s="45">
        <f t="shared" si="36"/>
        <v>0</v>
      </c>
      <c r="S13" s="45">
        <f t="shared" si="36"/>
        <v>0</v>
      </c>
      <c r="T13" s="45">
        <f t="shared" si="36"/>
        <v>0</v>
      </c>
      <c r="U13" s="45">
        <f t="shared" si="36"/>
        <v>0</v>
      </c>
      <c r="V13" s="45">
        <f t="shared" si="36"/>
        <v>0</v>
      </c>
      <c r="W13" s="45">
        <f t="shared" si="36"/>
        <v>0</v>
      </c>
      <c r="X13" s="45">
        <f t="shared" si="36"/>
        <v>0</v>
      </c>
      <c r="Y13" s="45">
        <f t="shared" si="36"/>
        <v>0</v>
      </c>
      <c r="Z13" s="45">
        <f t="shared" si="36"/>
        <v>0</v>
      </c>
      <c r="AA13" s="45">
        <f t="shared" si="36"/>
        <v>0</v>
      </c>
      <c r="AB13" s="45">
        <f t="shared" si="36"/>
        <v>0</v>
      </c>
      <c r="AC13" s="45">
        <f t="shared" si="36"/>
        <v>0</v>
      </c>
      <c r="AD13" s="45">
        <f t="shared" si="36"/>
        <v>0</v>
      </c>
      <c r="AE13" s="45">
        <f t="shared" si="36"/>
        <v>0</v>
      </c>
      <c r="AF13" s="45">
        <f t="shared" si="36"/>
        <v>0</v>
      </c>
      <c r="AG13" s="45">
        <f t="shared" si="36"/>
        <v>0</v>
      </c>
      <c r="AH13" s="45">
        <f t="shared" si="36"/>
        <v>1</v>
      </c>
      <c r="AI13" s="45">
        <f t="shared" si="36"/>
        <v>0</v>
      </c>
      <c r="AJ13" s="45">
        <f t="shared" si="36"/>
        <v>0</v>
      </c>
      <c r="AK13" s="45">
        <f t="shared" si="36"/>
        <v>0</v>
      </c>
      <c r="AL13" s="45">
        <f t="shared" si="36"/>
        <v>0</v>
      </c>
      <c r="AM13" s="45">
        <f t="shared" si="36"/>
        <v>0</v>
      </c>
      <c r="AN13" s="45">
        <f t="shared" si="36"/>
        <v>0</v>
      </c>
      <c r="AO13" s="45">
        <f t="shared" si="36"/>
        <v>0</v>
      </c>
      <c r="AP13" s="45">
        <f t="shared" si="36"/>
        <v>0</v>
      </c>
      <c r="AQ13" s="45">
        <f t="shared" si="36"/>
        <v>0</v>
      </c>
      <c r="AR13" s="45"/>
    </row>
    <row r="14" spans="1:51">
      <c r="E14" t="s">
        <v>211</v>
      </c>
      <c r="F14" s="2">
        <f>SUMPRODUCT(J14:AQ14,J2:AQ2)</f>
        <v>42460</v>
      </c>
      <c r="J14" s="45">
        <f>IF('Input Profile'!J10&gt;0, 1, 0)</f>
        <v>0</v>
      </c>
      <c r="K14" s="45">
        <f>IF('Input Profile'!K10&gt;0, 1, 0)</f>
        <v>0</v>
      </c>
      <c r="L14" s="45">
        <f>IF('Input Profile'!L10&gt;0, 1, 0)</f>
        <v>0</v>
      </c>
      <c r="M14" s="45">
        <f>IF('Input Profile'!M10&gt;0, 1, 0)</f>
        <v>1</v>
      </c>
      <c r="N14" s="45">
        <f>IF('Input Profile'!N10&gt;0, 1, 0)</f>
        <v>0</v>
      </c>
      <c r="O14" s="45">
        <f>IF('Input Profile'!O10&gt;0, 1, 0)</f>
        <v>0</v>
      </c>
      <c r="P14" s="45">
        <f>IF('Input Profile'!P10&gt;0, 1, 0)</f>
        <v>0</v>
      </c>
      <c r="Q14" s="45">
        <f>IF('Input Profile'!Q10&gt;0, 1, 0)</f>
        <v>0</v>
      </c>
      <c r="R14" s="45">
        <f>IF('Input Profile'!R10&gt;0, 1, 0)</f>
        <v>0</v>
      </c>
      <c r="S14" s="45">
        <f>IF('Input Profile'!S10&gt;0, 1, 0)</f>
        <v>0</v>
      </c>
      <c r="T14" s="45">
        <f>IF('Input Profile'!T10&gt;0, 1, 0)</f>
        <v>0</v>
      </c>
      <c r="U14" s="45">
        <f>IF('Input Profile'!U10&gt;0, 1, 0)</f>
        <v>0</v>
      </c>
      <c r="V14" s="45">
        <f>IF('Input Profile'!V10&gt;0, 1, 0)</f>
        <v>0</v>
      </c>
      <c r="W14" s="45">
        <f>IF('Input Profile'!W10&gt;0, 1, 0)</f>
        <v>0</v>
      </c>
      <c r="X14" s="45">
        <f>IF('Input Profile'!X10&gt;0, 1, 0)</f>
        <v>0</v>
      </c>
      <c r="Y14" s="45">
        <f>IF('Input Profile'!Y10&gt;0, 1, 0)</f>
        <v>0</v>
      </c>
      <c r="Z14" s="45">
        <f>IF('Input Profile'!Z10&gt;0, 1, 0)</f>
        <v>0</v>
      </c>
      <c r="AA14" s="45">
        <f>IF('Input Profile'!AA10&gt;0, 1, 0)</f>
        <v>0</v>
      </c>
      <c r="AB14" s="45">
        <f>IF('Input Profile'!AB10&gt;0, 1, 0)</f>
        <v>0</v>
      </c>
      <c r="AC14" s="45">
        <f>IF('Input Profile'!AC10&gt;0, 1, 0)</f>
        <v>0</v>
      </c>
      <c r="AD14" s="45">
        <f>IF('Input Profile'!AD10&gt;0, 1, 0)</f>
        <v>0</v>
      </c>
      <c r="AE14" s="45">
        <f>IF('Input Profile'!AE10&gt;0, 1, 0)</f>
        <v>0</v>
      </c>
      <c r="AF14" s="45">
        <f>IF('Input Profile'!AF10&gt;0, 1, 0)</f>
        <v>0</v>
      </c>
      <c r="AG14" s="45">
        <f>IF('Input Profile'!AG10&gt;0, 1, 0)</f>
        <v>0</v>
      </c>
      <c r="AH14" s="45">
        <f>IF('Input Profile'!AH10&gt;0, 1, 0)</f>
        <v>0</v>
      </c>
      <c r="AI14" s="45">
        <f>IF('Input Profile'!AI10&gt;0, 1, 0)</f>
        <v>0</v>
      </c>
      <c r="AJ14" s="45">
        <f>IF('Input Profile'!AJ10&gt;0, 1, 0)</f>
        <v>0</v>
      </c>
      <c r="AK14" s="45">
        <f>IF('Input Profile'!AK10&gt;0, 1, 0)</f>
        <v>0</v>
      </c>
      <c r="AL14" s="45">
        <f>IF('Input Profile'!AL10&gt;0, 1, 0)</f>
        <v>0</v>
      </c>
      <c r="AM14" s="45">
        <f>IF('Input Profile'!AM10&gt;0, 1, 0)</f>
        <v>0</v>
      </c>
      <c r="AN14" s="45">
        <f>IF('Input Profile'!AN10&gt;0, 1, 0)</f>
        <v>0</v>
      </c>
      <c r="AO14" s="45">
        <f>IF('Input Profile'!AO10&gt;0, 1, 0)</f>
        <v>0</v>
      </c>
      <c r="AP14" s="45">
        <f>IF('Input Profile'!AP10&gt;0, 1, 0)</f>
        <v>0</v>
      </c>
      <c r="AQ14" s="45">
        <f>IF('Input Profile'!AQ10&gt;0, 1, 0)</f>
        <v>0</v>
      </c>
      <c r="AR14" s="45"/>
    </row>
    <row r="15" spans="1:51"/>
    <row r="16" spans="1:51">
      <c r="E16" s="18" t="s">
        <v>212</v>
      </c>
      <c r="F16" s="2">
        <f>$F$14</f>
        <v>42460</v>
      </c>
    </row>
    <row r="17" spans="5:43">
      <c r="E17" s="18" t="str">
        <f>'Input Constants'!E38</f>
        <v>Tranche A Term Length</v>
      </c>
      <c r="F17" s="18">
        <f>'Input Constants'!F38</f>
        <v>15</v>
      </c>
      <c r="G17" t="str">
        <f>'Input Constants'!G38</f>
        <v>years</v>
      </c>
    </row>
    <row r="18" spans="5:43">
      <c r="E18" s="18" t="s">
        <v>213</v>
      </c>
      <c r="F18" s="2">
        <f>DATE(YEAR(F16) + F17 - 1, MONTH(F16), DAY(F16))</f>
        <v>47573</v>
      </c>
    </row>
    <row r="19" spans="5:43">
      <c r="E19" t="s">
        <v>172</v>
      </c>
      <c r="H19" s="55">
        <f>SUM(J19:AQ19)</f>
        <v>15</v>
      </c>
      <c r="J19" s="45">
        <f>IF( AND(J$2&gt;=$F16,J$2&lt;=$F18),1,0)</f>
        <v>0</v>
      </c>
      <c r="K19" s="45">
        <f t="shared" ref="K19:AQ19" si="37">IF( AND(K$2&gt;=$F16,K$2&lt;=$F18),1,0)</f>
        <v>0</v>
      </c>
      <c r="L19" s="45">
        <f t="shared" si="37"/>
        <v>0</v>
      </c>
      <c r="M19" s="45">
        <f t="shared" si="37"/>
        <v>1</v>
      </c>
      <c r="N19" s="45">
        <f t="shared" si="37"/>
        <v>1</v>
      </c>
      <c r="O19" s="45">
        <f t="shared" si="37"/>
        <v>1</v>
      </c>
      <c r="P19" s="45">
        <f t="shared" si="37"/>
        <v>1</v>
      </c>
      <c r="Q19" s="45">
        <f t="shared" si="37"/>
        <v>1</v>
      </c>
      <c r="R19" s="45">
        <f t="shared" si="37"/>
        <v>1</v>
      </c>
      <c r="S19" s="45">
        <f t="shared" si="37"/>
        <v>1</v>
      </c>
      <c r="T19" s="45">
        <f t="shared" si="37"/>
        <v>1</v>
      </c>
      <c r="U19" s="45">
        <f t="shared" si="37"/>
        <v>1</v>
      </c>
      <c r="V19" s="45">
        <f t="shared" si="37"/>
        <v>1</v>
      </c>
      <c r="W19" s="45">
        <f t="shared" si="37"/>
        <v>1</v>
      </c>
      <c r="X19" s="45">
        <f t="shared" si="37"/>
        <v>1</v>
      </c>
      <c r="Y19" s="45">
        <f t="shared" si="37"/>
        <v>1</v>
      </c>
      <c r="Z19" s="45">
        <f t="shared" si="37"/>
        <v>1</v>
      </c>
      <c r="AA19" s="45">
        <f t="shared" si="37"/>
        <v>1</v>
      </c>
      <c r="AB19" s="45">
        <f t="shared" si="37"/>
        <v>0</v>
      </c>
      <c r="AC19" s="45">
        <f t="shared" si="37"/>
        <v>0</v>
      </c>
      <c r="AD19" s="45">
        <f t="shared" si="37"/>
        <v>0</v>
      </c>
      <c r="AE19" s="45">
        <f t="shared" si="37"/>
        <v>0</v>
      </c>
      <c r="AF19" s="45">
        <f t="shared" si="37"/>
        <v>0</v>
      </c>
      <c r="AG19" s="45">
        <f t="shared" si="37"/>
        <v>0</v>
      </c>
      <c r="AH19" s="45">
        <f t="shared" si="37"/>
        <v>0</v>
      </c>
      <c r="AI19" s="45">
        <f t="shared" si="37"/>
        <v>0</v>
      </c>
      <c r="AJ19" s="45">
        <f t="shared" si="37"/>
        <v>0</v>
      </c>
      <c r="AK19" s="45">
        <f t="shared" si="37"/>
        <v>0</v>
      </c>
      <c r="AL19" s="45">
        <f t="shared" si="37"/>
        <v>0</v>
      </c>
      <c r="AM19" s="45">
        <f t="shared" si="37"/>
        <v>0</v>
      </c>
      <c r="AN19" s="45">
        <f t="shared" si="37"/>
        <v>0</v>
      </c>
      <c r="AO19" s="45">
        <f t="shared" si="37"/>
        <v>0</v>
      </c>
      <c r="AP19" s="45">
        <f t="shared" si="37"/>
        <v>0</v>
      </c>
      <c r="AQ19" s="45">
        <f t="shared" si="37"/>
        <v>0</v>
      </c>
    </row>
    <row r="20" spans="5:43"/>
    <row r="21" spans="5:43">
      <c r="E21" s="18" t="s">
        <v>214</v>
      </c>
      <c r="F21" s="2">
        <f>$F$14</f>
        <v>42460</v>
      </c>
    </row>
    <row r="22" spans="5:43">
      <c r="E22" s="18" t="str">
        <f>'Input Constants'!E42</f>
        <v>Tranche B Term Length</v>
      </c>
      <c r="F22" s="18">
        <f>'Input Constants'!F42</f>
        <v>10</v>
      </c>
      <c r="G22" s="18" t="str">
        <f>'Input Constants'!G42</f>
        <v>years</v>
      </c>
    </row>
    <row r="23" spans="5:43">
      <c r="E23" s="18" t="s">
        <v>215</v>
      </c>
      <c r="F23" s="2">
        <f>DATE(YEAR(F21) + F22 - 1, MONTH(F21), DAY(F21))</f>
        <v>45747</v>
      </c>
    </row>
    <row r="24" spans="5:43">
      <c r="E24" t="s">
        <v>173</v>
      </c>
      <c r="H24" s="55">
        <f>SUM(J24:AQ24)</f>
        <v>10</v>
      </c>
      <c r="J24" s="45">
        <f>IF( AND(J$2&gt;=$F21,J$2&lt;=$F23),1,0)</f>
        <v>0</v>
      </c>
      <c r="K24" s="45">
        <f t="shared" ref="K24:AQ24" si="38">IF( AND(K$2&gt;=$F21,K$2&lt;=$F23),1,0)</f>
        <v>0</v>
      </c>
      <c r="L24" s="45">
        <f t="shared" si="38"/>
        <v>0</v>
      </c>
      <c r="M24" s="45">
        <f t="shared" si="38"/>
        <v>1</v>
      </c>
      <c r="N24" s="45">
        <f t="shared" si="38"/>
        <v>1</v>
      </c>
      <c r="O24" s="45">
        <f t="shared" si="38"/>
        <v>1</v>
      </c>
      <c r="P24" s="45">
        <f t="shared" si="38"/>
        <v>1</v>
      </c>
      <c r="Q24" s="45">
        <f t="shared" si="38"/>
        <v>1</v>
      </c>
      <c r="R24" s="45">
        <f t="shared" si="38"/>
        <v>1</v>
      </c>
      <c r="S24" s="45">
        <f t="shared" si="38"/>
        <v>1</v>
      </c>
      <c r="T24" s="45">
        <f t="shared" si="38"/>
        <v>1</v>
      </c>
      <c r="U24" s="45">
        <f t="shared" si="38"/>
        <v>1</v>
      </c>
      <c r="V24" s="45">
        <f t="shared" si="38"/>
        <v>1</v>
      </c>
      <c r="W24" s="45">
        <f t="shared" si="38"/>
        <v>0</v>
      </c>
      <c r="X24" s="45">
        <f t="shared" si="38"/>
        <v>0</v>
      </c>
      <c r="Y24" s="45">
        <f t="shared" si="38"/>
        <v>0</v>
      </c>
      <c r="Z24" s="45">
        <f t="shared" si="38"/>
        <v>0</v>
      </c>
      <c r="AA24" s="45">
        <f t="shared" si="38"/>
        <v>0</v>
      </c>
      <c r="AB24" s="45">
        <f t="shared" si="38"/>
        <v>0</v>
      </c>
      <c r="AC24" s="45">
        <f t="shared" si="38"/>
        <v>0</v>
      </c>
      <c r="AD24" s="45">
        <f t="shared" si="38"/>
        <v>0</v>
      </c>
      <c r="AE24" s="45">
        <f t="shared" si="38"/>
        <v>0</v>
      </c>
      <c r="AF24" s="45">
        <f t="shared" si="38"/>
        <v>0</v>
      </c>
      <c r="AG24" s="45">
        <f t="shared" si="38"/>
        <v>0</v>
      </c>
      <c r="AH24" s="45">
        <f t="shared" si="38"/>
        <v>0</v>
      </c>
      <c r="AI24" s="45">
        <f t="shared" si="38"/>
        <v>0</v>
      </c>
      <c r="AJ24" s="45">
        <f t="shared" si="38"/>
        <v>0</v>
      </c>
      <c r="AK24" s="45">
        <f t="shared" si="38"/>
        <v>0</v>
      </c>
      <c r="AL24" s="45">
        <f t="shared" si="38"/>
        <v>0</v>
      </c>
      <c r="AM24" s="45">
        <f t="shared" si="38"/>
        <v>0</v>
      </c>
      <c r="AN24" s="45">
        <f t="shared" si="38"/>
        <v>0</v>
      </c>
      <c r="AO24" s="45">
        <f t="shared" si="38"/>
        <v>0</v>
      </c>
      <c r="AP24" s="45">
        <f t="shared" si="38"/>
        <v>0</v>
      </c>
      <c r="AQ24" s="45">
        <f t="shared" si="38"/>
        <v>0</v>
      </c>
    </row>
    <row r="25" spans="5:43"/>
    <row r="26" spans="5:43">
      <c r="E26" s="18" t="s">
        <v>216</v>
      </c>
      <c r="F26" s="2">
        <f>$F$14</f>
        <v>42460</v>
      </c>
    </row>
    <row r="27" spans="5:43">
      <c r="E27" s="18" t="str">
        <f>'Input Constants'!E46</f>
        <v>Tranche C Term Length</v>
      </c>
      <c r="F27" s="18">
        <f>'Input Constants'!F46</f>
        <v>10</v>
      </c>
      <c r="G27" s="18" t="str">
        <f>'Input Constants'!G46</f>
        <v>years</v>
      </c>
    </row>
    <row r="28" spans="5:43">
      <c r="E28" s="18" t="s">
        <v>217</v>
      </c>
      <c r="F28" s="2">
        <f>DATE(YEAR(F26) + F27 - 1, MONTH(F26), DAY(F26))</f>
        <v>45747</v>
      </c>
    </row>
    <row r="29" spans="5:43" s="43" customFormat="1">
      <c r="E29" t="s">
        <v>174</v>
      </c>
      <c r="H29" s="55">
        <f>SUM(J29:AQ29)</f>
        <v>10</v>
      </c>
      <c r="J29" s="45">
        <f t="shared" ref="J29:AQ29" si="39">IF( AND(J$2&gt;=$F26,J$2&lt;=$F28),1,0)</f>
        <v>0</v>
      </c>
      <c r="K29" s="45">
        <f t="shared" si="39"/>
        <v>0</v>
      </c>
      <c r="L29" s="45">
        <f t="shared" si="39"/>
        <v>0</v>
      </c>
      <c r="M29" s="45">
        <f t="shared" si="39"/>
        <v>1</v>
      </c>
      <c r="N29" s="45">
        <f t="shared" si="39"/>
        <v>1</v>
      </c>
      <c r="O29" s="45">
        <f t="shared" si="39"/>
        <v>1</v>
      </c>
      <c r="P29" s="45">
        <f t="shared" si="39"/>
        <v>1</v>
      </c>
      <c r="Q29" s="45">
        <f t="shared" si="39"/>
        <v>1</v>
      </c>
      <c r="R29" s="45">
        <f t="shared" si="39"/>
        <v>1</v>
      </c>
      <c r="S29" s="45">
        <f t="shared" si="39"/>
        <v>1</v>
      </c>
      <c r="T29" s="45">
        <f t="shared" si="39"/>
        <v>1</v>
      </c>
      <c r="U29" s="45">
        <f t="shared" si="39"/>
        <v>1</v>
      </c>
      <c r="V29" s="45">
        <f t="shared" si="39"/>
        <v>1</v>
      </c>
      <c r="W29" s="45">
        <f t="shared" si="39"/>
        <v>0</v>
      </c>
      <c r="X29" s="45">
        <f t="shared" si="39"/>
        <v>0</v>
      </c>
      <c r="Y29" s="45">
        <f t="shared" si="39"/>
        <v>0</v>
      </c>
      <c r="Z29" s="45">
        <f t="shared" si="39"/>
        <v>0</v>
      </c>
      <c r="AA29" s="45">
        <f t="shared" si="39"/>
        <v>0</v>
      </c>
      <c r="AB29" s="45">
        <f t="shared" si="39"/>
        <v>0</v>
      </c>
      <c r="AC29" s="45">
        <f t="shared" si="39"/>
        <v>0</v>
      </c>
      <c r="AD29" s="45">
        <f t="shared" si="39"/>
        <v>0</v>
      </c>
      <c r="AE29" s="45">
        <f t="shared" si="39"/>
        <v>0</v>
      </c>
      <c r="AF29" s="45">
        <f t="shared" si="39"/>
        <v>0</v>
      </c>
      <c r="AG29" s="45">
        <f t="shared" si="39"/>
        <v>0</v>
      </c>
      <c r="AH29" s="45">
        <f t="shared" si="39"/>
        <v>0</v>
      </c>
      <c r="AI29" s="45">
        <f t="shared" si="39"/>
        <v>0</v>
      </c>
      <c r="AJ29" s="45">
        <f t="shared" si="39"/>
        <v>0</v>
      </c>
      <c r="AK29" s="45">
        <f t="shared" si="39"/>
        <v>0</v>
      </c>
      <c r="AL29" s="45">
        <f t="shared" si="39"/>
        <v>0</v>
      </c>
      <c r="AM29" s="45">
        <f t="shared" si="39"/>
        <v>0</v>
      </c>
      <c r="AN29" s="45">
        <f t="shared" si="39"/>
        <v>0</v>
      </c>
      <c r="AO29" s="45">
        <f t="shared" si="39"/>
        <v>0</v>
      </c>
      <c r="AP29" s="45">
        <f t="shared" si="39"/>
        <v>0</v>
      </c>
      <c r="AQ29" s="45">
        <f t="shared" si="39"/>
        <v>0</v>
      </c>
    </row>
    <row r="30" spans="5:43" s="43" customFormat="1"/>
    <row r="31" spans="5:43">
      <c r="E31" t="str">
        <f>'Input Constants'!E24</f>
        <v>Maintenance Status Quo Inflation</v>
      </c>
      <c r="F31" s="7">
        <f>'Input Constants'!F24</f>
        <v>2.5000000000000001E-2</v>
      </c>
      <c r="G31" s="7" t="str">
        <f>'Input Constants'!G24</f>
        <v>p.a.</v>
      </c>
      <c r="J31" s="8">
        <f>(1+$F31) ^ ((J$2-'Input Constants'!$F$19) / 365)</f>
        <v>1</v>
      </c>
      <c r="K31" s="8">
        <f>(1+$F31) ^ ((K$2-'Input Constants'!$F$19) / 365)</f>
        <v>1.0249999999999999</v>
      </c>
      <c r="L31" s="8">
        <f>(1+$F31) ^ ((L$2-'Input Constants'!$F$19) / 365)</f>
        <v>1.0506249999999999</v>
      </c>
      <c r="M31" s="8">
        <f>(1+$F31) ^ ((M$2-'Input Constants'!$F$19) / 365)</f>
        <v>1.0769634801848973</v>
      </c>
      <c r="N31" s="8">
        <f>(1+$F31) ^ ((N$2-'Input Constants'!$F$19) / 365)</f>
        <v>1.1038875671895196</v>
      </c>
      <c r="O31" s="8">
        <f>(1+$F31) ^ ((O$2-'Input Constants'!$F$19) / 365)</f>
        <v>1.1314847563692576</v>
      </c>
      <c r="P31" s="8">
        <f>(1+$F31) ^ ((P$2-'Input Constants'!$F$19) / 365)</f>
        <v>1.1597718752784889</v>
      </c>
      <c r="Q31" s="8">
        <f>(1+$F31) ^ ((Q$2-'Input Constants'!$F$19) / 365)</f>
        <v>1.1888465960932646</v>
      </c>
      <c r="R31" s="8">
        <f>(1+$F31) ^ ((R$2-'Input Constants'!$F$19) / 365)</f>
        <v>1.2185677609955963</v>
      </c>
      <c r="S31" s="8">
        <f>(1+$F31) ^ ((S$2-'Input Constants'!$F$19) / 365)</f>
        <v>1.249031955020486</v>
      </c>
      <c r="T31" s="8">
        <f>(1+$F31) ^ ((T$2-'Input Constants'!$F$19) / 365)</f>
        <v>1.2802577538959981</v>
      </c>
      <c r="U31" s="8">
        <f>(1+$F31) ^ ((U$2-'Input Constants'!$F$19) / 365)</f>
        <v>1.3123529767229354</v>
      </c>
      <c r="V31" s="8">
        <f>(1+$F31) ^ ((V$2-'Input Constants'!$F$19) / 365)</f>
        <v>1.3451618011410087</v>
      </c>
      <c r="W31" s="8">
        <f>(1+$F31) ^ ((W$2-'Input Constants'!$F$19) / 365)</f>
        <v>1.3787908461695337</v>
      </c>
      <c r="X31" s="8">
        <f>(1+$F31) ^ ((X$2-'Input Constants'!$F$19) / 365)</f>
        <v>1.4132606173237721</v>
      </c>
      <c r="Y31" s="8">
        <f>(1+$F31) ^ ((Y$2-'Input Constants'!$F$19) / 365)</f>
        <v>1.4486901347686054</v>
      </c>
      <c r="Z31" s="8">
        <f>(1+$F31) ^ ((Z$2-'Input Constants'!$F$19) / 365)</f>
        <v>1.4849073881378205</v>
      </c>
      <c r="AA31" s="8">
        <f>(1+$F31) ^ ((AA$2-'Input Constants'!$F$19) / 365)</f>
        <v>1.5220300728412659</v>
      </c>
      <c r="AB31" s="8">
        <f>(1+$F31) ^ ((AB$2-'Input Constants'!$F$19) / 365)</f>
        <v>1.5600808246622975</v>
      </c>
      <c r="AC31" s="8">
        <f>(1+$F31) ^ ((AC$2-'Input Constants'!$F$19) / 365)</f>
        <v>1.5991910284811732</v>
      </c>
      <c r="AD31" s="8">
        <f>(1+$F31) ^ ((AD$2-'Input Constants'!$F$19) / 365)</f>
        <v>1.6391708041932025</v>
      </c>
      <c r="AE31" s="8">
        <f>(1+$F31) ^ ((AE$2-'Input Constants'!$F$19) / 365)</f>
        <v>1.6801500742980322</v>
      </c>
      <c r="AF31" s="8">
        <f>(1+$F31) ^ ((AF$2-'Input Constants'!$F$19) / 365)</f>
        <v>1.722153826155483</v>
      </c>
      <c r="AG31" s="8">
        <f>(1+$F31) ^ ((AG$2-'Input Constants'!$F$19) / 365)</f>
        <v>1.7653270939013881</v>
      </c>
      <c r="AH31" s="8">
        <f>(1+$F31) ^ ((AH$2-'Input Constants'!$F$19) / 365)</f>
        <v>1.8094602712489225</v>
      </c>
      <c r="AI31" s="8">
        <f>(1+$F31) ^ ((AI$2-'Input Constants'!$F$19) / 365)</f>
        <v>1.8546967780301453</v>
      </c>
      <c r="AJ31" s="8">
        <f>(1+$F31) ^ ((AJ$2-'Input Constants'!$F$19) / 365)</f>
        <v>1.9010641974808991</v>
      </c>
      <c r="AK31" s="8">
        <f>(1+$F31) ^ ((AK$2-'Input Constants'!$F$19) / 365)</f>
        <v>1.9487226309805481</v>
      </c>
      <c r="AL31" s="8">
        <f>(1+$F31) ^ ((AL$2-'Input Constants'!$F$19) / 365)</f>
        <v>1.9974406967550618</v>
      </c>
      <c r="AM31" s="8">
        <f>(1+$F31) ^ ((AM$2-'Input Constants'!$F$19) / 365)</f>
        <v>2.0473767141739381</v>
      </c>
      <c r="AN31" s="8">
        <f>(1+$F31) ^ ((AN$2-'Input Constants'!$F$19) / 365)</f>
        <v>2.0985611320282862</v>
      </c>
      <c r="AO31" s="8">
        <f>(1+$F31) ^ ((AO$2-'Input Constants'!$F$19) / 365)</f>
        <v>2.1511706842402769</v>
      </c>
      <c r="AP31" s="8">
        <f>(1+$F31) ^ ((AP$2-'Input Constants'!$F$19) / 365)</f>
        <v>2.204949951346284</v>
      </c>
      <c r="AQ31" s="8">
        <f>(1+$F31) ^ ((AQ$2-'Input Constants'!$F$19) / 365)</f>
        <v>2.2600737001299409</v>
      </c>
    </row>
    <row r="32" spans="5:43">
      <c r="F32" s="7"/>
      <c r="G32" s="7"/>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5:44">
      <c r="E33" t="str">
        <f>'Input Constants'!E25</f>
        <v>Energy Status Quo Inflation</v>
      </c>
      <c r="F33" s="7">
        <f>'Input Constants'!F25</f>
        <v>2.5000000000000001E-2</v>
      </c>
      <c r="G33" s="7" t="str">
        <f>'Input Constants'!G26</f>
        <v>p.a.</v>
      </c>
      <c r="J33" s="8">
        <f>(1+$F33) ^ ((J$2-'Input Constants'!$F$19) / 365)</f>
        <v>1</v>
      </c>
      <c r="K33" s="8">
        <f>(1+$F33) ^ ((K$2-'Input Constants'!$F$19) / 365)</f>
        <v>1.0249999999999999</v>
      </c>
      <c r="L33" s="8">
        <f>(1+$F33) ^ ((L$2-'Input Constants'!$F$19) / 365)</f>
        <v>1.0506249999999999</v>
      </c>
      <c r="M33" s="8">
        <f>(1+$F33) ^ ((M$2-'Input Constants'!$F$19) / 365)</f>
        <v>1.0769634801848973</v>
      </c>
      <c r="N33" s="8">
        <f>(1+$F33) ^ ((N$2-'Input Constants'!$F$19) / 365)</f>
        <v>1.1038875671895196</v>
      </c>
      <c r="O33" s="8">
        <f>(1+$F33) ^ ((O$2-'Input Constants'!$F$19) / 365)</f>
        <v>1.1314847563692576</v>
      </c>
      <c r="P33" s="8">
        <f>(1+$F33) ^ ((P$2-'Input Constants'!$F$19) / 365)</f>
        <v>1.1597718752784889</v>
      </c>
      <c r="Q33" s="8">
        <f>(1+$F33) ^ ((Q$2-'Input Constants'!$F$19) / 365)</f>
        <v>1.1888465960932646</v>
      </c>
      <c r="R33" s="8">
        <f>(1+$F33) ^ ((R$2-'Input Constants'!$F$19) / 365)</f>
        <v>1.2185677609955963</v>
      </c>
      <c r="S33" s="8">
        <f>(1+$F33) ^ ((S$2-'Input Constants'!$F$19) / 365)</f>
        <v>1.249031955020486</v>
      </c>
      <c r="T33" s="8">
        <f>(1+$F33) ^ ((T$2-'Input Constants'!$F$19) / 365)</f>
        <v>1.2802577538959981</v>
      </c>
      <c r="U33" s="8">
        <f>(1+$F33) ^ ((U$2-'Input Constants'!$F$19) / 365)</f>
        <v>1.3123529767229354</v>
      </c>
      <c r="V33" s="8">
        <f>(1+$F33) ^ ((V$2-'Input Constants'!$F$19) / 365)</f>
        <v>1.3451618011410087</v>
      </c>
      <c r="W33" s="8">
        <f>(1+$F33) ^ ((W$2-'Input Constants'!$F$19) / 365)</f>
        <v>1.3787908461695337</v>
      </c>
      <c r="X33" s="8">
        <f>(1+$F33) ^ ((X$2-'Input Constants'!$F$19) / 365)</f>
        <v>1.4132606173237721</v>
      </c>
      <c r="Y33" s="8">
        <f>(1+$F33) ^ ((Y$2-'Input Constants'!$F$19) / 365)</f>
        <v>1.4486901347686054</v>
      </c>
      <c r="Z33" s="8">
        <f>(1+$F33) ^ ((Z$2-'Input Constants'!$F$19) / 365)</f>
        <v>1.4849073881378205</v>
      </c>
      <c r="AA33" s="8">
        <f>(1+$F33) ^ ((AA$2-'Input Constants'!$F$19) / 365)</f>
        <v>1.5220300728412659</v>
      </c>
      <c r="AB33" s="8">
        <f>(1+$F33) ^ ((AB$2-'Input Constants'!$F$19) / 365)</f>
        <v>1.5600808246622975</v>
      </c>
      <c r="AC33" s="8">
        <f>(1+$F33) ^ ((AC$2-'Input Constants'!$F$19) / 365)</f>
        <v>1.5991910284811732</v>
      </c>
      <c r="AD33" s="8">
        <f>(1+$F33) ^ ((AD$2-'Input Constants'!$F$19) / 365)</f>
        <v>1.6391708041932025</v>
      </c>
      <c r="AE33" s="8">
        <f>(1+$F33) ^ ((AE$2-'Input Constants'!$F$19) / 365)</f>
        <v>1.6801500742980322</v>
      </c>
      <c r="AF33" s="8">
        <f>(1+$F33) ^ ((AF$2-'Input Constants'!$F$19) / 365)</f>
        <v>1.722153826155483</v>
      </c>
      <c r="AG33" s="8">
        <f>(1+$F33) ^ ((AG$2-'Input Constants'!$F$19) / 365)</f>
        <v>1.7653270939013881</v>
      </c>
      <c r="AH33" s="8">
        <f>(1+$F33) ^ ((AH$2-'Input Constants'!$F$19) / 365)</f>
        <v>1.8094602712489225</v>
      </c>
      <c r="AI33" s="8">
        <f>(1+$F33) ^ ((AI$2-'Input Constants'!$F$19) / 365)</f>
        <v>1.8546967780301453</v>
      </c>
      <c r="AJ33" s="8">
        <f>(1+$F33) ^ ((AJ$2-'Input Constants'!$F$19) / 365)</f>
        <v>1.9010641974808991</v>
      </c>
      <c r="AK33" s="8">
        <f>(1+$F33) ^ ((AK$2-'Input Constants'!$F$19) / 365)</f>
        <v>1.9487226309805481</v>
      </c>
      <c r="AL33" s="8">
        <f>(1+$F33) ^ ((AL$2-'Input Constants'!$F$19) / 365)</f>
        <v>1.9974406967550618</v>
      </c>
      <c r="AM33" s="8">
        <f>(1+$F33) ^ ((AM$2-'Input Constants'!$F$19) / 365)</f>
        <v>2.0473767141739381</v>
      </c>
      <c r="AN33" s="8">
        <f>(1+$F33) ^ ((AN$2-'Input Constants'!$F$19) / 365)</f>
        <v>2.0985611320282862</v>
      </c>
      <c r="AO33" s="8">
        <f>(1+$F33) ^ ((AO$2-'Input Constants'!$F$19) / 365)</f>
        <v>2.1511706842402769</v>
      </c>
      <c r="AP33" s="8">
        <f>(1+$F33) ^ ((AP$2-'Input Constants'!$F$19) / 365)</f>
        <v>2.204949951346284</v>
      </c>
      <c r="AQ33" s="8">
        <f>(1+$F33) ^ ((AQ$2-'Input Constants'!$F$19) / 365)</f>
        <v>2.2600737001299409</v>
      </c>
    </row>
    <row r="34" spans="5:44"/>
    <row r="35" spans="5:44">
      <c r="E35" t="str">
        <f>'Input Constants'!E26</f>
        <v>Other Operational Costs Status Quo Inflation</v>
      </c>
      <c r="F35" s="7">
        <f>'Input Constants'!F26</f>
        <v>2.5000000000000001E-2</v>
      </c>
      <c r="G35" t="str">
        <f>'Input Constants'!G26</f>
        <v>p.a.</v>
      </c>
      <c r="J35" s="8">
        <f>(1+$F35) ^ ((J$2-'Input Constants'!$F$19) / 365)</f>
        <v>1</v>
      </c>
      <c r="K35" s="8">
        <f>(1+$F35) ^ ((K$2-'Input Constants'!$F$19) / 365)</f>
        <v>1.0249999999999999</v>
      </c>
      <c r="L35" s="8">
        <f>(1+$F35) ^ ((L$2-'Input Constants'!$F$19) / 365)</f>
        <v>1.0506249999999999</v>
      </c>
      <c r="M35" s="8">
        <f>(1+$F35) ^ ((M$2-'Input Constants'!$F$19) / 365)</f>
        <v>1.0769634801848973</v>
      </c>
      <c r="N35" s="8">
        <f>(1+$F35) ^ ((N$2-'Input Constants'!$F$19) / 365)</f>
        <v>1.1038875671895196</v>
      </c>
      <c r="O35" s="8">
        <f>(1+$F35) ^ ((O$2-'Input Constants'!$F$19) / 365)</f>
        <v>1.1314847563692576</v>
      </c>
      <c r="P35" s="8">
        <f>(1+$F35) ^ ((P$2-'Input Constants'!$F$19) / 365)</f>
        <v>1.1597718752784889</v>
      </c>
      <c r="Q35" s="8">
        <f>(1+$F35) ^ ((Q$2-'Input Constants'!$F$19) / 365)</f>
        <v>1.1888465960932646</v>
      </c>
      <c r="R35" s="8">
        <f>(1+$F35) ^ ((R$2-'Input Constants'!$F$19) / 365)</f>
        <v>1.2185677609955963</v>
      </c>
      <c r="S35" s="8">
        <f>(1+$F35) ^ ((S$2-'Input Constants'!$F$19) / 365)</f>
        <v>1.249031955020486</v>
      </c>
      <c r="T35" s="8">
        <f>(1+$F35) ^ ((T$2-'Input Constants'!$F$19) / 365)</f>
        <v>1.2802577538959981</v>
      </c>
      <c r="U35" s="8">
        <f>(1+$F35) ^ ((U$2-'Input Constants'!$F$19) / 365)</f>
        <v>1.3123529767229354</v>
      </c>
      <c r="V35" s="8">
        <f>(1+$F35) ^ ((V$2-'Input Constants'!$F$19) / 365)</f>
        <v>1.3451618011410087</v>
      </c>
      <c r="W35" s="8">
        <f>(1+$F35) ^ ((W$2-'Input Constants'!$F$19) / 365)</f>
        <v>1.3787908461695337</v>
      </c>
      <c r="X35" s="8">
        <f>(1+$F35) ^ ((X$2-'Input Constants'!$F$19) / 365)</f>
        <v>1.4132606173237721</v>
      </c>
      <c r="Y35" s="8">
        <f>(1+$F35) ^ ((Y$2-'Input Constants'!$F$19) / 365)</f>
        <v>1.4486901347686054</v>
      </c>
      <c r="Z35" s="8">
        <f>(1+$F35) ^ ((Z$2-'Input Constants'!$F$19) / 365)</f>
        <v>1.4849073881378205</v>
      </c>
      <c r="AA35" s="8">
        <f>(1+$F35) ^ ((AA$2-'Input Constants'!$F$19) / 365)</f>
        <v>1.5220300728412659</v>
      </c>
      <c r="AB35" s="8">
        <f>(1+$F35) ^ ((AB$2-'Input Constants'!$F$19) / 365)</f>
        <v>1.5600808246622975</v>
      </c>
      <c r="AC35" s="8">
        <f>(1+$F35) ^ ((AC$2-'Input Constants'!$F$19) / 365)</f>
        <v>1.5991910284811732</v>
      </c>
      <c r="AD35" s="8">
        <f>(1+$F35) ^ ((AD$2-'Input Constants'!$F$19) / 365)</f>
        <v>1.6391708041932025</v>
      </c>
      <c r="AE35" s="8">
        <f>(1+$F35) ^ ((AE$2-'Input Constants'!$F$19) / 365)</f>
        <v>1.6801500742980322</v>
      </c>
      <c r="AF35" s="8">
        <f>(1+$F35) ^ ((AF$2-'Input Constants'!$F$19) / 365)</f>
        <v>1.722153826155483</v>
      </c>
      <c r="AG35" s="8">
        <f>(1+$F35) ^ ((AG$2-'Input Constants'!$F$19) / 365)</f>
        <v>1.7653270939013881</v>
      </c>
      <c r="AH35" s="8">
        <f>(1+$F35) ^ ((AH$2-'Input Constants'!$F$19) / 365)</f>
        <v>1.8094602712489225</v>
      </c>
      <c r="AI35" s="8">
        <f>(1+$F35) ^ ((AI$2-'Input Constants'!$F$19) / 365)</f>
        <v>1.8546967780301453</v>
      </c>
      <c r="AJ35" s="8">
        <f>(1+$F35) ^ ((AJ$2-'Input Constants'!$F$19) / 365)</f>
        <v>1.9010641974808991</v>
      </c>
      <c r="AK35" s="8">
        <f>(1+$F35) ^ ((AK$2-'Input Constants'!$F$19) / 365)</f>
        <v>1.9487226309805481</v>
      </c>
      <c r="AL35" s="8">
        <f>(1+$F35) ^ ((AL$2-'Input Constants'!$F$19) / 365)</f>
        <v>1.9974406967550618</v>
      </c>
      <c r="AM35" s="8">
        <f>(1+$F35) ^ ((AM$2-'Input Constants'!$F$19) / 365)</f>
        <v>2.0473767141739381</v>
      </c>
      <c r="AN35" s="8">
        <f>(1+$F35) ^ ((AN$2-'Input Constants'!$F$19) / 365)</f>
        <v>2.0985611320282862</v>
      </c>
      <c r="AO35" s="8">
        <f>(1+$F35) ^ ((AO$2-'Input Constants'!$F$19) / 365)</f>
        <v>2.1511706842402769</v>
      </c>
      <c r="AP35" s="8">
        <f>(1+$F35) ^ ((AP$2-'Input Constants'!$F$19) / 365)</f>
        <v>2.204949951346284</v>
      </c>
      <c r="AQ35" s="8">
        <f>(1+$F35) ^ ((AQ$2-'Input Constants'!$F$19) / 365)</f>
        <v>2.2600737001299409</v>
      </c>
    </row>
    <row r="36" spans="5:44"/>
    <row r="37" spans="5:44">
      <c r="E37" t="str">
        <f>'Input Constants'!E29</f>
        <v>Maintenance Upgrade Inflation</v>
      </c>
      <c r="F37" s="7">
        <f>'Input Constants'!F29</f>
        <v>2.5000000000000001E-2</v>
      </c>
      <c r="G37" t="str">
        <f>'Input Constants'!G29</f>
        <v>p.a.</v>
      </c>
      <c r="J37" s="8">
        <f>(1+$F37) ^ ((J$2-'Input Constants'!$F$19) / 365)</f>
        <v>1</v>
      </c>
      <c r="K37" s="8">
        <f>(1+$F37) ^ ((K$2-'Input Constants'!$F$19) / 365)</f>
        <v>1.0249999999999999</v>
      </c>
      <c r="L37" s="8">
        <f>(1+$F37) ^ ((L$2-'Input Constants'!$F$19) / 365)</f>
        <v>1.0506249999999999</v>
      </c>
      <c r="M37" s="8">
        <f>(1+$F37) ^ ((M$2-'Input Constants'!$F$19) / 365)</f>
        <v>1.0769634801848973</v>
      </c>
      <c r="N37" s="8">
        <f>(1+$F37) ^ ((N$2-'Input Constants'!$F$19) / 365)</f>
        <v>1.1038875671895196</v>
      </c>
      <c r="O37" s="8">
        <f>(1+$F37) ^ ((O$2-'Input Constants'!$F$19) / 365)</f>
        <v>1.1314847563692576</v>
      </c>
      <c r="P37" s="8">
        <f>(1+$F37) ^ ((P$2-'Input Constants'!$F$19) / 365)</f>
        <v>1.1597718752784889</v>
      </c>
      <c r="Q37" s="8">
        <f>(1+$F37) ^ ((Q$2-'Input Constants'!$F$19) / 365)</f>
        <v>1.1888465960932646</v>
      </c>
      <c r="R37" s="8">
        <f>(1+$F37) ^ ((R$2-'Input Constants'!$F$19) / 365)</f>
        <v>1.2185677609955963</v>
      </c>
      <c r="S37" s="8">
        <f>(1+$F37) ^ ((S$2-'Input Constants'!$F$19) / 365)</f>
        <v>1.249031955020486</v>
      </c>
      <c r="T37" s="8">
        <f>(1+$F37) ^ ((T$2-'Input Constants'!$F$19) / 365)</f>
        <v>1.2802577538959981</v>
      </c>
      <c r="U37" s="8">
        <f>(1+$F37) ^ ((U$2-'Input Constants'!$F$19) / 365)</f>
        <v>1.3123529767229354</v>
      </c>
      <c r="V37" s="8">
        <f>(1+$F37) ^ ((V$2-'Input Constants'!$F$19) / 365)</f>
        <v>1.3451618011410087</v>
      </c>
      <c r="W37" s="8">
        <f>(1+$F37) ^ ((W$2-'Input Constants'!$F$19) / 365)</f>
        <v>1.3787908461695337</v>
      </c>
      <c r="X37" s="8">
        <f>(1+$F37) ^ ((X$2-'Input Constants'!$F$19) / 365)</f>
        <v>1.4132606173237721</v>
      </c>
      <c r="Y37" s="8">
        <f>(1+$F37) ^ ((Y$2-'Input Constants'!$F$19) / 365)</f>
        <v>1.4486901347686054</v>
      </c>
      <c r="Z37" s="8">
        <f>(1+$F37) ^ ((Z$2-'Input Constants'!$F$19) / 365)</f>
        <v>1.4849073881378205</v>
      </c>
      <c r="AA37" s="8">
        <f>(1+$F37) ^ ((AA$2-'Input Constants'!$F$19) / 365)</f>
        <v>1.5220300728412659</v>
      </c>
      <c r="AB37" s="8">
        <f>(1+$F37) ^ ((AB$2-'Input Constants'!$F$19) / 365)</f>
        <v>1.5600808246622975</v>
      </c>
      <c r="AC37" s="8">
        <f>(1+$F37) ^ ((AC$2-'Input Constants'!$F$19) / 365)</f>
        <v>1.5991910284811732</v>
      </c>
      <c r="AD37" s="8">
        <f>(1+$F37) ^ ((AD$2-'Input Constants'!$F$19) / 365)</f>
        <v>1.6391708041932025</v>
      </c>
      <c r="AE37" s="8">
        <f>(1+$F37) ^ ((AE$2-'Input Constants'!$F$19) / 365)</f>
        <v>1.6801500742980322</v>
      </c>
      <c r="AF37" s="8">
        <f>(1+$F37) ^ ((AF$2-'Input Constants'!$F$19) / 365)</f>
        <v>1.722153826155483</v>
      </c>
      <c r="AG37" s="8">
        <f>(1+$F37) ^ ((AG$2-'Input Constants'!$F$19) / 365)</f>
        <v>1.7653270939013881</v>
      </c>
      <c r="AH37" s="8">
        <f>(1+$F37) ^ ((AH$2-'Input Constants'!$F$19) / 365)</f>
        <v>1.8094602712489225</v>
      </c>
      <c r="AI37" s="8">
        <f>(1+$F37) ^ ((AI$2-'Input Constants'!$F$19) / 365)</f>
        <v>1.8546967780301453</v>
      </c>
      <c r="AJ37" s="8">
        <f>(1+$F37) ^ ((AJ$2-'Input Constants'!$F$19) / 365)</f>
        <v>1.9010641974808991</v>
      </c>
      <c r="AK37" s="8">
        <f>(1+$F37) ^ ((AK$2-'Input Constants'!$F$19) / 365)</f>
        <v>1.9487226309805481</v>
      </c>
      <c r="AL37" s="8">
        <f>(1+$F37) ^ ((AL$2-'Input Constants'!$F$19) / 365)</f>
        <v>1.9974406967550618</v>
      </c>
      <c r="AM37" s="8">
        <f>(1+$F37) ^ ((AM$2-'Input Constants'!$F$19) / 365)</f>
        <v>2.0473767141739381</v>
      </c>
      <c r="AN37" s="8">
        <f>(1+$F37) ^ ((AN$2-'Input Constants'!$F$19) / 365)</f>
        <v>2.0985611320282862</v>
      </c>
      <c r="AO37" s="8">
        <f>(1+$F37) ^ ((AO$2-'Input Constants'!$F$19) / 365)</f>
        <v>2.1511706842402769</v>
      </c>
      <c r="AP37" s="8">
        <f>(1+$F37) ^ ((AP$2-'Input Constants'!$F$19) / 365)</f>
        <v>2.204949951346284</v>
      </c>
      <c r="AQ37" s="8">
        <f>(1+$F37) ^ ((AQ$2-'Input Constants'!$F$19) / 365)</f>
        <v>2.2600737001299409</v>
      </c>
    </row>
    <row r="38" spans="5:44"/>
    <row r="39" spans="5:44">
      <c r="E39" t="str">
        <f>'Input Constants'!E30</f>
        <v>Energy Upgrade Inflation</v>
      </c>
      <c r="F39" s="7">
        <f>'Input Constants'!F30</f>
        <v>2.5000000000000001E-2</v>
      </c>
      <c r="G39" t="str">
        <f>'Input Constants'!G31</f>
        <v>p.a.</v>
      </c>
      <c r="J39" s="8">
        <f>(1+$F39) ^ ((J$2-'Input Constants'!$F$19) / 365)</f>
        <v>1</v>
      </c>
      <c r="K39" s="8">
        <f>(1+$F39) ^ ((K$2-'Input Constants'!$F$19) / 365)</f>
        <v>1.0249999999999999</v>
      </c>
      <c r="L39" s="8">
        <f>(1+$F39) ^ ((L$2-'Input Constants'!$F$19) / 365)</f>
        <v>1.0506249999999999</v>
      </c>
      <c r="M39" s="8">
        <f>(1+$F39) ^ ((M$2-'Input Constants'!$F$19) / 365)</f>
        <v>1.0769634801848973</v>
      </c>
      <c r="N39" s="8">
        <f>(1+$F39) ^ ((N$2-'Input Constants'!$F$19) / 365)</f>
        <v>1.1038875671895196</v>
      </c>
      <c r="O39" s="8">
        <f>(1+$F39) ^ ((O$2-'Input Constants'!$F$19) / 365)</f>
        <v>1.1314847563692576</v>
      </c>
      <c r="P39" s="8">
        <f>(1+$F39) ^ ((P$2-'Input Constants'!$F$19) / 365)</f>
        <v>1.1597718752784889</v>
      </c>
      <c r="Q39" s="8">
        <f>(1+$F39) ^ ((Q$2-'Input Constants'!$F$19) / 365)</f>
        <v>1.1888465960932646</v>
      </c>
      <c r="R39" s="8">
        <f>(1+$F39) ^ ((R$2-'Input Constants'!$F$19) / 365)</f>
        <v>1.2185677609955963</v>
      </c>
      <c r="S39" s="8">
        <f>(1+$F39) ^ ((S$2-'Input Constants'!$F$19) / 365)</f>
        <v>1.249031955020486</v>
      </c>
      <c r="T39" s="8">
        <f>(1+$F39) ^ ((T$2-'Input Constants'!$F$19) / 365)</f>
        <v>1.2802577538959981</v>
      </c>
      <c r="U39" s="8">
        <f>(1+$F39) ^ ((U$2-'Input Constants'!$F$19) / 365)</f>
        <v>1.3123529767229354</v>
      </c>
      <c r="V39" s="8">
        <f>(1+$F39) ^ ((V$2-'Input Constants'!$F$19) / 365)</f>
        <v>1.3451618011410087</v>
      </c>
      <c r="W39" s="8">
        <f>(1+$F39) ^ ((W$2-'Input Constants'!$F$19) / 365)</f>
        <v>1.3787908461695337</v>
      </c>
      <c r="X39" s="8">
        <f>(1+$F39) ^ ((X$2-'Input Constants'!$F$19) / 365)</f>
        <v>1.4132606173237721</v>
      </c>
      <c r="Y39" s="8">
        <f>(1+$F39) ^ ((Y$2-'Input Constants'!$F$19) / 365)</f>
        <v>1.4486901347686054</v>
      </c>
      <c r="Z39" s="8">
        <f>(1+$F39) ^ ((Z$2-'Input Constants'!$F$19) / 365)</f>
        <v>1.4849073881378205</v>
      </c>
      <c r="AA39" s="8">
        <f>(1+$F39) ^ ((AA$2-'Input Constants'!$F$19) / 365)</f>
        <v>1.5220300728412659</v>
      </c>
      <c r="AB39" s="8">
        <f>(1+$F39) ^ ((AB$2-'Input Constants'!$F$19) / 365)</f>
        <v>1.5600808246622975</v>
      </c>
      <c r="AC39" s="8">
        <f>(1+$F39) ^ ((AC$2-'Input Constants'!$F$19) / 365)</f>
        <v>1.5991910284811732</v>
      </c>
      <c r="AD39" s="8">
        <f>(1+$F39) ^ ((AD$2-'Input Constants'!$F$19) / 365)</f>
        <v>1.6391708041932025</v>
      </c>
      <c r="AE39" s="8">
        <f>(1+$F39) ^ ((AE$2-'Input Constants'!$F$19) / 365)</f>
        <v>1.6801500742980322</v>
      </c>
      <c r="AF39" s="8">
        <f>(1+$F39) ^ ((AF$2-'Input Constants'!$F$19) / 365)</f>
        <v>1.722153826155483</v>
      </c>
      <c r="AG39" s="8">
        <f>(1+$F39) ^ ((AG$2-'Input Constants'!$F$19) / 365)</f>
        <v>1.7653270939013881</v>
      </c>
      <c r="AH39" s="8">
        <f>(1+$F39) ^ ((AH$2-'Input Constants'!$F$19) / 365)</f>
        <v>1.8094602712489225</v>
      </c>
      <c r="AI39" s="8">
        <f>(1+$F39) ^ ((AI$2-'Input Constants'!$F$19) / 365)</f>
        <v>1.8546967780301453</v>
      </c>
      <c r="AJ39" s="8">
        <f>(1+$F39) ^ ((AJ$2-'Input Constants'!$F$19) / 365)</f>
        <v>1.9010641974808991</v>
      </c>
      <c r="AK39" s="8">
        <f>(1+$F39) ^ ((AK$2-'Input Constants'!$F$19) / 365)</f>
        <v>1.9487226309805481</v>
      </c>
      <c r="AL39" s="8">
        <f>(1+$F39) ^ ((AL$2-'Input Constants'!$F$19) / 365)</f>
        <v>1.9974406967550618</v>
      </c>
      <c r="AM39" s="8">
        <f>(1+$F39) ^ ((AM$2-'Input Constants'!$F$19) / 365)</f>
        <v>2.0473767141739381</v>
      </c>
      <c r="AN39" s="8">
        <f>(1+$F39) ^ ((AN$2-'Input Constants'!$F$19) / 365)</f>
        <v>2.0985611320282862</v>
      </c>
      <c r="AO39" s="8">
        <f>(1+$F39) ^ ((AO$2-'Input Constants'!$F$19) / 365)</f>
        <v>2.1511706842402769</v>
      </c>
      <c r="AP39" s="8">
        <f>(1+$F39) ^ ((AP$2-'Input Constants'!$F$19) / 365)</f>
        <v>2.204949951346284</v>
      </c>
      <c r="AQ39" s="8">
        <f>(1+$F39) ^ ((AQ$2-'Input Constants'!$F$19) / 365)</f>
        <v>2.2600737001299409</v>
      </c>
    </row>
    <row r="40" spans="5:44"/>
    <row r="41" spans="5:44">
      <c r="E41" t="str">
        <f>'Input Constants'!E31</f>
        <v>Other Operational Costs Upgrade Inflation</v>
      </c>
      <c r="F41" s="7">
        <f>'Input Constants'!F31</f>
        <v>2.5000000000000001E-2</v>
      </c>
      <c r="G41" t="str">
        <f>'Input Constants'!G31</f>
        <v>p.a.</v>
      </c>
      <c r="J41" s="8">
        <f>(1+$F41) ^ ((J$2-'Input Constants'!$F$19) / 365)</f>
        <v>1</v>
      </c>
      <c r="K41" s="8">
        <f>(1+$F41) ^ ((K$2-'Input Constants'!$F$19) / 365)</f>
        <v>1.0249999999999999</v>
      </c>
      <c r="L41" s="8">
        <f>(1+$F41) ^ ((L$2-'Input Constants'!$F$19) / 365)</f>
        <v>1.0506249999999999</v>
      </c>
      <c r="M41" s="8">
        <f>(1+$F41) ^ ((M$2-'Input Constants'!$F$19) / 365)</f>
        <v>1.0769634801848973</v>
      </c>
      <c r="N41" s="8">
        <f>(1+$F41) ^ ((N$2-'Input Constants'!$F$19) / 365)</f>
        <v>1.1038875671895196</v>
      </c>
      <c r="O41" s="8">
        <f>(1+$F41) ^ ((O$2-'Input Constants'!$F$19) / 365)</f>
        <v>1.1314847563692576</v>
      </c>
      <c r="P41" s="8">
        <f>(1+$F41) ^ ((P$2-'Input Constants'!$F$19) / 365)</f>
        <v>1.1597718752784889</v>
      </c>
      <c r="Q41" s="8">
        <f>(1+$F41) ^ ((Q$2-'Input Constants'!$F$19) / 365)</f>
        <v>1.1888465960932646</v>
      </c>
      <c r="R41" s="8">
        <f>(1+$F41) ^ ((R$2-'Input Constants'!$F$19) / 365)</f>
        <v>1.2185677609955963</v>
      </c>
      <c r="S41" s="8">
        <f>(1+$F41) ^ ((S$2-'Input Constants'!$F$19) / 365)</f>
        <v>1.249031955020486</v>
      </c>
      <c r="T41" s="8">
        <f>(1+$F41) ^ ((T$2-'Input Constants'!$F$19) / 365)</f>
        <v>1.2802577538959981</v>
      </c>
      <c r="U41" s="8">
        <f>(1+$F41) ^ ((U$2-'Input Constants'!$F$19) / 365)</f>
        <v>1.3123529767229354</v>
      </c>
      <c r="V41" s="8">
        <f>(1+$F41) ^ ((V$2-'Input Constants'!$F$19) / 365)</f>
        <v>1.3451618011410087</v>
      </c>
      <c r="W41" s="8">
        <f>(1+$F41) ^ ((W$2-'Input Constants'!$F$19) / 365)</f>
        <v>1.3787908461695337</v>
      </c>
      <c r="X41" s="8">
        <f>(1+$F41) ^ ((X$2-'Input Constants'!$F$19) / 365)</f>
        <v>1.4132606173237721</v>
      </c>
      <c r="Y41" s="8">
        <f>(1+$F41) ^ ((Y$2-'Input Constants'!$F$19) / 365)</f>
        <v>1.4486901347686054</v>
      </c>
      <c r="Z41" s="8">
        <f>(1+$F41) ^ ((Z$2-'Input Constants'!$F$19) / 365)</f>
        <v>1.4849073881378205</v>
      </c>
      <c r="AA41" s="8">
        <f>(1+$F41) ^ ((AA$2-'Input Constants'!$F$19) / 365)</f>
        <v>1.5220300728412659</v>
      </c>
      <c r="AB41" s="8">
        <f>(1+$F41) ^ ((AB$2-'Input Constants'!$F$19) / 365)</f>
        <v>1.5600808246622975</v>
      </c>
      <c r="AC41" s="8">
        <f>(1+$F41) ^ ((AC$2-'Input Constants'!$F$19) / 365)</f>
        <v>1.5991910284811732</v>
      </c>
      <c r="AD41" s="8">
        <f>(1+$F41) ^ ((AD$2-'Input Constants'!$F$19) / 365)</f>
        <v>1.6391708041932025</v>
      </c>
      <c r="AE41" s="8">
        <f>(1+$F41) ^ ((AE$2-'Input Constants'!$F$19) / 365)</f>
        <v>1.6801500742980322</v>
      </c>
      <c r="AF41" s="8">
        <f>(1+$F41) ^ ((AF$2-'Input Constants'!$F$19) / 365)</f>
        <v>1.722153826155483</v>
      </c>
      <c r="AG41" s="8">
        <f>(1+$F41) ^ ((AG$2-'Input Constants'!$F$19) / 365)</f>
        <v>1.7653270939013881</v>
      </c>
      <c r="AH41" s="8">
        <f>(1+$F41) ^ ((AH$2-'Input Constants'!$F$19) / 365)</f>
        <v>1.8094602712489225</v>
      </c>
      <c r="AI41" s="8">
        <f>(1+$F41) ^ ((AI$2-'Input Constants'!$F$19) / 365)</f>
        <v>1.8546967780301453</v>
      </c>
      <c r="AJ41" s="8">
        <f>(1+$F41) ^ ((AJ$2-'Input Constants'!$F$19) / 365)</f>
        <v>1.9010641974808991</v>
      </c>
      <c r="AK41" s="8">
        <f>(1+$F41) ^ ((AK$2-'Input Constants'!$F$19) / 365)</f>
        <v>1.9487226309805481</v>
      </c>
      <c r="AL41" s="8">
        <f>(1+$F41) ^ ((AL$2-'Input Constants'!$F$19) / 365)</f>
        <v>1.9974406967550618</v>
      </c>
      <c r="AM41" s="8">
        <f>(1+$F41) ^ ((AM$2-'Input Constants'!$F$19) / 365)</f>
        <v>2.0473767141739381</v>
      </c>
      <c r="AN41" s="8">
        <f>(1+$F41) ^ ((AN$2-'Input Constants'!$F$19) / 365)</f>
        <v>2.0985611320282862</v>
      </c>
      <c r="AO41" s="8">
        <f>(1+$F41) ^ ((AO$2-'Input Constants'!$F$19) / 365)</f>
        <v>2.1511706842402769</v>
      </c>
      <c r="AP41" s="8">
        <f>(1+$F41) ^ ((AP$2-'Input Constants'!$F$19) / 365)</f>
        <v>2.204949951346284</v>
      </c>
      <c r="AQ41" s="8">
        <f>(1+$F41) ^ ((AQ$2-'Input Constants'!$F$19) / 365)</f>
        <v>2.2600737001299409</v>
      </c>
    </row>
    <row r="42" spans="5:44"/>
    <row r="43" spans="5:44">
      <c r="E43" t="str">
        <f>'Input Constants'!E33</f>
        <v>Capital costs inflation</v>
      </c>
      <c r="F43" s="7">
        <f>'Input Constants'!F33</f>
        <v>0.01</v>
      </c>
      <c r="G43" t="str">
        <f>'Input Constants'!G33</f>
        <v>p.a.</v>
      </c>
      <c r="J43" s="8">
        <f>(1+$F43) ^ ((J$2-'Input Constants'!$F$19) / 365)</f>
        <v>1</v>
      </c>
      <c r="K43" s="8">
        <f>(1+$F43) ^ ((K$2-'Input Constants'!$F$19) / 365)</f>
        <v>1.01</v>
      </c>
      <c r="L43" s="8">
        <f>(1+$F43) ^ ((L$2-'Input Constants'!$F$19) / 365)</f>
        <v>1.0201</v>
      </c>
      <c r="M43" s="8">
        <f>(1+$F43) ^ ((M$2-'Input Constants'!$F$19) / 365)</f>
        <v>1.0303290876042965</v>
      </c>
      <c r="N43" s="8">
        <f>(1+$F43) ^ ((N$2-'Input Constants'!$F$19) / 365)</f>
        <v>1.0406323784803395</v>
      </c>
      <c r="O43" s="8">
        <f>(1+$F43) ^ ((O$2-'Input Constants'!$F$19) / 365)</f>
        <v>1.0510387022651428</v>
      </c>
      <c r="P43" s="8">
        <f>(1+$F43) ^ ((P$2-'Input Constants'!$F$19) / 365)</f>
        <v>1.0615490892877943</v>
      </c>
      <c r="Q43" s="8">
        <f>(1+$F43) ^ ((Q$2-'Input Constants'!$F$19) / 365)</f>
        <v>1.0721938090511369</v>
      </c>
      <c r="R43" s="8">
        <f>(1+$F43) ^ ((R$2-'Input Constants'!$F$19) / 365)</f>
        <v>1.0829157471416484</v>
      </c>
      <c r="S43" s="8">
        <f>(1+$F43) ^ ((S$2-'Input Constants'!$F$19) / 365)</f>
        <v>1.0937449046130649</v>
      </c>
      <c r="T43" s="8">
        <f>(1+$F43) ^ ((T$2-'Input Constants'!$F$19) / 365)</f>
        <v>1.1046823536591956</v>
      </c>
      <c r="U43" s="8">
        <f>(1+$F43) ^ ((U$2-'Input Constants'!$F$19) / 365)</f>
        <v>1.1157595937047795</v>
      </c>
      <c r="V43" s="8">
        <f>(1+$F43) ^ ((V$2-'Input Constants'!$F$19) / 365)</f>
        <v>1.1269171896418273</v>
      </c>
      <c r="W43" s="8">
        <f>(1+$F43) ^ ((W$2-'Input Constants'!$F$19) / 365)</f>
        <v>1.1381863615382457</v>
      </c>
      <c r="X43" s="8">
        <f>(1+$F43) ^ ((X$2-'Input Constants'!$F$19) / 365)</f>
        <v>1.1495682251536281</v>
      </c>
      <c r="Y43" s="8">
        <f>(1+$F43) ^ ((Y$2-'Input Constants'!$F$19) / 365)</f>
        <v>1.1610955598092618</v>
      </c>
      <c r="Z43" s="8">
        <f>(1+$F43) ^ ((Z$2-'Input Constants'!$F$19) / 365)</f>
        <v>1.1727065154073546</v>
      </c>
      <c r="AA43" s="8">
        <f>(1+$F43) ^ ((AA$2-'Input Constants'!$F$19) / 365)</f>
        <v>1.1844335805614281</v>
      </c>
      <c r="AB43" s="8">
        <f>(1+$F43) ^ ((AB$2-'Input Constants'!$F$19) / 365)</f>
        <v>1.1962779163670425</v>
      </c>
      <c r="AC43" s="8">
        <f>(1+$F43) ^ ((AC$2-'Input Constants'!$F$19) / 365)</f>
        <v>1.2082736340472735</v>
      </c>
      <c r="AD43" s="8">
        <f>(1+$F43) ^ ((AD$2-'Input Constants'!$F$19) / 365)</f>
        <v>1.2203563703877462</v>
      </c>
      <c r="AE43" s="8">
        <f>(1+$F43) ^ ((AE$2-'Input Constants'!$F$19) / 365)</f>
        <v>1.2325599340916236</v>
      </c>
      <c r="AF43" s="8">
        <f>(1+$F43) ^ ((AF$2-'Input Constants'!$F$19) / 365)</f>
        <v>1.2448855334325399</v>
      </c>
      <c r="AG43" s="8">
        <f>(1+$F43) ^ ((AG$2-'Input Constants'!$F$19) / 365)</f>
        <v>1.2573686656536973</v>
      </c>
      <c r="AH43" s="8">
        <f>(1+$F43) ^ ((AH$2-'Input Constants'!$F$19) / 365)</f>
        <v>1.2699423523102344</v>
      </c>
      <c r="AI43" s="8">
        <f>(1+$F43) ^ ((AI$2-'Input Constants'!$F$19) / 365)</f>
        <v>1.2826417758333366</v>
      </c>
      <c r="AJ43" s="8">
        <f>(1+$F43) ^ ((AJ$2-'Input Constants'!$F$19) / 365)</f>
        <v>1.2954681935916701</v>
      </c>
      <c r="AK43" s="8">
        <f>(1+$F43) ^ ((AK$2-'Input Constants'!$F$19) / 365)</f>
        <v>1.3084585451658579</v>
      </c>
      <c r="AL43" s="8">
        <f>(1+$F43) ^ ((AL$2-'Input Constants'!$F$19) / 365)</f>
        <v>1.3215431306175165</v>
      </c>
      <c r="AM43" s="8">
        <f>(1+$F43) ^ ((AM$2-'Input Constants'!$F$19) / 365)</f>
        <v>1.3347585619236915</v>
      </c>
      <c r="AN43" s="8">
        <f>(1+$F43) ^ ((AN$2-'Input Constants'!$F$19) / 365)</f>
        <v>1.3481061475429283</v>
      </c>
      <c r="AO43" s="8">
        <f>(1+$F43) ^ ((AO$2-'Input Constants'!$F$19) / 365)</f>
        <v>1.3616243279988711</v>
      </c>
      <c r="AP43" s="8">
        <f>(1+$F43) ^ ((AP$2-'Input Constants'!$F$19) / 365)</f>
        <v>1.37524057127886</v>
      </c>
      <c r="AQ43" s="8">
        <f>(1+$F43) ^ ((AQ$2-'Input Constants'!$F$19) / 365)</f>
        <v>1.3889929769916485</v>
      </c>
      <c r="AR43" s="8"/>
    </row>
    <row r="44" spans="5:44"/>
    <row r="45" spans="5:44"/>
    <row r="46" spans="5:44"/>
    <row r="47" spans="5:44"/>
    <row r="48" spans="5:44">
      <c r="J48" s="8"/>
      <c r="K48" s="8"/>
      <c r="L48" s="8"/>
      <c r="M48" s="8"/>
      <c r="N48" s="8"/>
      <c r="O48" s="8"/>
      <c r="P48" s="8"/>
      <c r="Q48" s="8"/>
      <c r="R48" s="8"/>
      <c r="S48" s="8"/>
      <c r="T48" s="8"/>
      <c r="U48" s="8"/>
      <c r="V48" s="8"/>
      <c r="W48" s="8"/>
      <c r="X48" s="8"/>
      <c r="Y48" s="8"/>
      <c r="Z48" s="8"/>
      <c r="AA48" s="8"/>
      <c r="AB48" s="8"/>
      <c r="AC48" s="8"/>
      <c r="AD48" s="8"/>
      <c r="AE48" s="8"/>
      <c r="AF48" s="8"/>
      <c r="AG48" s="8"/>
    </row>
    <row r="49" spans="5:7"/>
    <row r="50" spans="5:7"/>
    <row r="51" spans="5:7"/>
    <row r="52" spans="5:7" hidden="1">
      <c r="G52" s="7"/>
    </row>
    <row r="53" spans="5:7" hidden="1"/>
    <row r="54" spans="5:7" hidden="1"/>
    <row r="55" spans="5:7" hidden="1">
      <c r="E55" s="10"/>
      <c r="G55" s="10"/>
    </row>
    <row r="56" spans="5:7"/>
    <row r="57" spans="5:7"/>
    <row r="58" spans="5:7"/>
    <row r="59" spans="5:7"/>
    <row r="60" spans="5:7"/>
    <row r="61" spans="5:7"/>
    <row r="62" spans="5:7"/>
    <row r="63" spans="5:7"/>
    <row r="64" spans="5:7"/>
    <row r="65"/>
    <row r="66"/>
    <row r="67"/>
    <row r="68"/>
    <row r="69"/>
    <row r="70"/>
    <row r="71"/>
    <row r="72"/>
    <row r="73"/>
    <row r="74"/>
    <row r="75"/>
    <row r="76"/>
    <row r="77"/>
    <row r="78"/>
    <row r="79"/>
    <row r="80"/>
    <row r="81"/>
    <row r="82"/>
    <row r="83"/>
    <row r="84"/>
    <row r="85"/>
    <row r="86"/>
  </sheetData>
  <sheetProtection password="D033" sheet="1" objects="1" scenarios="1"/>
  <phoneticPr fontId="6" type="noConversion"/>
  <pageMargins left="0.74803149606299213" right="0.74803149606299213" top="0.98425196850393704" bottom="0.98425196850393704" header="0.51181102362204722" footer="0.51181102362204722"/>
  <pageSetup paperSize="9" scale="35" fitToWidth="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BY87"/>
  <sheetViews>
    <sheetView showGridLines="0" zoomScale="85" zoomScaleNormal="85" workbookViewId="0">
      <pane xSplit="9" ySplit="5" topLeftCell="J6" activePane="bottomRight" state="frozen"/>
      <selection activeCell="H1" sqref="H1"/>
      <selection pane="topRight" activeCell="H1" sqref="H1"/>
      <selection pane="bottomLeft" activeCell="H1" sqref="H1"/>
      <selection pane="bottomRight" activeCell="J6" sqref="J6"/>
    </sheetView>
  </sheetViews>
  <sheetFormatPr defaultColWidth="0" defaultRowHeight="12.75"/>
  <cols>
    <col min="1" max="4" width="0.85546875" customWidth="1"/>
    <col min="5" max="5" width="45.7109375" customWidth="1"/>
    <col min="6" max="7" width="11.7109375" customWidth="1"/>
    <col min="8" max="8" width="13.85546875" style="1" customWidth="1"/>
    <col min="9" max="9" width="1.42578125" customWidth="1"/>
    <col min="10" max="43" width="13.7109375" style="44" customWidth="1"/>
    <col min="44" max="44" width="13.140625" bestFit="1" customWidth="1"/>
    <col min="45" max="49" width="13.140625" hidden="1" customWidth="1"/>
    <col min="50" max="51" width="11.28515625" hidden="1" customWidth="1"/>
    <col min="52" max="68" width="0" hidden="1" customWidth="1"/>
    <col min="69" max="73" width="13.140625" hidden="1" customWidth="1"/>
    <col min="74" max="75" width="11.28515625" hidden="1" customWidth="1"/>
    <col min="76" max="77" width="0" hidden="1" customWidth="1"/>
    <col min="78" max="16384" width="9.140625" hidden="1"/>
  </cols>
  <sheetData>
    <row r="1" spans="1:51" ht="15">
      <c r="A1" s="61" t="str">
        <f>'Input Constants'!$A$1</f>
        <v>Scottish Futures Trust Model</v>
      </c>
      <c r="B1" s="61"/>
      <c r="C1" s="60"/>
      <c r="D1" s="60"/>
      <c r="E1" s="60"/>
      <c r="F1" s="6" t="s">
        <v>0</v>
      </c>
      <c r="J1" s="2">
        <f>Flags!J1</f>
        <v>41000</v>
      </c>
      <c r="K1" s="2">
        <f t="shared" ref="K1:AP1" si="0">J2+1</f>
        <v>41365</v>
      </c>
      <c r="L1" s="2">
        <f t="shared" si="0"/>
        <v>41730</v>
      </c>
      <c r="M1" s="2">
        <f t="shared" si="0"/>
        <v>42095</v>
      </c>
      <c r="N1" s="2">
        <f t="shared" si="0"/>
        <v>42461</v>
      </c>
      <c r="O1" s="2">
        <f t="shared" si="0"/>
        <v>42826</v>
      </c>
      <c r="P1" s="2">
        <f t="shared" si="0"/>
        <v>43191</v>
      </c>
      <c r="Q1" s="2">
        <f t="shared" si="0"/>
        <v>43556</v>
      </c>
      <c r="R1" s="2">
        <f t="shared" si="0"/>
        <v>43922</v>
      </c>
      <c r="S1" s="2">
        <f t="shared" si="0"/>
        <v>44287</v>
      </c>
      <c r="T1" s="2">
        <f t="shared" si="0"/>
        <v>44652</v>
      </c>
      <c r="U1" s="2">
        <f t="shared" si="0"/>
        <v>45017</v>
      </c>
      <c r="V1" s="2">
        <f t="shared" si="0"/>
        <v>45383</v>
      </c>
      <c r="W1" s="2">
        <f t="shared" si="0"/>
        <v>45748</v>
      </c>
      <c r="X1" s="2">
        <f t="shared" si="0"/>
        <v>46113</v>
      </c>
      <c r="Y1" s="2">
        <f t="shared" si="0"/>
        <v>46478</v>
      </c>
      <c r="Z1" s="2">
        <f t="shared" si="0"/>
        <v>46844</v>
      </c>
      <c r="AA1" s="2">
        <f t="shared" si="0"/>
        <v>47209</v>
      </c>
      <c r="AB1" s="2">
        <f t="shared" si="0"/>
        <v>47574</v>
      </c>
      <c r="AC1" s="2">
        <f t="shared" si="0"/>
        <v>47939</v>
      </c>
      <c r="AD1" s="2">
        <f t="shared" si="0"/>
        <v>48305</v>
      </c>
      <c r="AE1" s="2">
        <f t="shared" si="0"/>
        <v>48670</v>
      </c>
      <c r="AF1" s="2">
        <f t="shared" si="0"/>
        <v>49035</v>
      </c>
      <c r="AG1" s="2">
        <f t="shared" si="0"/>
        <v>49400</v>
      </c>
      <c r="AH1" s="2">
        <f t="shared" si="0"/>
        <v>49766</v>
      </c>
      <c r="AI1" s="2">
        <f t="shared" si="0"/>
        <v>50131</v>
      </c>
      <c r="AJ1" s="2">
        <f t="shared" si="0"/>
        <v>50496</v>
      </c>
      <c r="AK1" s="2">
        <f t="shared" si="0"/>
        <v>50861</v>
      </c>
      <c r="AL1" s="2">
        <f t="shared" si="0"/>
        <v>51227</v>
      </c>
      <c r="AM1" s="2">
        <f t="shared" si="0"/>
        <v>51592</v>
      </c>
      <c r="AN1" s="2">
        <f t="shared" si="0"/>
        <v>51957</v>
      </c>
      <c r="AO1" s="2">
        <f t="shared" si="0"/>
        <v>52322</v>
      </c>
      <c r="AP1" s="2">
        <f t="shared" si="0"/>
        <v>52688</v>
      </c>
      <c r="AQ1" s="2">
        <f t="shared" ref="AQ1" si="1">AP2+1</f>
        <v>53053</v>
      </c>
      <c r="AS1" s="3"/>
      <c r="AT1" s="3"/>
      <c r="AU1" s="3"/>
      <c r="AV1" s="3"/>
      <c r="AW1" s="3"/>
      <c r="AX1" s="3"/>
      <c r="AY1" s="3"/>
    </row>
    <row r="2" spans="1:51" ht="15">
      <c r="A2" s="61" t="str">
        <f>'Input Constants'!$A$2</f>
        <v>Scenario: Base</v>
      </c>
      <c r="B2" s="61"/>
      <c r="C2" s="60"/>
      <c r="D2" s="60"/>
      <c r="E2" s="60"/>
      <c r="F2" s="6" t="s">
        <v>1</v>
      </c>
      <c r="J2" s="2">
        <f>Flags!J2</f>
        <v>41364</v>
      </c>
      <c r="K2" s="2">
        <f>Flags!K2</f>
        <v>41729</v>
      </c>
      <c r="L2" s="2">
        <f>Flags!L2</f>
        <v>42094</v>
      </c>
      <c r="M2" s="2">
        <f>Flags!M2</f>
        <v>42460</v>
      </c>
      <c r="N2" s="2">
        <f>Flags!N2</f>
        <v>42825</v>
      </c>
      <c r="O2" s="2">
        <f>Flags!O2</f>
        <v>43190</v>
      </c>
      <c r="P2" s="2">
        <f>Flags!P2</f>
        <v>43555</v>
      </c>
      <c r="Q2" s="2">
        <f>Flags!Q2</f>
        <v>43921</v>
      </c>
      <c r="R2" s="2">
        <f>Flags!R2</f>
        <v>44286</v>
      </c>
      <c r="S2" s="2">
        <f>Flags!S2</f>
        <v>44651</v>
      </c>
      <c r="T2" s="2">
        <f>Flags!T2</f>
        <v>45016</v>
      </c>
      <c r="U2" s="2">
        <f>Flags!U2</f>
        <v>45382</v>
      </c>
      <c r="V2" s="2">
        <f>Flags!V2</f>
        <v>45747</v>
      </c>
      <c r="W2" s="2">
        <f>Flags!W2</f>
        <v>46112</v>
      </c>
      <c r="X2" s="2">
        <f>Flags!X2</f>
        <v>46477</v>
      </c>
      <c r="Y2" s="2">
        <f>Flags!Y2</f>
        <v>46843</v>
      </c>
      <c r="Z2" s="2">
        <f>Flags!Z2</f>
        <v>47208</v>
      </c>
      <c r="AA2" s="2">
        <f>Flags!AA2</f>
        <v>47573</v>
      </c>
      <c r="AB2" s="2">
        <f>Flags!AB2</f>
        <v>47938</v>
      </c>
      <c r="AC2" s="2">
        <f>Flags!AC2</f>
        <v>48304</v>
      </c>
      <c r="AD2" s="2">
        <f>Flags!AD2</f>
        <v>48669</v>
      </c>
      <c r="AE2" s="2">
        <f>Flags!AE2</f>
        <v>49034</v>
      </c>
      <c r="AF2" s="2">
        <f>Flags!AF2</f>
        <v>49399</v>
      </c>
      <c r="AG2" s="2">
        <f>Flags!AG2</f>
        <v>49765</v>
      </c>
      <c r="AH2" s="2">
        <f>Flags!AH2</f>
        <v>50130</v>
      </c>
      <c r="AI2" s="2">
        <f>Flags!AI2</f>
        <v>50495</v>
      </c>
      <c r="AJ2" s="2">
        <f>Flags!AJ2</f>
        <v>50860</v>
      </c>
      <c r="AK2" s="2">
        <f>Flags!AK2</f>
        <v>51226</v>
      </c>
      <c r="AL2" s="2">
        <f>Flags!AL2</f>
        <v>51591</v>
      </c>
      <c r="AM2" s="2">
        <f>Flags!AM2</f>
        <v>51956</v>
      </c>
      <c r="AN2" s="2">
        <f>Flags!AN2</f>
        <v>52321</v>
      </c>
      <c r="AO2" s="2">
        <f>Flags!AO2</f>
        <v>52687</v>
      </c>
      <c r="AP2" s="2">
        <f>Flags!AP2</f>
        <v>53052</v>
      </c>
      <c r="AQ2" s="2">
        <f>Flags!AQ2</f>
        <v>53417</v>
      </c>
      <c r="AS2" s="3"/>
      <c r="AT2" s="3"/>
      <c r="AU2" s="3"/>
      <c r="AV2" s="3"/>
      <c r="AW2" s="3"/>
      <c r="AX2" s="3"/>
      <c r="AY2" s="3"/>
    </row>
    <row r="3" spans="1:51">
      <c r="F3" t="str">
        <f>Flags!F3</f>
        <v>Year</v>
      </c>
      <c r="H3"/>
      <c r="J3">
        <f>Flags!J3</f>
        <v>2012</v>
      </c>
      <c r="K3">
        <f>Flags!K3</f>
        <v>2013</v>
      </c>
      <c r="L3">
        <f>Flags!L3</f>
        <v>2014</v>
      </c>
      <c r="M3">
        <f>Flags!M3</f>
        <v>2015</v>
      </c>
      <c r="N3">
        <f>Flags!N3</f>
        <v>2016</v>
      </c>
      <c r="O3">
        <f>Flags!O3</f>
        <v>2017</v>
      </c>
      <c r="P3">
        <f>Flags!P3</f>
        <v>2018</v>
      </c>
      <c r="Q3">
        <f>Flags!Q3</f>
        <v>2019</v>
      </c>
      <c r="R3">
        <f>Flags!R3</f>
        <v>2020</v>
      </c>
      <c r="S3">
        <f>Flags!S3</f>
        <v>2021</v>
      </c>
      <c r="T3">
        <f>Flags!T3</f>
        <v>2022</v>
      </c>
      <c r="U3">
        <f>Flags!U3</f>
        <v>2023</v>
      </c>
      <c r="V3">
        <f>Flags!V3</f>
        <v>2024</v>
      </c>
      <c r="W3">
        <f>Flags!W3</f>
        <v>2025</v>
      </c>
      <c r="X3">
        <f>Flags!X3</f>
        <v>2026</v>
      </c>
      <c r="Y3">
        <f>Flags!Y3</f>
        <v>2027</v>
      </c>
      <c r="Z3">
        <f>Flags!Z3</f>
        <v>2028</v>
      </c>
      <c r="AA3">
        <f>Flags!AA3</f>
        <v>2029</v>
      </c>
      <c r="AB3">
        <f>Flags!AB3</f>
        <v>2030</v>
      </c>
      <c r="AC3">
        <f>Flags!AC3</f>
        <v>2031</v>
      </c>
      <c r="AD3">
        <f>Flags!AD3</f>
        <v>2032</v>
      </c>
      <c r="AE3">
        <f>Flags!AE3</f>
        <v>2033</v>
      </c>
      <c r="AF3">
        <f>Flags!AF3</f>
        <v>2034</v>
      </c>
      <c r="AG3">
        <f>Flags!AG3</f>
        <v>2035</v>
      </c>
      <c r="AH3">
        <f>Flags!AH3</f>
        <v>2036</v>
      </c>
      <c r="AI3">
        <f>Flags!AI3</f>
        <v>2037</v>
      </c>
      <c r="AJ3">
        <f>Flags!AJ3</f>
        <v>2038</v>
      </c>
      <c r="AK3">
        <f>Flags!AK3</f>
        <v>2039</v>
      </c>
      <c r="AL3">
        <f>Flags!AL3</f>
        <v>2040</v>
      </c>
      <c r="AM3">
        <f>Flags!AM3</f>
        <v>2041</v>
      </c>
      <c r="AN3">
        <f>Flags!AN3</f>
        <v>2042</v>
      </c>
      <c r="AO3">
        <f>Flags!AO3</f>
        <v>2043</v>
      </c>
      <c r="AP3">
        <f>Flags!AP3</f>
        <v>2044</v>
      </c>
      <c r="AQ3">
        <f>Flags!AQ3</f>
        <v>2045</v>
      </c>
    </row>
    <row r="4" spans="1:51">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row>
    <row r="5" spans="1:51">
      <c r="E5" s="1" t="s">
        <v>39</v>
      </c>
      <c r="G5" s="73" t="s">
        <v>23</v>
      </c>
      <c r="H5" s="73" t="s">
        <v>24</v>
      </c>
    </row>
    <row r="7" spans="1:51" s="109" customFormat="1">
      <c r="A7" s="108" t="s">
        <v>3</v>
      </c>
      <c r="H7" s="108"/>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row>
    <row r="8" spans="1:51">
      <c r="D8" s="11" t="str">
        <f>'Input Profile'!E9</f>
        <v>Real Construction Costs:</v>
      </c>
    </row>
    <row r="9" spans="1:51">
      <c r="D9" s="1"/>
      <c r="E9" t="str">
        <f>'Input Profile'!E10</f>
        <v>Capital costs - lantern replacements</v>
      </c>
      <c r="H9" s="48">
        <f>SUM(J9:AQ9)</f>
        <v>2866000</v>
      </c>
      <c r="J9" s="44">
        <f>'Input Profile'!J10</f>
        <v>0</v>
      </c>
      <c r="K9" s="44">
        <f>'Input Profile'!K10</f>
        <v>0</v>
      </c>
      <c r="L9" s="44">
        <f>'Input Profile'!L10</f>
        <v>0</v>
      </c>
      <c r="M9" s="44">
        <f>'Input Profile'!M10</f>
        <v>2866000</v>
      </c>
      <c r="N9" s="44">
        <f>'Input Profile'!N10</f>
        <v>0</v>
      </c>
      <c r="O9" s="44">
        <f>'Input Profile'!O10</f>
        <v>0</v>
      </c>
      <c r="P9" s="44">
        <f>'Input Profile'!P10</f>
        <v>0</v>
      </c>
      <c r="Q9" s="44">
        <f>'Input Profile'!Q10</f>
        <v>0</v>
      </c>
      <c r="R9" s="44">
        <f>'Input Profile'!R10</f>
        <v>0</v>
      </c>
      <c r="S9" s="44">
        <f>'Input Profile'!S10</f>
        <v>0</v>
      </c>
      <c r="T9" s="44">
        <f>'Input Profile'!T10</f>
        <v>0</v>
      </c>
      <c r="U9" s="44">
        <f>'Input Profile'!U10</f>
        <v>0</v>
      </c>
      <c r="V9" s="44">
        <f>'Input Profile'!V10</f>
        <v>0</v>
      </c>
      <c r="W9" s="44">
        <f>'Input Profile'!W10</f>
        <v>0</v>
      </c>
      <c r="X9" s="44">
        <f>'Input Profile'!X10</f>
        <v>0</v>
      </c>
      <c r="Y9" s="44">
        <f>'Input Profile'!Y10</f>
        <v>0</v>
      </c>
      <c r="Z9" s="44">
        <f>'Input Profile'!Z10</f>
        <v>0</v>
      </c>
      <c r="AA9" s="44">
        <f>'Input Profile'!AA10</f>
        <v>0</v>
      </c>
      <c r="AB9" s="44">
        <f>'Input Profile'!AB10</f>
        <v>0</v>
      </c>
      <c r="AC9" s="44">
        <f>'Input Profile'!AC10</f>
        <v>0</v>
      </c>
      <c r="AD9" s="44">
        <f>'Input Profile'!AD10</f>
        <v>0</v>
      </c>
      <c r="AE9" s="44">
        <f>'Input Profile'!AE10</f>
        <v>0</v>
      </c>
      <c r="AF9" s="44">
        <f>'Input Profile'!AF10</f>
        <v>0</v>
      </c>
      <c r="AG9" s="44">
        <f>'Input Profile'!AG10</f>
        <v>0</v>
      </c>
      <c r="AH9" s="44">
        <f>'Input Profile'!AH10</f>
        <v>0</v>
      </c>
      <c r="AI9" s="44">
        <f>'Input Profile'!AI10</f>
        <v>0</v>
      </c>
      <c r="AJ9" s="44">
        <f>'Input Profile'!AJ10</f>
        <v>0</v>
      </c>
      <c r="AK9" s="44">
        <f>'Input Profile'!AK10</f>
        <v>0</v>
      </c>
      <c r="AL9" s="44">
        <f>'Input Profile'!AL10</f>
        <v>0</v>
      </c>
      <c r="AM9" s="44">
        <f>'Input Profile'!AM10</f>
        <v>0</v>
      </c>
      <c r="AN9" s="44">
        <f>'Input Profile'!AN10</f>
        <v>0</v>
      </c>
      <c r="AO9" s="44">
        <f>'Input Profile'!AO10</f>
        <v>0</v>
      </c>
      <c r="AP9" s="44">
        <f>'Input Profile'!AP10</f>
        <v>0</v>
      </c>
      <c r="AQ9" s="44">
        <f>'Input Profile'!AQ10</f>
        <v>0</v>
      </c>
    </row>
    <row r="10" spans="1:51">
      <c r="D10" s="1"/>
      <c r="E10" t="str">
        <f>'Input Profile'!E11</f>
        <v>Capital costs - other infrastructure (e.g. columns)</v>
      </c>
      <c r="H10" s="48">
        <f>SUM(J10:AQ10)</f>
        <v>500000</v>
      </c>
      <c r="J10" s="44">
        <f>'Input Profile'!J11</f>
        <v>0</v>
      </c>
      <c r="K10" s="44">
        <f>'Input Profile'!K11</f>
        <v>0</v>
      </c>
      <c r="L10" s="44">
        <f>'Input Profile'!L11</f>
        <v>0</v>
      </c>
      <c r="M10" s="44">
        <f>'Input Profile'!M11</f>
        <v>500000</v>
      </c>
      <c r="N10" s="44">
        <f>'Input Profile'!N11</f>
        <v>0</v>
      </c>
      <c r="O10" s="44">
        <f>'Input Profile'!O11</f>
        <v>0</v>
      </c>
      <c r="P10" s="44">
        <f>'Input Profile'!P11</f>
        <v>0</v>
      </c>
      <c r="Q10" s="44">
        <f>'Input Profile'!Q11</f>
        <v>0</v>
      </c>
      <c r="R10" s="44">
        <f>'Input Profile'!R11</f>
        <v>0</v>
      </c>
      <c r="S10" s="44">
        <f>'Input Profile'!S11</f>
        <v>0</v>
      </c>
      <c r="T10" s="44">
        <f>'Input Profile'!T11</f>
        <v>0</v>
      </c>
      <c r="U10" s="44">
        <f>'Input Profile'!U11</f>
        <v>0</v>
      </c>
      <c r="V10" s="44">
        <f>'Input Profile'!V11</f>
        <v>0</v>
      </c>
      <c r="W10" s="44">
        <f>'Input Profile'!W11</f>
        <v>0</v>
      </c>
      <c r="X10" s="44">
        <f>'Input Profile'!X11</f>
        <v>0</v>
      </c>
      <c r="Y10" s="44">
        <f>'Input Profile'!Y11</f>
        <v>0</v>
      </c>
      <c r="Z10" s="44">
        <f>'Input Profile'!Z11</f>
        <v>0</v>
      </c>
      <c r="AA10" s="44">
        <f>'Input Profile'!AA11</f>
        <v>0</v>
      </c>
      <c r="AB10" s="44">
        <f>'Input Profile'!AB11</f>
        <v>0</v>
      </c>
      <c r="AC10" s="44">
        <f>'Input Profile'!AC11</f>
        <v>0</v>
      </c>
      <c r="AD10" s="44">
        <f>'Input Profile'!AD11</f>
        <v>0</v>
      </c>
      <c r="AE10" s="44">
        <f>'Input Profile'!AE11</f>
        <v>0</v>
      </c>
      <c r="AF10" s="44">
        <f>'Input Profile'!AF11</f>
        <v>0</v>
      </c>
      <c r="AG10" s="44">
        <f>'Input Profile'!AG11</f>
        <v>0</v>
      </c>
      <c r="AH10" s="44">
        <f>'Input Profile'!AH11</f>
        <v>0</v>
      </c>
      <c r="AI10" s="44">
        <f>'Input Profile'!AI11</f>
        <v>0</v>
      </c>
      <c r="AJ10" s="44">
        <f>'Input Profile'!AJ11</f>
        <v>0</v>
      </c>
      <c r="AK10" s="44">
        <f>'Input Profile'!AK11</f>
        <v>0</v>
      </c>
      <c r="AL10" s="44">
        <f>'Input Profile'!AL11</f>
        <v>0</v>
      </c>
      <c r="AM10" s="44">
        <f>'Input Profile'!AM11</f>
        <v>0</v>
      </c>
      <c r="AN10" s="44">
        <f>'Input Profile'!AN11</f>
        <v>0</v>
      </c>
      <c r="AO10" s="44">
        <f>'Input Profile'!AO11</f>
        <v>0</v>
      </c>
      <c r="AP10" s="44">
        <f>'Input Profile'!AP11</f>
        <v>0</v>
      </c>
      <c r="AQ10" s="44">
        <f>'Input Profile'!AQ11</f>
        <v>0</v>
      </c>
    </row>
    <row r="11" spans="1:51">
      <c r="D11" s="1"/>
      <c r="E11" t="str">
        <f>'Input Profile'!E12</f>
        <v>Capital costs - other costs</v>
      </c>
      <c r="H11" s="105">
        <f>SUM(J11:AQ11)</f>
        <v>0</v>
      </c>
      <c r="J11" s="44">
        <f>'Input Profile'!J12</f>
        <v>0</v>
      </c>
      <c r="K11" s="44">
        <f>'Input Profile'!K12</f>
        <v>0</v>
      </c>
      <c r="L11" s="44">
        <f>'Input Profile'!L12</f>
        <v>0</v>
      </c>
      <c r="M11" s="44">
        <f>'Input Profile'!M12</f>
        <v>0</v>
      </c>
      <c r="N11" s="44">
        <f>'Input Profile'!N12</f>
        <v>0</v>
      </c>
      <c r="O11" s="44">
        <f>'Input Profile'!O12</f>
        <v>0</v>
      </c>
      <c r="P11" s="44">
        <f>'Input Profile'!P12</f>
        <v>0</v>
      </c>
      <c r="Q11" s="44">
        <f>'Input Profile'!Q12</f>
        <v>0</v>
      </c>
      <c r="R11" s="44">
        <f>'Input Profile'!R12</f>
        <v>0</v>
      </c>
      <c r="S11" s="44">
        <f>'Input Profile'!S12</f>
        <v>0</v>
      </c>
      <c r="T11" s="44">
        <f>'Input Profile'!T12</f>
        <v>0</v>
      </c>
      <c r="U11" s="44">
        <f>'Input Profile'!U12</f>
        <v>0</v>
      </c>
      <c r="V11" s="44">
        <f>'Input Profile'!V12</f>
        <v>0</v>
      </c>
      <c r="W11" s="44">
        <f>'Input Profile'!W12</f>
        <v>0</v>
      </c>
      <c r="X11" s="44">
        <f>'Input Profile'!X12</f>
        <v>0</v>
      </c>
      <c r="Y11" s="44">
        <f>'Input Profile'!Y12</f>
        <v>0</v>
      </c>
      <c r="Z11" s="44">
        <f>'Input Profile'!Z12</f>
        <v>0</v>
      </c>
      <c r="AA11" s="44">
        <f>'Input Profile'!AA12</f>
        <v>0</v>
      </c>
      <c r="AB11" s="44">
        <f>'Input Profile'!AB12</f>
        <v>0</v>
      </c>
      <c r="AC11" s="44">
        <f>'Input Profile'!AC12</f>
        <v>0</v>
      </c>
      <c r="AD11" s="44">
        <f>'Input Profile'!AD12</f>
        <v>0</v>
      </c>
      <c r="AE11" s="44">
        <f>'Input Profile'!AE12</f>
        <v>0</v>
      </c>
      <c r="AF11" s="44">
        <f>'Input Profile'!AF12</f>
        <v>0</v>
      </c>
      <c r="AG11" s="44">
        <f>'Input Profile'!AG12</f>
        <v>0</v>
      </c>
      <c r="AH11" s="44">
        <f>'Input Profile'!AH12</f>
        <v>0</v>
      </c>
      <c r="AI11" s="44">
        <f>'Input Profile'!AI12</f>
        <v>0</v>
      </c>
      <c r="AJ11" s="44">
        <f>'Input Profile'!AJ12</f>
        <v>0</v>
      </c>
      <c r="AK11" s="44">
        <f>'Input Profile'!AK12</f>
        <v>0</v>
      </c>
      <c r="AL11" s="44">
        <f>'Input Profile'!AL12</f>
        <v>0</v>
      </c>
      <c r="AM11" s="44">
        <f>'Input Profile'!AM12</f>
        <v>0</v>
      </c>
      <c r="AN11" s="44">
        <f>'Input Profile'!AN12</f>
        <v>0</v>
      </c>
      <c r="AO11" s="44">
        <f>'Input Profile'!AO12</f>
        <v>0</v>
      </c>
      <c r="AP11" s="44">
        <f>'Input Profile'!AP12</f>
        <v>0</v>
      </c>
      <c r="AQ11" s="44">
        <f>'Input Profile'!AQ12</f>
        <v>0</v>
      </c>
    </row>
    <row r="12" spans="1:51">
      <c r="D12" s="1"/>
      <c r="E12" t="s">
        <v>103</v>
      </c>
      <c r="H12" s="105">
        <f>SUM(J12:AQ12)</f>
        <v>3366000</v>
      </c>
      <c r="J12" s="107">
        <f>SUM(J9:J11)</f>
        <v>0</v>
      </c>
      <c r="K12" s="107">
        <f t="shared" ref="K12:AQ12" si="2">SUM(K9:K11)</f>
        <v>0</v>
      </c>
      <c r="L12" s="107">
        <f t="shared" si="2"/>
        <v>0</v>
      </c>
      <c r="M12" s="107">
        <f t="shared" si="2"/>
        <v>3366000</v>
      </c>
      <c r="N12" s="107">
        <f t="shared" si="2"/>
        <v>0</v>
      </c>
      <c r="O12" s="107">
        <f t="shared" si="2"/>
        <v>0</v>
      </c>
      <c r="P12" s="107">
        <f t="shared" si="2"/>
        <v>0</v>
      </c>
      <c r="Q12" s="107">
        <f t="shared" si="2"/>
        <v>0</v>
      </c>
      <c r="R12" s="107">
        <f t="shared" si="2"/>
        <v>0</v>
      </c>
      <c r="S12" s="107">
        <f t="shared" si="2"/>
        <v>0</v>
      </c>
      <c r="T12" s="107">
        <f t="shared" si="2"/>
        <v>0</v>
      </c>
      <c r="U12" s="107">
        <f t="shared" si="2"/>
        <v>0</v>
      </c>
      <c r="V12" s="107">
        <f t="shared" si="2"/>
        <v>0</v>
      </c>
      <c r="W12" s="107">
        <f t="shared" si="2"/>
        <v>0</v>
      </c>
      <c r="X12" s="107">
        <f t="shared" si="2"/>
        <v>0</v>
      </c>
      <c r="Y12" s="107">
        <f t="shared" si="2"/>
        <v>0</v>
      </c>
      <c r="Z12" s="107">
        <f t="shared" si="2"/>
        <v>0</v>
      </c>
      <c r="AA12" s="107">
        <f t="shared" si="2"/>
        <v>0</v>
      </c>
      <c r="AB12" s="107">
        <f t="shared" si="2"/>
        <v>0</v>
      </c>
      <c r="AC12" s="107">
        <f t="shared" si="2"/>
        <v>0</v>
      </c>
      <c r="AD12" s="107">
        <f t="shared" si="2"/>
        <v>0</v>
      </c>
      <c r="AE12" s="107">
        <f t="shared" si="2"/>
        <v>0</v>
      </c>
      <c r="AF12" s="107">
        <f t="shared" si="2"/>
        <v>0</v>
      </c>
      <c r="AG12" s="107">
        <f t="shared" si="2"/>
        <v>0</v>
      </c>
      <c r="AH12" s="107">
        <f t="shared" si="2"/>
        <v>0</v>
      </c>
      <c r="AI12" s="107">
        <f t="shared" si="2"/>
        <v>0</v>
      </c>
      <c r="AJ12" s="107">
        <f t="shared" si="2"/>
        <v>0</v>
      </c>
      <c r="AK12" s="107">
        <f t="shared" si="2"/>
        <v>0</v>
      </c>
      <c r="AL12" s="107">
        <f t="shared" si="2"/>
        <v>0</v>
      </c>
      <c r="AM12" s="107">
        <f t="shared" si="2"/>
        <v>0</v>
      </c>
      <c r="AN12" s="107">
        <f t="shared" si="2"/>
        <v>0</v>
      </c>
      <c r="AO12" s="107">
        <f t="shared" si="2"/>
        <v>0</v>
      </c>
      <c r="AP12" s="107">
        <f t="shared" si="2"/>
        <v>0</v>
      </c>
      <c r="AQ12" s="107">
        <f t="shared" si="2"/>
        <v>0</v>
      </c>
    </row>
    <row r="13" spans="1:51">
      <c r="D13" s="1"/>
      <c r="H13" s="106"/>
    </row>
    <row r="14" spans="1:51">
      <c r="D14" s="1"/>
      <c r="E14" t="str">
        <f>Flags!E43</f>
        <v>Capital costs inflation</v>
      </c>
      <c r="F14" s="17">
        <f>Flags!F43</f>
        <v>0.01</v>
      </c>
      <c r="G14" t="str">
        <f>Flags!G43</f>
        <v>p.a.</v>
      </c>
      <c r="H14" s="106"/>
      <c r="J14" s="72">
        <f>Flags!J43</f>
        <v>1</v>
      </c>
      <c r="K14" s="72">
        <f>Flags!K43</f>
        <v>1.01</v>
      </c>
      <c r="L14" s="72">
        <f>Flags!L43</f>
        <v>1.0201</v>
      </c>
      <c r="M14" s="72">
        <f>Flags!M43</f>
        <v>1.0303290876042965</v>
      </c>
      <c r="N14" s="72">
        <f>Flags!N43</f>
        <v>1.0406323784803395</v>
      </c>
      <c r="O14" s="72">
        <f>Flags!O43</f>
        <v>1.0510387022651428</v>
      </c>
      <c r="P14" s="72">
        <f>Flags!P43</f>
        <v>1.0615490892877943</v>
      </c>
      <c r="Q14" s="72">
        <f>Flags!Q43</f>
        <v>1.0721938090511369</v>
      </c>
      <c r="R14" s="72">
        <f>Flags!R43</f>
        <v>1.0829157471416484</v>
      </c>
      <c r="S14" s="72">
        <f>Flags!S43</f>
        <v>1.0937449046130649</v>
      </c>
      <c r="T14" s="72">
        <f>Flags!T43</f>
        <v>1.1046823536591956</v>
      </c>
      <c r="U14" s="72">
        <f>Flags!U43</f>
        <v>1.1157595937047795</v>
      </c>
      <c r="V14" s="72">
        <f>Flags!V43</f>
        <v>1.1269171896418273</v>
      </c>
      <c r="W14" s="72">
        <f>Flags!W43</f>
        <v>1.1381863615382457</v>
      </c>
      <c r="X14" s="72">
        <f>Flags!X43</f>
        <v>1.1495682251536281</v>
      </c>
      <c r="Y14" s="72">
        <f>Flags!Y43</f>
        <v>1.1610955598092618</v>
      </c>
      <c r="Z14" s="72">
        <f>Flags!Z43</f>
        <v>1.1727065154073546</v>
      </c>
      <c r="AA14" s="72">
        <f>Flags!AA43</f>
        <v>1.1844335805614281</v>
      </c>
      <c r="AB14" s="72">
        <f>Flags!AB43</f>
        <v>1.1962779163670425</v>
      </c>
      <c r="AC14" s="72">
        <f>Flags!AC43</f>
        <v>1.2082736340472735</v>
      </c>
      <c r="AD14" s="72">
        <f>Flags!AD43</f>
        <v>1.2203563703877462</v>
      </c>
      <c r="AE14" s="72">
        <f>Flags!AE43</f>
        <v>1.2325599340916236</v>
      </c>
      <c r="AF14" s="72">
        <f>Flags!AF43</f>
        <v>1.2448855334325399</v>
      </c>
      <c r="AG14" s="72">
        <f>Flags!AG43</f>
        <v>1.2573686656536973</v>
      </c>
      <c r="AH14" s="72">
        <f>Flags!AH43</f>
        <v>1.2699423523102344</v>
      </c>
      <c r="AI14" s="72">
        <f>Flags!AI43</f>
        <v>1.2826417758333366</v>
      </c>
      <c r="AJ14" s="72">
        <f>Flags!AJ43</f>
        <v>1.2954681935916701</v>
      </c>
      <c r="AK14" s="72">
        <f>Flags!AK43</f>
        <v>1.3084585451658579</v>
      </c>
      <c r="AL14" s="72">
        <f>Flags!AL43</f>
        <v>1.3215431306175165</v>
      </c>
      <c r="AM14" s="72">
        <f>Flags!AM43</f>
        <v>1.3347585619236915</v>
      </c>
      <c r="AN14" s="72">
        <f>Flags!AN43</f>
        <v>1.3481061475429283</v>
      </c>
      <c r="AO14" s="72">
        <f>Flags!AO43</f>
        <v>1.3616243279988711</v>
      </c>
      <c r="AP14" s="72">
        <f>Flags!AP43</f>
        <v>1.37524057127886</v>
      </c>
      <c r="AQ14" s="72">
        <f>Flags!AQ43</f>
        <v>1.3889929769916485</v>
      </c>
    </row>
    <row r="15" spans="1:51">
      <c r="D15" s="1"/>
      <c r="H15" s="106"/>
      <c r="M15" s="104"/>
    </row>
    <row r="16" spans="1:51">
      <c r="D16" s="59" t="s">
        <v>44</v>
      </c>
      <c r="H16" s="106"/>
      <c r="J16"/>
      <c r="K16"/>
      <c r="L16"/>
      <c r="M16"/>
      <c r="N16"/>
      <c r="O16"/>
      <c r="P16"/>
      <c r="Q16"/>
      <c r="R16"/>
      <c r="S16"/>
      <c r="T16"/>
      <c r="U16"/>
      <c r="V16"/>
      <c r="W16"/>
      <c r="X16"/>
      <c r="Y16"/>
      <c r="Z16"/>
      <c r="AA16"/>
      <c r="AB16"/>
      <c r="AC16"/>
      <c r="AD16"/>
      <c r="AE16"/>
      <c r="AF16"/>
      <c r="AG16"/>
      <c r="AH16"/>
      <c r="AI16"/>
      <c r="AJ16"/>
      <c r="AK16"/>
      <c r="AL16"/>
      <c r="AM16"/>
      <c r="AN16"/>
      <c r="AO16"/>
      <c r="AP16"/>
      <c r="AQ16"/>
    </row>
    <row r="17" spans="1:44">
      <c r="E17" t="str">
        <f>'Input Profile'!E10</f>
        <v>Capital costs - lantern replacements</v>
      </c>
      <c r="H17" s="105">
        <f>SUM(J17:AQ17)</f>
        <v>2952923.165073914</v>
      </c>
      <c r="I17" s="44"/>
      <c r="J17" s="70">
        <f>J9 * J$14</f>
        <v>0</v>
      </c>
      <c r="K17" s="70">
        <f t="shared" ref="K17:AQ17" si="3">K9 * K$14</f>
        <v>0</v>
      </c>
      <c r="L17" s="70">
        <f t="shared" si="3"/>
        <v>0</v>
      </c>
      <c r="M17" s="70">
        <f t="shared" si="3"/>
        <v>2952923.165073914</v>
      </c>
      <c r="N17" s="70">
        <f t="shared" si="3"/>
        <v>0</v>
      </c>
      <c r="O17" s="70">
        <f t="shared" si="3"/>
        <v>0</v>
      </c>
      <c r="P17" s="70">
        <f t="shared" si="3"/>
        <v>0</v>
      </c>
      <c r="Q17" s="70">
        <f t="shared" si="3"/>
        <v>0</v>
      </c>
      <c r="R17" s="70">
        <f t="shared" si="3"/>
        <v>0</v>
      </c>
      <c r="S17" s="70">
        <f t="shared" si="3"/>
        <v>0</v>
      </c>
      <c r="T17" s="70">
        <f t="shared" si="3"/>
        <v>0</v>
      </c>
      <c r="U17" s="70">
        <f t="shared" si="3"/>
        <v>0</v>
      </c>
      <c r="V17" s="70">
        <f t="shared" si="3"/>
        <v>0</v>
      </c>
      <c r="W17" s="70">
        <f t="shared" si="3"/>
        <v>0</v>
      </c>
      <c r="X17" s="70">
        <f t="shared" si="3"/>
        <v>0</v>
      </c>
      <c r="Y17" s="70">
        <f t="shared" si="3"/>
        <v>0</v>
      </c>
      <c r="Z17" s="70">
        <f t="shared" si="3"/>
        <v>0</v>
      </c>
      <c r="AA17" s="70">
        <f t="shared" si="3"/>
        <v>0</v>
      </c>
      <c r="AB17" s="70">
        <f t="shared" si="3"/>
        <v>0</v>
      </c>
      <c r="AC17" s="70">
        <f t="shared" si="3"/>
        <v>0</v>
      </c>
      <c r="AD17" s="70">
        <f t="shared" si="3"/>
        <v>0</v>
      </c>
      <c r="AE17" s="70">
        <f t="shared" si="3"/>
        <v>0</v>
      </c>
      <c r="AF17" s="70">
        <f t="shared" si="3"/>
        <v>0</v>
      </c>
      <c r="AG17" s="70">
        <f t="shared" si="3"/>
        <v>0</v>
      </c>
      <c r="AH17" s="70">
        <f t="shared" si="3"/>
        <v>0</v>
      </c>
      <c r="AI17" s="70">
        <f t="shared" si="3"/>
        <v>0</v>
      </c>
      <c r="AJ17" s="70">
        <f t="shared" si="3"/>
        <v>0</v>
      </c>
      <c r="AK17" s="70">
        <f t="shared" si="3"/>
        <v>0</v>
      </c>
      <c r="AL17" s="70">
        <f t="shared" si="3"/>
        <v>0</v>
      </c>
      <c r="AM17" s="70">
        <f t="shared" si="3"/>
        <v>0</v>
      </c>
      <c r="AN17" s="70">
        <f t="shared" si="3"/>
        <v>0</v>
      </c>
      <c r="AO17" s="70">
        <f t="shared" si="3"/>
        <v>0</v>
      </c>
      <c r="AP17" s="70">
        <f t="shared" si="3"/>
        <v>0</v>
      </c>
      <c r="AQ17" s="70">
        <f t="shared" si="3"/>
        <v>0</v>
      </c>
    </row>
    <row r="18" spans="1:44">
      <c r="E18" t="str">
        <f>'Input Profile'!E11</f>
        <v>Capital costs - other infrastructure (e.g. columns)</v>
      </c>
      <c r="H18" s="105">
        <f>SUM(J18:AQ18)</f>
        <v>515164.54380214826</v>
      </c>
      <c r="I18" s="44"/>
      <c r="J18" s="70">
        <f t="shared" ref="J18:AQ18" si="4">J10 * J$14</f>
        <v>0</v>
      </c>
      <c r="K18" s="70">
        <f t="shared" si="4"/>
        <v>0</v>
      </c>
      <c r="L18" s="70">
        <f t="shared" si="4"/>
        <v>0</v>
      </c>
      <c r="M18" s="70">
        <f t="shared" si="4"/>
        <v>515164.54380214826</v>
      </c>
      <c r="N18" s="70">
        <f t="shared" si="4"/>
        <v>0</v>
      </c>
      <c r="O18" s="70">
        <f t="shared" si="4"/>
        <v>0</v>
      </c>
      <c r="P18" s="70">
        <f t="shared" si="4"/>
        <v>0</v>
      </c>
      <c r="Q18" s="70">
        <f t="shared" si="4"/>
        <v>0</v>
      </c>
      <c r="R18" s="70">
        <f t="shared" si="4"/>
        <v>0</v>
      </c>
      <c r="S18" s="70">
        <f t="shared" si="4"/>
        <v>0</v>
      </c>
      <c r="T18" s="70">
        <f t="shared" si="4"/>
        <v>0</v>
      </c>
      <c r="U18" s="70">
        <f t="shared" si="4"/>
        <v>0</v>
      </c>
      <c r="V18" s="70">
        <f t="shared" si="4"/>
        <v>0</v>
      </c>
      <c r="W18" s="70">
        <f t="shared" si="4"/>
        <v>0</v>
      </c>
      <c r="X18" s="70">
        <f t="shared" si="4"/>
        <v>0</v>
      </c>
      <c r="Y18" s="70">
        <f t="shared" si="4"/>
        <v>0</v>
      </c>
      <c r="Z18" s="70">
        <f t="shared" si="4"/>
        <v>0</v>
      </c>
      <c r="AA18" s="70">
        <f t="shared" si="4"/>
        <v>0</v>
      </c>
      <c r="AB18" s="70">
        <f t="shared" si="4"/>
        <v>0</v>
      </c>
      <c r="AC18" s="70">
        <f t="shared" si="4"/>
        <v>0</v>
      </c>
      <c r="AD18" s="70">
        <f t="shared" si="4"/>
        <v>0</v>
      </c>
      <c r="AE18" s="70">
        <f t="shared" si="4"/>
        <v>0</v>
      </c>
      <c r="AF18" s="70">
        <f t="shared" si="4"/>
        <v>0</v>
      </c>
      <c r="AG18" s="70">
        <f t="shared" si="4"/>
        <v>0</v>
      </c>
      <c r="AH18" s="70">
        <f t="shared" si="4"/>
        <v>0</v>
      </c>
      <c r="AI18" s="70">
        <f t="shared" si="4"/>
        <v>0</v>
      </c>
      <c r="AJ18" s="70">
        <f t="shared" si="4"/>
        <v>0</v>
      </c>
      <c r="AK18" s="70">
        <f t="shared" si="4"/>
        <v>0</v>
      </c>
      <c r="AL18" s="70">
        <f t="shared" si="4"/>
        <v>0</v>
      </c>
      <c r="AM18" s="70">
        <f t="shared" si="4"/>
        <v>0</v>
      </c>
      <c r="AN18" s="70">
        <f t="shared" si="4"/>
        <v>0</v>
      </c>
      <c r="AO18" s="70">
        <f t="shared" si="4"/>
        <v>0</v>
      </c>
      <c r="AP18" s="70">
        <f t="shared" si="4"/>
        <v>0</v>
      </c>
      <c r="AQ18" s="70">
        <f t="shared" si="4"/>
        <v>0</v>
      </c>
    </row>
    <row r="19" spans="1:44">
      <c r="E19" t="str">
        <f>'Input Profile'!E12</f>
        <v>Capital costs - other costs</v>
      </c>
      <c r="H19" s="105">
        <f>SUM(J19:AQ19)</f>
        <v>0</v>
      </c>
      <c r="I19" s="44"/>
      <c r="J19" s="70">
        <f t="shared" ref="J19:AQ19" si="5">J11 * J$14</f>
        <v>0</v>
      </c>
      <c r="K19" s="70">
        <f t="shared" si="5"/>
        <v>0</v>
      </c>
      <c r="L19" s="70">
        <f t="shared" si="5"/>
        <v>0</v>
      </c>
      <c r="M19" s="70">
        <f t="shared" si="5"/>
        <v>0</v>
      </c>
      <c r="N19" s="70">
        <f t="shared" si="5"/>
        <v>0</v>
      </c>
      <c r="O19" s="70">
        <f t="shared" si="5"/>
        <v>0</v>
      </c>
      <c r="P19" s="70">
        <f t="shared" si="5"/>
        <v>0</v>
      </c>
      <c r="Q19" s="70">
        <f t="shared" si="5"/>
        <v>0</v>
      </c>
      <c r="R19" s="70">
        <f t="shared" si="5"/>
        <v>0</v>
      </c>
      <c r="S19" s="70">
        <f t="shared" si="5"/>
        <v>0</v>
      </c>
      <c r="T19" s="70">
        <f t="shared" si="5"/>
        <v>0</v>
      </c>
      <c r="U19" s="70">
        <f t="shared" si="5"/>
        <v>0</v>
      </c>
      <c r="V19" s="70">
        <f t="shared" si="5"/>
        <v>0</v>
      </c>
      <c r="W19" s="70">
        <f t="shared" si="5"/>
        <v>0</v>
      </c>
      <c r="X19" s="70">
        <f t="shared" si="5"/>
        <v>0</v>
      </c>
      <c r="Y19" s="70">
        <f t="shared" si="5"/>
        <v>0</v>
      </c>
      <c r="Z19" s="70">
        <f t="shared" si="5"/>
        <v>0</v>
      </c>
      <c r="AA19" s="70">
        <f t="shared" si="5"/>
        <v>0</v>
      </c>
      <c r="AB19" s="70">
        <f t="shared" si="5"/>
        <v>0</v>
      </c>
      <c r="AC19" s="70">
        <f t="shared" si="5"/>
        <v>0</v>
      </c>
      <c r="AD19" s="70">
        <f t="shared" si="5"/>
        <v>0</v>
      </c>
      <c r="AE19" s="70">
        <f t="shared" si="5"/>
        <v>0</v>
      </c>
      <c r="AF19" s="70">
        <f t="shared" si="5"/>
        <v>0</v>
      </c>
      <c r="AG19" s="70">
        <f t="shared" si="5"/>
        <v>0</v>
      </c>
      <c r="AH19" s="70">
        <f t="shared" si="5"/>
        <v>0</v>
      </c>
      <c r="AI19" s="70">
        <f t="shared" si="5"/>
        <v>0</v>
      </c>
      <c r="AJ19" s="70">
        <f t="shared" si="5"/>
        <v>0</v>
      </c>
      <c r="AK19" s="70">
        <f t="shared" si="5"/>
        <v>0</v>
      </c>
      <c r="AL19" s="70">
        <f t="shared" si="5"/>
        <v>0</v>
      </c>
      <c r="AM19" s="70">
        <f t="shared" si="5"/>
        <v>0</v>
      </c>
      <c r="AN19" s="70">
        <f t="shared" si="5"/>
        <v>0</v>
      </c>
      <c r="AO19" s="70">
        <f t="shared" si="5"/>
        <v>0</v>
      </c>
      <c r="AP19" s="70">
        <f t="shared" si="5"/>
        <v>0</v>
      </c>
      <c r="AQ19" s="70">
        <f t="shared" si="5"/>
        <v>0</v>
      </c>
    </row>
    <row r="20" spans="1:44">
      <c r="E20" s="18" t="s">
        <v>46</v>
      </c>
      <c r="H20" s="105">
        <f>SUM(J20:AQ20)</f>
        <v>3468087.7088760622</v>
      </c>
      <c r="I20" s="44"/>
      <c r="J20" s="107">
        <f t="shared" ref="J20:AO20" si="6">SUM(J17:J19)</f>
        <v>0</v>
      </c>
      <c r="K20" s="107">
        <f t="shared" si="6"/>
        <v>0</v>
      </c>
      <c r="L20" s="107">
        <f t="shared" si="6"/>
        <v>0</v>
      </c>
      <c r="M20" s="107">
        <f t="shared" si="6"/>
        <v>3468087.7088760622</v>
      </c>
      <c r="N20" s="107">
        <f t="shared" si="6"/>
        <v>0</v>
      </c>
      <c r="O20" s="107">
        <f t="shared" si="6"/>
        <v>0</v>
      </c>
      <c r="P20" s="107">
        <f t="shared" si="6"/>
        <v>0</v>
      </c>
      <c r="Q20" s="107">
        <f t="shared" si="6"/>
        <v>0</v>
      </c>
      <c r="R20" s="107">
        <f t="shared" si="6"/>
        <v>0</v>
      </c>
      <c r="S20" s="107">
        <f t="shared" si="6"/>
        <v>0</v>
      </c>
      <c r="T20" s="107">
        <f t="shared" si="6"/>
        <v>0</v>
      </c>
      <c r="U20" s="107">
        <f t="shared" si="6"/>
        <v>0</v>
      </c>
      <c r="V20" s="107">
        <f t="shared" si="6"/>
        <v>0</v>
      </c>
      <c r="W20" s="107">
        <f t="shared" si="6"/>
        <v>0</v>
      </c>
      <c r="X20" s="107">
        <f t="shared" si="6"/>
        <v>0</v>
      </c>
      <c r="Y20" s="107">
        <f t="shared" si="6"/>
        <v>0</v>
      </c>
      <c r="Z20" s="107">
        <f t="shared" si="6"/>
        <v>0</v>
      </c>
      <c r="AA20" s="107">
        <f t="shared" si="6"/>
        <v>0</v>
      </c>
      <c r="AB20" s="107">
        <f t="shared" si="6"/>
        <v>0</v>
      </c>
      <c r="AC20" s="107">
        <f t="shared" si="6"/>
        <v>0</v>
      </c>
      <c r="AD20" s="107">
        <f t="shared" si="6"/>
        <v>0</v>
      </c>
      <c r="AE20" s="107">
        <f t="shared" si="6"/>
        <v>0</v>
      </c>
      <c r="AF20" s="107">
        <f t="shared" si="6"/>
        <v>0</v>
      </c>
      <c r="AG20" s="107">
        <f t="shared" si="6"/>
        <v>0</v>
      </c>
      <c r="AH20" s="107">
        <f t="shared" si="6"/>
        <v>0</v>
      </c>
      <c r="AI20" s="107">
        <f t="shared" si="6"/>
        <v>0</v>
      </c>
      <c r="AJ20" s="107">
        <f t="shared" si="6"/>
        <v>0</v>
      </c>
      <c r="AK20" s="107">
        <f t="shared" si="6"/>
        <v>0</v>
      </c>
      <c r="AL20" s="107">
        <f t="shared" si="6"/>
        <v>0</v>
      </c>
      <c r="AM20" s="107">
        <f t="shared" si="6"/>
        <v>0</v>
      </c>
      <c r="AN20" s="107">
        <f t="shared" si="6"/>
        <v>0</v>
      </c>
      <c r="AO20" s="107">
        <f t="shared" si="6"/>
        <v>0</v>
      </c>
      <c r="AP20" s="107">
        <f t="shared" ref="AP20:AQ20" si="7">SUM(AP17:AP19)</f>
        <v>0</v>
      </c>
      <c r="AQ20" s="107">
        <f t="shared" si="7"/>
        <v>0</v>
      </c>
    </row>
    <row r="21" spans="1:44">
      <c r="H21" s="105"/>
      <c r="I21" s="44"/>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row>
    <row r="22" spans="1:44">
      <c r="E22" t="s">
        <v>225</v>
      </c>
      <c r="H22" s="105"/>
      <c r="I22" s="44"/>
      <c r="J22" s="47">
        <f>SUM($J20:J20)</f>
        <v>0</v>
      </c>
      <c r="K22" s="47">
        <f>SUM($J20:K20)</f>
        <v>0</v>
      </c>
      <c r="L22" s="47">
        <f>SUM($J20:L20)</f>
        <v>0</v>
      </c>
      <c r="M22" s="47">
        <f>SUM($J20:M20)</f>
        <v>3468087.7088760622</v>
      </c>
      <c r="N22" s="47">
        <f>SUM($J20:N20)</f>
        <v>3468087.7088760622</v>
      </c>
      <c r="O22" s="47">
        <f>SUM($J20:O20)</f>
        <v>3468087.7088760622</v>
      </c>
      <c r="P22" s="47">
        <f>SUM($J20:P20)</f>
        <v>3468087.7088760622</v>
      </c>
      <c r="Q22" s="47">
        <f>SUM($J20:Q20)</f>
        <v>3468087.7088760622</v>
      </c>
      <c r="R22" s="47">
        <f>SUM($J20:R20)</f>
        <v>3468087.7088760622</v>
      </c>
      <c r="S22" s="47">
        <f>SUM($J20:S20)</f>
        <v>3468087.7088760622</v>
      </c>
      <c r="T22" s="47">
        <f>SUM($J20:T20)</f>
        <v>3468087.7088760622</v>
      </c>
      <c r="U22" s="47">
        <f>SUM($J20:U20)</f>
        <v>3468087.7088760622</v>
      </c>
      <c r="V22" s="47">
        <f>SUM($J20:V20)</f>
        <v>3468087.7088760622</v>
      </c>
      <c r="W22" s="47">
        <f>SUM($J20:W20)</f>
        <v>3468087.7088760622</v>
      </c>
      <c r="X22" s="47">
        <f>SUM($J20:X20)</f>
        <v>3468087.7088760622</v>
      </c>
      <c r="Y22" s="47">
        <f>SUM($J20:Y20)</f>
        <v>3468087.7088760622</v>
      </c>
      <c r="Z22" s="47">
        <f>SUM($J20:Z20)</f>
        <v>3468087.7088760622</v>
      </c>
      <c r="AA22" s="47">
        <f>SUM($J20:AA20)</f>
        <v>3468087.7088760622</v>
      </c>
      <c r="AB22" s="47">
        <f>SUM($J20:AB20)</f>
        <v>3468087.7088760622</v>
      </c>
      <c r="AC22" s="47">
        <f>SUM($J20:AC20)</f>
        <v>3468087.7088760622</v>
      </c>
      <c r="AD22" s="47">
        <f>SUM($J20:AD20)</f>
        <v>3468087.7088760622</v>
      </c>
      <c r="AE22" s="47">
        <f>SUM($J20:AE20)</f>
        <v>3468087.7088760622</v>
      </c>
      <c r="AF22" s="47">
        <f>SUM($J20:AF20)</f>
        <v>3468087.7088760622</v>
      </c>
      <c r="AG22" s="47">
        <f>SUM($J20:AG20)</f>
        <v>3468087.7088760622</v>
      </c>
      <c r="AH22" s="47">
        <f>SUM($J20:AH20)</f>
        <v>3468087.7088760622</v>
      </c>
      <c r="AI22" s="47">
        <f>SUM($J20:AI20)</f>
        <v>3468087.7088760622</v>
      </c>
      <c r="AJ22" s="47">
        <f>SUM($J20:AJ20)</f>
        <v>3468087.7088760622</v>
      </c>
      <c r="AK22" s="47">
        <f>SUM($J20:AK20)</f>
        <v>3468087.7088760622</v>
      </c>
      <c r="AL22" s="47">
        <f>SUM($J20:AL20)</f>
        <v>3468087.7088760622</v>
      </c>
      <c r="AM22" s="47">
        <f>SUM($J20:AM20)</f>
        <v>3468087.7088760622</v>
      </c>
      <c r="AN22" s="47">
        <f>SUM($J20:AN20)</f>
        <v>3468087.7088760622</v>
      </c>
      <c r="AO22" s="47">
        <f>SUM($J20:AO20)</f>
        <v>3468087.7088760622</v>
      </c>
      <c r="AP22" s="47">
        <f>SUM($J20:AP20)</f>
        <v>3468087.7088760622</v>
      </c>
      <c r="AQ22" s="47">
        <f>SUM($J20:AQ20)</f>
        <v>3468087.7088760622</v>
      </c>
    </row>
    <row r="23" spans="1:44">
      <c r="E23" t="str">
        <f>Workings!E$20 &amp; " POS"</f>
        <v>Total Nominal Construction POS</v>
      </c>
      <c r="H23" s="48">
        <f>SUM(J23:AQ23)</f>
        <v>3468087.7088760622</v>
      </c>
      <c r="J23" s="44">
        <f>Workings!J$20</f>
        <v>0</v>
      </c>
      <c r="K23" s="44">
        <f>Workings!K$20</f>
        <v>0</v>
      </c>
      <c r="L23" s="44">
        <f>Workings!L$20</f>
        <v>0</v>
      </c>
      <c r="M23" s="44">
        <f>Workings!M$20</f>
        <v>3468087.7088760622</v>
      </c>
      <c r="N23" s="44">
        <f>Workings!N$20</f>
        <v>0</v>
      </c>
      <c r="O23" s="44">
        <f>Workings!O$20</f>
        <v>0</v>
      </c>
      <c r="P23" s="44">
        <f>Workings!P$20</f>
        <v>0</v>
      </c>
      <c r="Q23" s="44">
        <f>Workings!Q$20</f>
        <v>0</v>
      </c>
      <c r="R23" s="44">
        <f>Workings!R$20</f>
        <v>0</v>
      </c>
      <c r="S23" s="44">
        <f>Workings!S$20</f>
        <v>0</v>
      </c>
      <c r="T23" s="44">
        <f>Workings!T$20</f>
        <v>0</v>
      </c>
      <c r="U23" s="44">
        <f>Workings!U$20</f>
        <v>0</v>
      </c>
      <c r="V23" s="44">
        <f>Workings!V$20</f>
        <v>0</v>
      </c>
      <c r="W23" s="44">
        <f>Workings!W$20</f>
        <v>0</v>
      </c>
      <c r="X23" s="44">
        <f>Workings!X$20</f>
        <v>0</v>
      </c>
      <c r="Y23" s="44">
        <f>Workings!Y$20</f>
        <v>0</v>
      </c>
      <c r="Z23" s="44">
        <f>Workings!Z$20</f>
        <v>0</v>
      </c>
      <c r="AA23" s="44">
        <f>Workings!AA$20</f>
        <v>0</v>
      </c>
      <c r="AB23" s="44">
        <f>Workings!AB$20</f>
        <v>0</v>
      </c>
      <c r="AC23" s="44">
        <f>Workings!AC$20</f>
        <v>0</v>
      </c>
      <c r="AD23" s="44">
        <f>Workings!AD$20</f>
        <v>0</v>
      </c>
      <c r="AE23" s="44">
        <f>Workings!AE$20</f>
        <v>0</v>
      </c>
      <c r="AF23" s="44">
        <f>Workings!AF$20</f>
        <v>0</v>
      </c>
      <c r="AG23" s="44">
        <f>Workings!AG$20</f>
        <v>0</v>
      </c>
      <c r="AH23" s="44">
        <f>Workings!AH$20</f>
        <v>0</v>
      </c>
      <c r="AI23" s="44">
        <f>Workings!AI$20</f>
        <v>0</v>
      </c>
      <c r="AJ23" s="44">
        <f>Workings!AJ$20</f>
        <v>0</v>
      </c>
      <c r="AK23" s="44">
        <f>Workings!AK$20</f>
        <v>0</v>
      </c>
      <c r="AL23" s="44">
        <f>Workings!AL$20</f>
        <v>0</v>
      </c>
      <c r="AM23" s="44">
        <f>Workings!AM$20</f>
        <v>0</v>
      </c>
      <c r="AN23" s="44">
        <f>Workings!AN$20</f>
        <v>0</v>
      </c>
      <c r="AO23" s="44">
        <f>Workings!AO$20</f>
        <v>0</v>
      </c>
      <c r="AP23" s="44">
        <f>Workings!AP$20</f>
        <v>0</v>
      </c>
      <c r="AQ23" s="44">
        <f>Workings!AQ$20</f>
        <v>0</v>
      </c>
    </row>
    <row r="24" spans="1:44">
      <c r="E24" s="18" t="str">
        <f xml:space="preserve"> LEFT(E23, LEN(E23) - 4)</f>
        <v>Total Nominal Construction</v>
      </c>
      <c r="H24" s="48">
        <f>SUM(J24:AQ24)</f>
        <v>-3468087.7088760622</v>
      </c>
      <c r="J24" s="44">
        <f t="shared" ref="J24:AO24" si="8">J23 * -1</f>
        <v>0</v>
      </c>
      <c r="K24" s="44">
        <f t="shared" si="8"/>
        <v>0</v>
      </c>
      <c r="L24" s="44">
        <f t="shared" si="8"/>
        <v>0</v>
      </c>
      <c r="M24" s="44">
        <f t="shared" si="8"/>
        <v>-3468087.7088760622</v>
      </c>
      <c r="N24" s="44">
        <f t="shared" si="8"/>
        <v>0</v>
      </c>
      <c r="O24" s="44">
        <f t="shared" si="8"/>
        <v>0</v>
      </c>
      <c r="P24" s="44">
        <f t="shared" si="8"/>
        <v>0</v>
      </c>
      <c r="Q24" s="44">
        <f t="shared" si="8"/>
        <v>0</v>
      </c>
      <c r="R24" s="44">
        <f t="shared" si="8"/>
        <v>0</v>
      </c>
      <c r="S24" s="44">
        <f t="shared" si="8"/>
        <v>0</v>
      </c>
      <c r="T24" s="44">
        <f t="shared" si="8"/>
        <v>0</v>
      </c>
      <c r="U24" s="44">
        <f t="shared" si="8"/>
        <v>0</v>
      </c>
      <c r="V24" s="44">
        <f t="shared" si="8"/>
        <v>0</v>
      </c>
      <c r="W24" s="44">
        <f t="shared" si="8"/>
        <v>0</v>
      </c>
      <c r="X24" s="44">
        <f t="shared" si="8"/>
        <v>0</v>
      </c>
      <c r="Y24" s="44">
        <f t="shared" si="8"/>
        <v>0</v>
      </c>
      <c r="Z24" s="44">
        <f t="shared" si="8"/>
        <v>0</v>
      </c>
      <c r="AA24" s="44">
        <f t="shared" si="8"/>
        <v>0</v>
      </c>
      <c r="AB24" s="44">
        <f t="shared" si="8"/>
        <v>0</v>
      </c>
      <c r="AC24" s="44">
        <f t="shared" si="8"/>
        <v>0</v>
      </c>
      <c r="AD24" s="44">
        <f t="shared" si="8"/>
        <v>0</v>
      </c>
      <c r="AE24" s="44">
        <f t="shared" si="8"/>
        <v>0</v>
      </c>
      <c r="AF24" s="44">
        <f t="shared" si="8"/>
        <v>0</v>
      </c>
      <c r="AG24" s="44">
        <f t="shared" si="8"/>
        <v>0</v>
      </c>
      <c r="AH24" s="44">
        <f t="shared" si="8"/>
        <v>0</v>
      </c>
      <c r="AI24" s="44">
        <f t="shared" si="8"/>
        <v>0</v>
      </c>
      <c r="AJ24" s="44">
        <f t="shared" si="8"/>
        <v>0</v>
      </c>
      <c r="AK24" s="44">
        <f t="shared" si="8"/>
        <v>0</v>
      </c>
      <c r="AL24" s="44">
        <f t="shared" si="8"/>
        <v>0</v>
      </c>
      <c r="AM24" s="44">
        <f t="shared" si="8"/>
        <v>0</v>
      </c>
      <c r="AN24" s="44">
        <f t="shared" si="8"/>
        <v>0</v>
      </c>
      <c r="AO24" s="44">
        <f t="shared" si="8"/>
        <v>0</v>
      </c>
      <c r="AP24" s="44">
        <f t="shared" ref="AP24:AQ24" si="9">AP23 * -1</f>
        <v>0</v>
      </c>
      <c r="AQ24" s="44">
        <f t="shared" si="9"/>
        <v>0</v>
      </c>
    </row>
    <row r="25" spans="1:44">
      <c r="E25" s="11"/>
    </row>
    <row r="26" spans="1:44" s="109" customFormat="1">
      <c r="A26" s="108" t="s">
        <v>127</v>
      </c>
      <c r="H26" s="108"/>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row>
    <row r="27" spans="1:44">
      <c r="D27" s="1"/>
      <c r="E27" t="str">
        <f>Flags!E12</f>
        <v>First period of concession</v>
      </c>
      <c r="J27" s="44">
        <f>Flags!J12</f>
        <v>1</v>
      </c>
      <c r="K27" s="44">
        <f>Flags!K12</f>
        <v>0</v>
      </c>
      <c r="L27" s="44">
        <f>Flags!L12</f>
        <v>0</v>
      </c>
      <c r="M27" s="44">
        <f>Flags!M12</f>
        <v>0</v>
      </c>
      <c r="N27" s="44">
        <f>Flags!N12</f>
        <v>0</v>
      </c>
      <c r="O27" s="44">
        <f>Flags!O12</f>
        <v>0</v>
      </c>
      <c r="P27" s="44">
        <f>Flags!P12</f>
        <v>0</v>
      </c>
      <c r="Q27" s="44">
        <f>Flags!Q12</f>
        <v>0</v>
      </c>
      <c r="R27" s="44">
        <f>Flags!R12</f>
        <v>0</v>
      </c>
      <c r="S27" s="44">
        <f>Flags!S12</f>
        <v>0</v>
      </c>
      <c r="T27" s="44">
        <f>Flags!T12</f>
        <v>0</v>
      </c>
      <c r="U27" s="44">
        <f>Flags!U12</f>
        <v>0</v>
      </c>
      <c r="V27" s="44">
        <f>Flags!V12</f>
        <v>0</v>
      </c>
      <c r="W27" s="44">
        <f>Flags!W12</f>
        <v>0</v>
      </c>
      <c r="X27" s="44">
        <f>Flags!X12</f>
        <v>0</v>
      </c>
      <c r="Y27" s="44">
        <f>Flags!Y12</f>
        <v>0</v>
      </c>
      <c r="Z27" s="44">
        <f>Flags!Z12</f>
        <v>0</v>
      </c>
      <c r="AA27" s="44">
        <f>Flags!AA12</f>
        <v>0</v>
      </c>
      <c r="AB27" s="44">
        <f>Flags!AB12</f>
        <v>0</v>
      </c>
      <c r="AC27" s="44">
        <f>Flags!AC12</f>
        <v>0</v>
      </c>
      <c r="AD27" s="44">
        <f>Flags!AD12</f>
        <v>0</v>
      </c>
      <c r="AE27" s="44">
        <f>Flags!AE12</f>
        <v>0</v>
      </c>
      <c r="AF27" s="44">
        <f>Flags!AF12</f>
        <v>0</v>
      </c>
      <c r="AG27" s="44">
        <f>Flags!AG12</f>
        <v>0</v>
      </c>
      <c r="AH27" s="44">
        <f>Flags!AH12</f>
        <v>0</v>
      </c>
      <c r="AI27" s="44">
        <f>Flags!AI12</f>
        <v>0</v>
      </c>
      <c r="AJ27" s="44">
        <f>Flags!AJ12</f>
        <v>0</v>
      </c>
      <c r="AK27" s="44">
        <f>Flags!AK12</f>
        <v>0</v>
      </c>
      <c r="AL27" s="44">
        <f>Flags!AL12</f>
        <v>0</v>
      </c>
      <c r="AM27" s="44">
        <f>Flags!AM12</f>
        <v>0</v>
      </c>
      <c r="AN27" s="44">
        <f>Flags!AN12</f>
        <v>0</v>
      </c>
      <c r="AO27" s="44">
        <f>Flags!AO12</f>
        <v>0</v>
      </c>
      <c r="AP27" s="44">
        <f>Flags!AP12</f>
        <v>0</v>
      </c>
      <c r="AQ27" s="44">
        <f>Flags!AQ12</f>
        <v>0</v>
      </c>
    </row>
    <row r="28" spans="1:44">
      <c r="D28" s="1"/>
    </row>
    <row r="29" spans="1:44">
      <c r="D29" s="1" t="s">
        <v>124</v>
      </c>
    </row>
    <row r="30" spans="1:44">
      <c r="E30" s="6" t="str">
        <f>'Input Profile'!E23</f>
        <v>Maintenance</v>
      </c>
      <c r="F30" s="6"/>
      <c r="G30" s="6"/>
      <c r="H30" s="48">
        <f>SUM(J30:AQ30)</f>
        <v>6910758.9285714254</v>
      </c>
      <c r="I30" s="6"/>
      <c r="J30" s="45">
        <f>'Input Profile'!J23</f>
        <v>249882.06845238095</v>
      </c>
      <c r="K30" s="45">
        <f>'Input Profile'!K23</f>
        <v>249882.06845238095</v>
      </c>
      <c r="L30" s="45">
        <f>'Input Profile'!L23</f>
        <v>249882.06845238095</v>
      </c>
      <c r="M30" s="45">
        <f>'Input Profile'!M23</f>
        <v>249882.06845238095</v>
      </c>
      <c r="N30" s="45">
        <f>'Input Profile'!N23</f>
        <v>249882.06845238095</v>
      </c>
      <c r="O30" s="45">
        <f>'Input Profile'!O23</f>
        <v>249882.06845238095</v>
      </c>
      <c r="P30" s="45">
        <f>'Input Profile'!P23</f>
        <v>249882.06845238095</v>
      </c>
      <c r="Q30" s="45">
        <f>'Input Profile'!Q23</f>
        <v>249882.06845238095</v>
      </c>
      <c r="R30" s="45">
        <f>'Input Profile'!R23</f>
        <v>251030.50595238095</v>
      </c>
      <c r="S30" s="45">
        <f>'Input Profile'!S23</f>
        <v>251030.50595238095</v>
      </c>
      <c r="T30" s="45">
        <f>'Input Profile'!T23</f>
        <v>251030.50595238095</v>
      </c>
      <c r="U30" s="45">
        <f>'Input Profile'!U23</f>
        <v>251030.50595238095</v>
      </c>
      <c r="V30" s="45">
        <f>'Input Profile'!V23</f>
        <v>251030.50595238095</v>
      </c>
      <c r="W30" s="45">
        <f>'Input Profile'!W23</f>
        <v>251030.50595238095</v>
      </c>
      <c r="X30" s="45">
        <f>'Input Profile'!X23</f>
        <v>251030.50595238095</v>
      </c>
      <c r="Y30" s="45">
        <f>'Input Profile'!Y23</f>
        <v>251030.50595238095</v>
      </c>
      <c r="Z30" s="45">
        <f>'Input Profile'!Z23</f>
        <v>207389.88095238095</v>
      </c>
      <c r="AA30" s="45">
        <f>'Input Profile'!AA23</f>
        <v>207389.88095238095</v>
      </c>
      <c r="AB30" s="45">
        <f>'Input Profile'!AB23</f>
        <v>207389.88095238095</v>
      </c>
      <c r="AC30" s="45">
        <f>'Input Profile'!AC23</f>
        <v>207389.88095238095</v>
      </c>
      <c r="AD30" s="45">
        <f>'Input Profile'!AD23</f>
        <v>207389.88095238095</v>
      </c>
      <c r="AE30" s="45">
        <f>'Input Profile'!AE23</f>
        <v>207389.88095238095</v>
      </c>
      <c r="AF30" s="45">
        <f>'Input Profile'!AF23</f>
        <v>207389.88095238095</v>
      </c>
      <c r="AG30" s="45">
        <f>'Input Profile'!AG23</f>
        <v>207389.88095238095</v>
      </c>
      <c r="AH30" s="45">
        <f>'Input Profile'!AH23</f>
        <v>207389.88095238095</v>
      </c>
      <c r="AI30" s="45">
        <f>'Input Profile'!AI23</f>
        <v>207389.88095238095</v>
      </c>
      <c r="AJ30" s="45">
        <f>'Input Profile'!AJ23</f>
        <v>207389.88095238095</v>
      </c>
      <c r="AK30" s="45">
        <f>'Input Profile'!AK23</f>
        <v>207389.88095238095</v>
      </c>
      <c r="AL30" s="45">
        <f>'Input Profile'!AL23</f>
        <v>207389.88095238095</v>
      </c>
      <c r="AM30" s="45">
        <f>'Input Profile'!AM23</f>
        <v>207389.88095238095</v>
      </c>
      <c r="AN30" s="45">
        <f>'Input Profile'!AN23</f>
        <v>0</v>
      </c>
      <c r="AO30" s="45">
        <f>'Input Profile'!AO23</f>
        <v>0</v>
      </c>
      <c r="AP30" s="45">
        <f>'Input Profile'!AP23</f>
        <v>0</v>
      </c>
      <c r="AQ30" s="45">
        <f>'Input Profile'!AQ23</f>
        <v>0</v>
      </c>
    </row>
    <row r="31" spans="1:44">
      <c r="E31" s="6" t="str">
        <f>'Input Profile'!E24</f>
        <v>Energy costs</v>
      </c>
      <c r="F31" s="6"/>
      <c r="G31" s="6"/>
      <c r="H31" s="48">
        <f>SUM(J31:AQ31)</f>
        <v>16033084.088434491</v>
      </c>
      <c r="I31" s="6"/>
      <c r="J31" s="45">
        <f>'Input Profile'!J24</f>
        <v>423898.78900000005</v>
      </c>
      <c r="K31" s="45">
        <f>'Input Profile'!K24</f>
        <v>436559</v>
      </c>
      <c r="L31" s="45">
        <f>'Input Profile'!L24</f>
        <v>459399.51841295534</v>
      </c>
      <c r="M31" s="45">
        <f>'Input Profile'!M24</f>
        <v>457626.34776165243</v>
      </c>
      <c r="N31" s="45">
        <f>'Input Profile'!N24</f>
        <v>466048.90835534071</v>
      </c>
      <c r="O31" s="45">
        <f>'Input Profile'!O24</f>
        <v>471261.76342796767</v>
      </c>
      <c r="P31" s="45">
        <f>'Input Profile'!P24</f>
        <v>468487.01800088206</v>
      </c>
      <c r="Q31" s="45">
        <f>'Input Profile'!Q24</f>
        <v>478177.7955735565</v>
      </c>
      <c r="R31" s="45">
        <f>'Input Profile'!R24</f>
        <v>494587.95666695747</v>
      </c>
      <c r="S31" s="45">
        <f>'Input Profile'!S24</f>
        <v>514426.13658529252</v>
      </c>
      <c r="T31" s="45">
        <f>'Input Profile'!T24</f>
        <v>521780.46185239701</v>
      </c>
      <c r="U31" s="45">
        <f>'Input Profile'!U24</f>
        <v>524810.18388629612</v>
      </c>
      <c r="V31" s="45">
        <f>'Input Profile'!V24</f>
        <v>543643.45600130816</v>
      </c>
      <c r="W31" s="45">
        <f>'Input Profile'!W24</f>
        <v>555807.34000869445</v>
      </c>
      <c r="X31" s="45">
        <f>'Input Profile'!X24</f>
        <v>558965.38360288518</v>
      </c>
      <c r="Y31" s="45">
        <f>'Input Profile'!Y24</f>
        <v>570742.63641562627</v>
      </c>
      <c r="Z31" s="45">
        <f>'Input Profile'!Z24</f>
        <v>571124.26806896122</v>
      </c>
      <c r="AA31" s="45">
        <f>'Input Profile'!AA24</f>
        <v>572154.17357883463</v>
      </c>
      <c r="AB31" s="45">
        <f>'Input Profile'!AB24</f>
        <v>578631.91260290786</v>
      </c>
      <c r="AC31" s="45">
        <f>'Input Profile'!AC24</f>
        <v>578631.91260290786</v>
      </c>
      <c r="AD31" s="45">
        <f>'Input Profile'!AD24</f>
        <v>578631.91260290786</v>
      </c>
      <c r="AE31" s="45">
        <f>'Input Profile'!AE24</f>
        <v>578631.91260290786</v>
      </c>
      <c r="AF31" s="45">
        <f>'Input Profile'!AF24</f>
        <v>578631.91260290786</v>
      </c>
      <c r="AG31" s="45">
        <f>'Input Profile'!AG24</f>
        <v>578631.91260290786</v>
      </c>
      <c r="AH31" s="45">
        <f>'Input Profile'!AH24</f>
        <v>578631.91260290786</v>
      </c>
      <c r="AI31" s="45">
        <f>'Input Profile'!AI24</f>
        <v>578631.91260290786</v>
      </c>
      <c r="AJ31" s="45">
        <f>'Input Profile'!AJ24</f>
        <v>578631.91260290786</v>
      </c>
      <c r="AK31" s="45">
        <f>'Input Profile'!AK24</f>
        <v>578631.91260290786</v>
      </c>
      <c r="AL31" s="45">
        <f>'Input Profile'!AL24</f>
        <v>578631.91260290786</v>
      </c>
      <c r="AM31" s="45">
        <f>'Input Profile'!AM24</f>
        <v>578631.91260290786</v>
      </c>
      <c r="AN31" s="45">
        <f>'Input Profile'!AN24</f>
        <v>0</v>
      </c>
      <c r="AO31" s="45">
        <f>'Input Profile'!AO24</f>
        <v>0</v>
      </c>
      <c r="AP31" s="45">
        <f>'Input Profile'!AP24</f>
        <v>0</v>
      </c>
      <c r="AQ31" s="45">
        <f>'Input Profile'!AQ24</f>
        <v>0</v>
      </c>
    </row>
    <row r="32" spans="1:44">
      <c r="E32" s="6" t="str">
        <f>'Input Profile'!E25</f>
        <v>Other operational costs</v>
      </c>
      <c r="F32" s="6"/>
      <c r="G32" s="6"/>
      <c r="H32" s="48">
        <f>SUM(J32:AQ32)</f>
        <v>0</v>
      </c>
      <c r="I32" s="6"/>
      <c r="J32" s="45">
        <f>'Input Profile'!J25</f>
        <v>0</v>
      </c>
      <c r="K32" s="45">
        <f>'Input Profile'!K25</f>
        <v>0</v>
      </c>
      <c r="L32" s="45">
        <f>'Input Profile'!L25</f>
        <v>0</v>
      </c>
      <c r="M32" s="45">
        <f>'Input Profile'!M25</f>
        <v>0</v>
      </c>
      <c r="N32" s="45">
        <f>'Input Profile'!N25</f>
        <v>0</v>
      </c>
      <c r="O32" s="45">
        <f>'Input Profile'!O25</f>
        <v>0</v>
      </c>
      <c r="P32" s="45">
        <f>'Input Profile'!P25</f>
        <v>0</v>
      </c>
      <c r="Q32" s="45">
        <f>'Input Profile'!Q25</f>
        <v>0</v>
      </c>
      <c r="R32" s="45">
        <f>'Input Profile'!R25</f>
        <v>0</v>
      </c>
      <c r="S32" s="45">
        <f>'Input Profile'!S25</f>
        <v>0</v>
      </c>
      <c r="T32" s="45">
        <f>'Input Profile'!T25</f>
        <v>0</v>
      </c>
      <c r="U32" s="45">
        <f>'Input Profile'!U25</f>
        <v>0</v>
      </c>
      <c r="V32" s="45">
        <f>'Input Profile'!V25</f>
        <v>0</v>
      </c>
      <c r="W32" s="45">
        <f>'Input Profile'!W25</f>
        <v>0</v>
      </c>
      <c r="X32" s="45">
        <f>'Input Profile'!X25</f>
        <v>0</v>
      </c>
      <c r="Y32" s="45">
        <f>'Input Profile'!Y25</f>
        <v>0</v>
      </c>
      <c r="Z32" s="45">
        <f>'Input Profile'!Z25</f>
        <v>0</v>
      </c>
      <c r="AA32" s="45">
        <f>'Input Profile'!AA25</f>
        <v>0</v>
      </c>
      <c r="AB32" s="45">
        <f>'Input Profile'!AB25</f>
        <v>0</v>
      </c>
      <c r="AC32" s="45">
        <f>'Input Profile'!AC25</f>
        <v>0</v>
      </c>
      <c r="AD32" s="45">
        <f>'Input Profile'!AD25</f>
        <v>0</v>
      </c>
      <c r="AE32" s="45">
        <f>'Input Profile'!AE25</f>
        <v>0</v>
      </c>
      <c r="AF32" s="45">
        <f>'Input Profile'!AF25</f>
        <v>0</v>
      </c>
      <c r="AG32" s="45">
        <f>'Input Profile'!AG25</f>
        <v>0</v>
      </c>
      <c r="AH32" s="45">
        <f>'Input Profile'!AH25</f>
        <v>0</v>
      </c>
      <c r="AI32" s="45">
        <f>'Input Profile'!AI25</f>
        <v>0</v>
      </c>
      <c r="AJ32" s="45">
        <f>'Input Profile'!AJ25</f>
        <v>0</v>
      </c>
      <c r="AK32" s="45">
        <f>'Input Profile'!AK25</f>
        <v>0</v>
      </c>
      <c r="AL32" s="45">
        <f>'Input Profile'!AL25</f>
        <v>0</v>
      </c>
      <c r="AM32" s="45">
        <f>'Input Profile'!AM25</f>
        <v>0</v>
      </c>
      <c r="AN32" s="45">
        <f>'Input Profile'!AN25</f>
        <v>0</v>
      </c>
      <c r="AO32" s="45">
        <f>'Input Profile'!AO25</f>
        <v>0</v>
      </c>
      <c r="AP32" s="45">
        <f>'Input Profile'!AP25</f>
        <v>0</v>
      </c>
      <c r="AQ32" s="45">
        <f>'Input Profile'!AQ25</f>
        <v>0</v>
      </c>
    </row>
    <row r="33" spans="4:43">
      <c r="D33" s="1"/>
      <c r="E33" t="s">
        <v>125</v>
      </c>
      <c r="H33" s="105">
        <f>SUM(J33:AQ33)</f>
        <v>22943843.017005939</v>
      </c>
      <c r="J33" s="107">
        <f>SUM(J30:J32)</f>
        <v>673780.85745238094</v>
      </c>
      <c r="K33" s="107">
        <f t="shared" ref="K33:AQ33" si="10">SUM(K30:K32)</f>
        <v>686441.06845238095</v>
      </c>
      <c r="L33" s="107">
        <f t="shared" si="10"/>
        <v>709281.58686533628</v>
      </c>
      <c r="M33" s="107">
        <f t="shared" si="10"/>
        <v>707508.41621403338</v>
      </c>
      <c r="N33" s="107">
        <f t="shared" si="10"/>
        <v>715930.97680772166</v>
      </c>
      <c r="O33" s="107">
        <f t="shared" si="10"/>
        <v>721143.83188034862</v>
      </c>
      <c r="P33" s="107">
        <f t="shared" si="10"/>
        <v>718369.08645326295</v>
      </c>
      <c r="Q33" s="107">
        <f t="shared" si="10"/>
        <v>728059.86402593739</v>
      </c>
      <c r="R33" s="107">
        <f t="shared" si="10"/>
        <v>745618.46261933842</v>
      </c>
      <c r="S33" s="107">
        <f t="shared" si="10"/>
        <v>765456.64253767347</v>
      </c>
      <c r="T33" s="107">
        <f t="shared" si="10"/>
        <v>772810.9678047779</v>
      </c>
      <c r="U33" s="107">
        <f t="shared" si="10"/>
        <v>775840.68983867706</v>
      </c>
      <c r="V33" s="107">
        <f t="shared" si="10"/>
        <v>794673.96195368911</v>
      </c>
      <c r="W33" s="107">
        <f t="shared" si="10"/>
        <v>806837.84596107539</v>
      </c>
      <c r="X33" s="107">
        <f t="shared" si="10"/>
        <v>809995.88955526613</v>
      </c>
      <c r="Y33" s="107">
        <f t="shared" si="10"/>
        <v>821773.14236800722</v>
      </c>
      <c r="Z33" s="107">
        <f t="shared" si="10"/>
        <v>778514.14902134216</v>
      </c>
      <c r="AA33" s="107">
        <f t="shared" si="10"/>
        <v>779544.05453121557</v>
      </c>
      <c r="AB33" s="107">
        <f t="shared" si="10"/>
        <v>786021.79355528881</v>
      </c>
      <c r="AC33" s="107">
        <f t="shared" si="10"/>
        <v>786021.79355528881</v>
      </c>
      <c r="AD33" s="107">
        <f t="shared" si="10"/>
        <v>786021.79355528881</v>
      </c>
      <c r="AE33" s="107">
        <f t="shared" si="10"/>
        <v>786021.79355528881</v>
      </c>
      <c r="AF33" s="107">
        <f t="shared" si="10"/>
        <v>786021.79355528881</v>
      </c>
      <c r="AG33" s="107">
        <f t="shared" si="10"/>
        <v>786021.79355528881</v>
      </c>
      <c r="AH33" s="107">
        <f t="shared" si="10"/>
        <v>786021.79355528881</v>
      </c>
      <c r="AI33" s="107">
        <f t="shared" si="10"/>
        <v>786021.79355528881</v>
      </c>
      <c r="AJ33" s="107">
        <f t="shared" si="10"/>
        <v>786021.79355528881</v>
      </c>
      <c r="AK33" s="107">
        <f t="shared" si="10"/>
        <v>786021.79355528881</v>
      </c>
      <c r="AL33" s="107">
        <f t="shared" si="10"/>
        <v>786021.79355528881</v>
      </c>
      <c r="AM33" s="107">
        <f t="shared" si="10"/>
        <v>786021.79355528881</v>
      </c>
      <c r="AN33" s="107">
        <f t="shared" si="10"/>
        <v>0</v>
      </c>
      <c r="AO33" s="107">
        <f t="shared" si="10"/>
        <v>0</v>
      </c>
      <c r="AP33" s="107">
        <f t="shared" si="10"/>
        <v>0</v>
      </c>
      <c r="AQ33" s="107">
        <f t="shared" si="10"/>
        <v>0</v>
      </c>
    </row>
    <row r="34" spans="4:43">
      <c r="E34" s="6"/>
      <c r="F34" s="6"/>
      <c r="G34" s="6"/>
      <c r="H34" s="48"/>
      <c r="I34" s="6"/>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row>
    <row r="35" spans="4:43">
      <c r="E35" s="6" t="str">
        <f>Flags!E$10</f>
        <v>Operating Flag</v>
      </c>
      <c r="H35" s="48"/>
      <c r="J35" s="45">
        <f>Flags!J$10</f>
        <v>1</v>
      </c>
      <c r="K35" s="45">
        <f>Flags!K$10</f>
        <v>1</v>
      </c>
      <c r="L35" s="45">
        <f>Flags!L$10</f>
        <v>1</v>
      </c>
      <c r="M35" s="45">
        <f>Flags!M$10</f>
        <v>1</v>
      </c>
      <c r="N35" s="45">
        <f>Flags!N$10</f>
        <v>1</v>
      </c>
      <c r="O35" s="45">
        <f>Flags!O$10</f>
        <v>1</v>
      </c>
      <c r="P35" s="45">
        <f>Flags!P$10</f>
        <v>1</v>
      </c>
      <c r="Q35" s="45">
        <f>Flags!Q$10</f>
        <v>1</v>
      </c>
      <c r="R35" s="45">
        <f>Flags!R$10</f>
        <v>1</v>
      </c>
      <c r="S35" s="45">
        <f>Flags!S$10</f>
        <v>1</v>
      </c>
      <c r="T35" s="45">
        <f>Flags!T$10</f>
        <v>1</v>
      </c>
      <c r="U35" s="45">
        <f>Flags!U$10</f>
        <v>1</v>
      </c>
      <c r="V35" s="45">
        <f>Flags!V$10</f>
        <v>1</v>
      </c>
      <c r="W35" s="45">
        <f>Flags!W$10</f>
        <v>1</v>
      </c>
      <c r="X35" s="45">
        <f>Flags!X$10</f>
        <v>1</v>
      </c>
      <c r="Y35" s="45">
        <f>Flags!Y$10</f>
        <v>1</v>
      </c>
      <c r="Z35" s="45">
        <f>Flags!Z$10</f>
        <v>1</v>
      </c>
      <c r="AA35" s="45">
        <f>Flags!AA$10</f>
        <v>1</v>
      </c>
      <c r="AB35" s="45">
        <f>Flags!AB$10</f>
        <v>1</v>
      </c>
      <c r="AC35" s="45">
        <f>Flags!AC$10</f>
        <v>1</v>
      </c>
      <c r="AD35" s="45">
        <f>Flags!AD$10</f>
        <v>1</v>
      </c>
      <c r="AE35" s="45">
        <f>Flags!AE$10</f>
        <v>1</v>
      </c>
      <c r="AF35" s="45">
        <f>Flags!AF$10</f>
        <v>1</v>
      </c>
      <c r="AG35" s="45">
        <f>Flags!AG$10</f>
        <v>1</v>
      </c>
      <c r="AH35" s="45">
        <f>Flags!AH$10</f>
        <v>1</v>
      </c>
      <c r="AI35" s="45">
        <f>Flags!AI$10</f>
        <v>0</v>
      </c>
      <c r="AJ35" s="45">
        <f>Flags!AJ$10</f>
        <v>0</v>
      </c>
      <c r="AK35" s="45">
        <f>Flags!AK$10</f>
        <v>0</v>
      </c>
      <c r="AL35" s="45">
        <f>Flags!AL$10</f>
        <v>0</v>
      </c>
      <c r="AM35" s="45">
        <f>Flags!AM$10</f>
        <v>0</v>
      </c>
      <c r="AN35" s="45">
        <f>Flags!AN$10</f>
        <v>0</v>
      </c>
      <c r="AO35" s="45">
        <f>Flags!AO$10</f>
        <v>0</v>
      </c>
      <c r="AP35" s="45">
        <f>Flags!AP$10</f>
        <v>0</v>
      </c>
      <c r="AQ35" s="45">
        <f>Flags!AQ$10</f>
        <v>0</v>
      </c>
    </row>
    <row r="36" spans="4:43">
      <c r="E36" s="6" t="str">
        <f>Flags!E$31</f>
        <v>Maintenance Status Quo Inflation</v>
      </c>
      <c r="F36" s="17">
        <f>Flags!F$31</f>
        <v>2.5000000000000001E-2</v>
      </c>
      <c r="G36" s="6" t="str">
        <f>Flags!G$31</f>
        <v>p.a.</v>
      </c>
      <c r="H36" s="48"/>
      <c r="J36" s="72">
        <f>Flags!J$31</f>
        <v>1</v>
      </c>
      <c r="K36" s="72">
        <f>Flags!K$31</f>
        <v>1.0249999999999999</v>
      </c>
      <c r="L36" s="72">
        <f>Flags!L$31</f>
        <v>1.0506249999999999</v>
      </c>
      <c r="M36" s="72">
        <f>Flags!M$31</f>
        <v>1.0769634801848973</v>
      </c>
      <c r="N36" s="72">
        <f>Flags!N$31</f>
        <v>1.1038875671895196</v>
      </c>
      <c r="O36" s="72">
        <f>Flags!O$31</f>
        <v>1.1314847563692576</v>
      </c>
      <c r="P36" s="72">
        <f>Flags!P$31</f>
        <v>1.1597718752784889</v>
      </c>
      <c r="Q36" s="72">
        <f>Flags!Q$31</f>
        <v>1.1888465960932646</v>
      </c>
      <c r="R36" s="72">
        <f>Flags!R$31</f>
        <v>1.2185677609955963</v>
      </c>
      <c r="S36" s="72">
        <f>Flags!S$31</f>
        <v>1.249031955020486</v>
      </c>
      <c r="T36" s="72">
        <f>Flags!T$31</f>
        <v>1.2802577538959981</v>
      </c>
      <c r="U36" s="72">
        <f>Flags!U$31</f>
        <v>1.3123529767229354</v>
      </c>
      <c r="V36" s="72">
        <f>Flags!V$31</f>
        <v>1.3451618011410087</v>
      </c>
      <c r="W36" s="72">
        <f>Flags!W$31</f>
        <v>1.3787908461695337</v>
      </c>
      <c r="X36" s="72">
        <f>Flags!X$31</f>
        <v>1.4132606173237721</v>
      </c>
      <c r="Y36" s="72">
        <f>Flags!Y$31</f>
        <v>1.4486901347686054</v>
      </c>
      <c r="Z36" s="72">
        <f>Flags!Z$31</f>
        <v>1.4849073881378205</v>
      </c>
      <c r="AA36" s="72">
        <f>Flags!AA$31</f>
        <v>1.5220300728412659</v>
      </c>
      <c r="AB36" s="72">
        <f>Flags!AB$31</f>
        <v>1.5600808246622975</v>
      </c>
      <c r="AC36" s="72">
        <f>Flags!AC$31</f>
        <v>1.5991910284811732</v>
      </c>
      <c r="AD36" s="72">
        <f>Flags!AD$31</f>
        <v>1.6391708041932025</v>
      </c>
      <c r="AE36" s="72">
        <f>Flags!AE$31</f>
        <v>1.6801500742980322</v>
      </c>
      <c r="AF36" s="72">
        <f>Flags!AF$31</f>
        <v>1.722153826155483</v>
      </c>
      <c r="AG36" s="72">
        <f>Flags!AG$31</f>
        <v>1.7653270939013881</v>
      </c>
      <c r="AH36" s="72">
        <f>Flags!AH$31</f>
        <v>1.8094602712489225</v>
      </c>
      <c r="AI36" s="72">
        <f>Flags!AI$31</f>
        <v>1.8546967780301453</v>
      </c>
      <c r="AJ36" s="72">
        <f>Flags!AJ$31</f>
        <v>1.9010641974808991</v>
      </c>
      <c r="AK36" s="72">
        <f>Flags!AK$31</f>
        <v>1.9487226309805481</v>
      </c>
      <c r="AL36" s="72">
        <f>Flags!AL$31</f>
        <v>1.9974406967550618</v>
      </c>
      <c r="AM36" s="72">
        <f>Flags!AM$31</f>
        <v>2.0473767141739381</v>
      </c>
      <c r="AN36" s="72">
        <f>Flags!AN$31</f>
        <v>2.0985611320282862</v>
      </c>
      <c r="AO36" s="72">
        <f>Flags!AO$31</f>
        <v>2.1511706842402769</v>
      </c>
      <c r="AP36" s="72">
        <f>Flags!AP$31</f>
        <v>2.204949951346284</v>
      </c>
      <c r="AQ36" s="72">
        <f>Flags!AQ$31</f>
        <v>2.2600737001299409</v>
      </c>
    </row>
    <row r="37" spans="4:43">
      <c r="E37" s="6" t="str">
        <f>Flags!E$33</f>
        <v>Energy Status Quo Inflation</v>
      </c>
      <c r="F37" s="17">
        <f>Flags!F$33</f>
        <v>2.5000000000000001E-2</v>
      </c>
      <c r="G37" s="54" t="str">
        <f>Flags!G$33</f>
        <v>p.a.</v>
      </c>
      <c r="H37" s="48"/>
      <c r="J37" s="72">
        <f>Flags!J$33</f>
        <v>1</v>
      </c>
      <c r="K37" s="72">
        <f>Flags!K$33</f>
        <v>1.0249999999999999</v>
      </c>
      <c r="L37" s="72">
        <f>Flags!L$33</f>
        <v>1.0506249999999999</v>
      </c>
      <c r="M37" s="72">
        <f>Flags!M$33</f>
        <v>1.0769634801848973</v>
      </c>
      <c r="N37" s="72">
        <f>Flags!N$33</f>
        <v>1.1038875671895196</v>
      </c>
      <c r="O37" s="72">
        <f>Flags!O$33</f>
        <v>1.1314847563692576</v>
      </c>
      <c r="P37" s="72">
        <f>Flags!P$33</f>
        <v>1.1597718752784889</v>
      </c>
      <c r="Q37" s="72">
        <f>Flags!Q$33</f>
        <v>1.1888465960932646</v>
      </c>
      <c r="R37" s="72">
        <f>Flags!R$33</f>
        <v>1.2185677609955963</v>
      </c>
      <c r="S37" s="72">
        <f>Flags!S$33</f>
        <v>1.249031955020486</v>
      </c>
      <c r="T37" s="72">
        <f>Flags!T$33</f>
        <v>1.2802577538959981</v>
      </c>
      <c r="U37" s="72">
        <f>Flags!U$33</f>
        <v>1.3123529767229354</v>
      </c>
      <c r="V37" s="72">
        <f>Flags!V$33</f>
        <v>1.3451618011410087</v>
      </c>
      <c r="W37" s="72">
        <f>Flags!W$33</f>
        <v>1.3787908461695337</v>
      </c>
      <c r="X37" s="72">
        <f>Flags!X$33</f>
        <v>1.4132606173237721</v>
      </c>
      <c r="Y37" s="72">
        <f>Flags!Y$33</f>
        <v>1.4486901347686054</v>
      </c>
      <c r="Z37" s="72">
        <f>Flags!Z$33</f>
        <v>1.4849073881378205</v>
      </c>
      <c r="AA37" s="72">
        <f>Flags!AA$33</f>
        <v>1.5220300728412659</v>
      </c>
      <c r="AB37" s="72">
        <f>Flags!AB$33</f>
        <v>1.5600808246622975</v>
      </c>
      <c r="AC37" s="72">
        <f>Flags!AC$33</f>
        <v>1.5991910284811732</v>
      </c>
      <c r="AD37" s="72">
        <f>Flags!AD$33</f>
        <v>1.6391708041932025</v>
      </c>
      <c r="AE37" s="72">
        <f>Flags!AE$33</f>
        <v>1.6801500742980322</v>
      </c>
      <c r="AF37" s="72">
        <f>Flags!AF$33</f>
        <v>1.722153826155483</v>
      </c>
      <c r="AG37" s="72">
        <f>Flags!AG$33</f>
        <v>1.7653270939013881</v>
      </c>
      <c r="AH37" s="72">
        <f>Flags!AH$33</f>
        <v>1.8094602712489225</v>
      </c>
      <c r="AI37" s="72">
        <f>Flags!AI$33</f>
        <v>1.8546967780301453</v>
      </c>
      <c r="AJ37" s="72">
        <f>Flags!AJ$33</f>
        <v>1.9010641974808991</v>
      </c>
      <c r="AK37" s="72">
        <f>Flags!AK$33</f>
        <v>1.9487226309805481</v>
      </c>
      <c r="AL37" s="72">
        <f>Flags!AL$33</f>
        <v>1.9974406967550618</v>
      </c>
      <c r="AM37" s="72">
        <f>Flags!AM$33</f>
        <v>2.0473767141739381</v>
      </c>
      <c r="AN37" s="72">
        <f>Flags!AN$33</f>
        <v>2.0985611320282862</v>
      </c>
      <c r="AO37" s="72">
        <f>Flags!AO$33</f>
        <v>2.1511706842402769</v>
      </c>
      <c r="AP37" s="72">
        <f>Flags!AP$33</f>
        <v>2.204949951346284</v>
      </c>
      <c r="AQ37" s="72">
        <f>Flags!AQ$33</f>
        <v>2.2600737001299409</v>
      </c>
    </row>
    <row r="38" spans="4:43">
      <c r="E38" s="6" t="str">
        <f>Flags!E$35</f>
        <v>Other Operational Costs Status Quo Inflation</v>
      </c>
      <c r="F38" s="17">
        <f>Flags!F$35</f>
        <v>2.5000000000000001E-2</v>
      </c>
      <c r="G38" s="6" t="str">
        <f>Flags!G$35</f>
        <v>p.a.</v>
      </c>
      <c r="H38" s="48"/>
      <c r="J38" s="72">
        <f>Flags!J$35</f>
        <v>1</v>
      </c>
      <c r="K38" s="72">
        <f>Flags!K$35</f>
        <v>1.0249999999999999</v>
      </c>
      <c r="L38" s="72">
        <f>Flags!L$35</f>
        <v>1.0506249999999999</v>
      </c>
      <c r="M38" s="72">
        <f>Flags!M$35</f>
        <v>1.0769634801848973</v>
      </c>
      <c r="N38" s="72">
        <f>Flags!N$35</f>
        <v>1.1038875671895196</v>
      </c>
      <c r="O38" s="72">
        <f>Flags!O$35</f>
        <v>1.1314847563692576</v>
      </c>
      <c r="P38" s="72">
        <f>Flags!P$35</f>
        <v>1.1597718752784889</v>
      </c>
      <c r="Q38" s="72">
        <f>Flags!Q$35</f>
        <v>1.1888465960932646</v>
      </c>
      <c r="R38" s="72">
        <f>Flags!R$35</f>
        <v>1.2185677609955963</v>
      </c>
      <c r="S38" s="72">
        <f>Flags!S$35</f>
        <v>1.249031955020486</v>
      </c>
      <c r="T38" s="72">
        <f>Flags!T$35</f>
        <v>1.2802577538959981</v>
      </c>
      <c r="U38" s="72">
        <f>Flags!U$35</f>
        <v>1.3123529767229354</v>
      </c>
      <c r="V38" s="72">
        <f>Flags!V$35</f>
        <v>1.3451618011410087</v>
      </c>
      <c r="W38" s="72">
        <f>Flags!W$35</f>
        <v>1.3787908461695337</v>
      </c>
      <c r="X38" s="72">
        <f>Flags!X$35</f>
        <v>1.4132606173237721</v>
      </c>
      <c r="Y38" s="72">
        <f>Flags!Y$35</f>
        <v>1.4486901347686054</v>
      </c>
      <c r="Z38" s="72">
        <f>Flags!Z$35</f>
        <v>1.4849073881378205</v>
      </c>
      <c r="AA38" s="72">
        <f>Flags!AA$35</f>
        <v>1.5220300728412659</v>
      </c>
      <c r="AB38" s="72">
        <f>Flags!AB$35</f>
        <v>1.5600808246622975</v>
      </c>
      <c r="AC38" s="72">
        <f>Flags!AC$35</f>
        <v>1.5991910284811732</v>
      </c>
      <c r="AD38" s="72">
        <f>Flags!AD$35</f>
        <v>1.6391708041932025</v>
      </c>
      <c r="AE38" s="72">
        <f>Flags!AE$35</f>
        <v>1.6801500742980322</v>
      </c>
      <c r="AF38" s="72">
        <f>Flags!AF$35</f>
        <v>1.722153826155483</v>
      </c>
      <c r="AG38" s="72">
        <f>Flags!AG$35</f>
        <v>1.7653270939013881</v>
      </c>
      <c r="AH38" s="72">
        <f>Flags!AH$35</f>
        <v>1.8094602712489225</v>
      </c>
      <c r="AI38" s="72">
        <f>Flags!AI$35</f>
        <v>1.8546967780301453</v>
      </c>
      <c r="AJ38" s="72">
        <f>Flags!AJ$35</f>
        <v>1.9010641974808991</v>
      </c>
      <c r="AK38" s="72">
        <f>Flags!AK$35</f>
        <v>1.9487226309805481</v>
      </c>
      <c r="AL38" s="72">
        <f>Flags!AL$35</f>
        <v>1.9974406967550618</v>
      </c>
      <c r="AM38" s="72">
        <f>Flags!AM$35</f>
        <v>2.0473767141739381</v>
      </c>
      <c r="AN38" s="72">
        <f>Flags!AN$35</f>
        <v>2.0985611320282862</v>
      </c>
      <c r="AO38" s="72">
        <f>Flags!AO$35</f>
        <v>2.1511706842402769</v>
      </c>
      <c r="AP38" s="72">
        <f>Flags!AP$35</f>
        <v>2.204949951346284</v>
      </c>
      <c r="AQ38" s="72">
        <f>Flags!AQ$35</f>
        <v>2.2600737001299409</v>
      </c>
    </row>
    <row r="39" spans="4:43">
      <c r="E39" s="6"/>
      <c r="F39" s="17"/>
      <c r="G39" s="6"/>
      <c r="H39" s="48"/>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row>
    <row r="40" spans="4:43">
      <c r="D40" s="1" t="s">
        <v>128</v>
      </c>
      <c r="E40" s="6"/>
      <c r="F40" s="17"/>
      <c r="G40" s="6"/>
      <c r="H40" s="48"/>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row>
    <row r="41" spans="4:43">
      <c r="E41" s="6" t="str">
        <f>E30</f>
        <v>Maintenance</v>
      </c>
      <c r="F41" s="17"/>
      <c r="G41" s="6"/>
      <c r="H41" s="48">
        <f>SUM(J41:AQ41)</f>
        <v>7921348.8261546576</v>
      </c>
      <c r="J41" s="44">
        <f t="shared" ref="J41:AO41" si="11">J30 * J$35 * J36</f>
        <v>249882.06845238095</v>
      </c>
      <c r="K41" s="44">
        <f t="shared" si="11"/>
        <v>256129.12016369044</v>
      </c>
      <c r="L41" s="44">
        <f t="shared" si="11"/>
        <v>262532.34816778271</v>
      </c>
      <c r="M41" s="44">
        <f t="shared" si="11"/>
        <v>269113.86207627691</v>
      </c>
      <c r="N41" s="44">
        <f t="shared" si="11"/>
        <v>275841.70862818381</v>
      </c>
      <c r="O41" s="44">
        <f t="shared" si="11"/>
        <v>282737.75134388841</v>
      </c>
      <c r="P41" s="44">
        <f t="shared" si="11"/>
        <v>289806.19512748561</v>
      </c>
      <c r="Q41" s="44">
        <f t="shared" si="11"/>
        <v>297071.44650435721</v>
      </c>
      <c r="R41" s="44">
        <f t="shared" si="11"/>
        <v>305897.68157998455</v>
      </c>
      <c r="S41" s="44">
        <f t="shared" si="11"/>
        <v>313545.12361948413</v>
      </c>
      <c r="T41" s="44">
        <f t="shared" si="11"/>
        <v>321383.75170997123</v>
      </c>
      <c r="U41" s="44">
        <f t="shared" si="11"/>
        <v>329440.63173487171</v>
      </c>
      <c r="V41" s="44">
        <f t="shared" si="11"/>
        <v>337676.64752824348</v>
      </c>
      <c r="W41" s="44">
        <f t="shared" si="11"/>
        <v>346118.56371644948</v>
      </c>
      <c r="X41" s="44">
        <f t="shared" si="11"/>
        <v>354771.52780936076</v>
      </c>
      <c r="Y41" s="44">
        <f t="shared" si="11"/>
        <v>363665.41749918595</v>
      </c>
      <c r="Z41" s="44">
        <f t="shared" si="11"/>
        <v>307954.76645121351</v>
      </c>
      <c r="AA41" s="44">
        <f t="shared" si="11"/>
        <v>315653.63561249385</v>
      </c>
      <c r="AB41" s="44">
        <f t="shared" si="11"/>
        <v>323544.97650280618</v>
      </c>
      <c r="AC41" s="44">
        <f t="shared" si="11"/>
        <v>331656.03701682616</v>
      </c>
      <c r="AD41" s="44">
        <f t="shared" si="11"/>
        <v>339947.43794224679</v>
      </c>
      <c r="AE41" s="44">
        <f t="shared" si="11"/>
        <v>348446.1238908029</v>
      </c>
      <c r="AF41" s="44">
        <f t="shared" si="11"/>
        <v>357157.27698807296</v>
      </c>
      <c r="AG41" s="44">
        <f t="shared" si="11"/>
        <v>366110.9758462215</v>
      </c>
      <c r="AH41" s="44">
        <f t="shared" si="11"/>
        <v>375263.75024237699</v>
      </c>
      <c r="AI41" s="44">
        <f t="shared" si="11"/>
        <v>0</v>
      </c>
      <c r="AJ41" s="44">
        <f t="shared" si="11"/>
        <v>0</v>
      </c>
      <c r="AK41" s="44">
        <f t="shared" si="11"/>
        <v>0</v>
      </c>
      <c r="AL41" s="44">
        <f t="shared" si="11"/>
        <v>0</v>
      </c>
      <c r="AM41" s="44">
        <f t="shared" si="11"/>
        <v>0</v>
      </c>
      <c r="AN41" s="44">
        <f t="shared" si="11"/>
        <v>0</v>
      </c>
      <c r="AO41" s="44">
        <f t="shared" si="11"/>
        <v>0</v>
      </c>
      <c r="AP41" s="44">
        <f t="shared" ref="AP41:AQ41" si="12">AP30 * AP$35 * AP36</f>
        <v>0</v>
      </c>
      <c r="AQ41" s="44">
        <f t="shared" si="12"/>
        <v>0</v>
      </c>
    </row>
    <row r="42" spans="4:43">
      <c r="E42" s="6" t="str">
        <f>E31</f>
        <v>Energy costs</v>
      </c>
      <c r="F42" s="17"/>
      <c r="G42" s="6"/>
      <c r="H42" s="48">
        <f>SUM(J42:AQ42)</f>
        <v>18255383.460073389</v>
      </c>
      <c r="J42" s="44">
        <f t="shared" ref="J42:AO42" si="13">J31 * J$35 * J37</f>
        <v>423898.78900000005</v>
      </c>
      <c r="K42" s="44">
        <f t="shared" si="13"/>
        <v>447472.97499999998</v>
      </c>
      <c r="L42" s="44">
        <f t="shared" si="13"/>
        <v>482656.61903261114</v>
      </c>
      <c r="M42" s="44">
        <f t="shared" si="13"/>
        <v>492846.86410969327</v>
      </c>
      <c r="N42" s="44">
        <f t="shared" si="13"/>
        <v>514465.59563570842</v>
      </c>
      <c r="O42" s="44">
        <f t="shared" si="13"/>
        <v>533225.50157844066</v>
      </c>
      <c r="P42" s="44">
        <f t="shared" si="13"/>
        <v>543338.06741051015</v>
      </c>
      <c r="Q42" s="44">
        <f t="shared" si="13"/>
        <v>568480.04459500359</v>
      </c>
      <c r="R42" s="44">
        <f t="shared" si="13"/>
        <v>602688.93897104135</v>
      </c>
      <c r="S42" s="44">
        <f t="shared" si="13"/>
        <v>642534.68309276353</v>
      </c>
      <c r="T42" s="44">
        <f t="shared" si="13"/>
        <v>668013.48211796628</v>
      </c>
      <c r="U42" s="44">
        <f t="shared" si="13"/>
        <v>688736.20703769184</v>
      </c>
      <c r="V42" s="44">
        <f t="shared" si="13"/>
        <v>731288.41045324237</v>
      </c>
      <c r="W42" s="44">
        <f t="shared" si="13"/>
        <v>766342.07263782551</v>
      </c>
      <c r="X42" s="44">
        <f t="shared" si="13"/>
        <v>789963.76309323253</v>
      </c>
      <c r="Y42" s="44">
        <f t="shared" si="13"/>
        <v>826829.22686714283</v>
      </c>
      <c r="Z42" s="44">
        <f t="shared" si="13"/>
        <v>848066.64520040562</v>
      </c>
      <c r="AA42" s="44">
        <f t="shared" si="13"/>
        <v>870835.85848862794</v>
      </c>
      <c r="AB42" s="44">
        <f t="shared" si="13"/>
        <v>902712.55138946697</v>
      </c>
      <c r="AC42" s="44">
        <f t="shared" si="13"/>
        <v>925342.96342747251</v>
      </c>
      <c r="AD42" s="44">
        <f t="shared" si="13"/>
        <v>948476.53751315933</v>
      </c>
      <c r="AE42" s="44">
        <f t="shared" si="13"/>
        <v>972188.4509509881</v>
      </c>
      <c r="AF42" s="44">
        <f t="shared" si="13"/>
        <v>996493.16222476284</v>
      </c>
      <c r="AG42" s="44">
        <f t="shared" si="13"/>
        <v>1021474.5927138933</v>
      </c>
      <c r="AH42" s="44">
        <f t="shared" si="13"/>
        <v>1047011.4575317404</v>
      </c>
      <c r="AI42" s="44">
        <f t="shared" si="13"/>
        <v>0</v>
      </c>
      <c r="AJ42" s="44">
        <f t="shared" si="13"/>
        <v>0</v>
      </c>
      <c r="AK42" s="44">
        <f t="shared" si="13"/>
        <v>0</v>
      </c>
      <c r="AL42" s="44">
        <f t="shared" si="13"/>
        <v>0</v>
      </c>
      <c r="AM42" s="44">
        <f t="shared" si="13"/>
        <v>0</v>
      </c>
      <c r="AN42" s="44">
        <f t="shared" si="13"/>
        <v>0</v>
      </c>
      <c r="AO42" s="44">
        <f t="shared" si="13"/>
        <v>0</v>
      </c>
      <c r="AP42" s="44">
        <f t="shared" ref="AP42:AQ42" si="14">AP31 * AP$35 * AP37</f>
        <v>0</v>
      </c>
      <c r="AQ42" s="44">
        <f t="shared" si="14"/>
        <v>0</v>
      </c>
    </row>
    <row r="43" spans="4:43">
      <c r="E43" s="6" t="str">
        <f>E32</f>
        <v>Other operational costs</v>
      </c>
      <c r="F43" s="17"/>
      <c r="G43" s="6"/>
      <c r="H43" s="48">
        <f>SUM(J43:AQ43)</f>
        <v>0</v>
      </c>
      <c r="J43" s="44">
        <f t="shared" ref="J43:AO43" si="15">J32 * J$35 * J38</f>
        <v>0</v>
      </c>
      <c r="K43" s="44">
        <f t="shared" si="15"/>
        <v>0</v>
      </c>
      <c r="L43" s="44">
        <f t="shared" si="15"/>
        <v>0</v>
      </c>
      <c r="M43" s="44">
        <f t="shared" si="15"/>
        <v>0</v>
      </c>
      <c r="N43" s="44">
        <f t="shared" si="15"/>
        <v>0</v>
      </c>
      <c r="O43" s="44">
        <f t="shared" si="15"/>
        <v>0</v>
      </c>
      <c r="P43" s="44">
        <f t="shared" si="15"/>
        <v>0</v>
      </c>
      <c r="Q43" s="44">
        <f t="shared" si="15"/>
        <v>0</v>
      </c>
      <c r="R43" s="44">
        <f t="shared" si="15"/>
        <v>0</v>
      </c>
      <c r="S43" s="44">
        <f t="shared" si="15"/>
        <v>0</v>
      </c>
      <c r="T43" s="44">
        <f t="shared" si="15"/>
        <v>0</v>
      </c>
      <c r="U43" s="44">
        <f t="shared" si="15"/>
        <v>0</v>
      </c>
      <c r="V43" s="44">
        <f t="shared" si="15"/>
        <v>0</v>
      </c>
      <c r="W43" s="44">
        <f t="shared" si="15"/>
        <v>0</v>
      </c>
      <c r="X43" s="44">
        <f t="shared" si="15"/>
        <v>0</v>
      </c>
      <c r="Y43" s="44">
        <f t="shared" si="15"/>
        <v>0</v>
      </c>
      <c r="Z43" s="44">
        <f t="shared" si="15"/>
        <v>0</v>
      </c>
      <c r="AA43" s="44">
        <f t="shared" si="15"/>
        <v>0</v>
      </c>
      <c r="AB43" s="44">
        <f t="shared" si="15"/>
        <v>0</v>
      </c>
      <c r="AC43" s="44">
        <f t="shared" si="15"/>
        <v>0</v>
      </c>
      <c r="AD43" s="44">
        <f t="shared" si="15"/>
        <v>0</v>
      </c>
      <c r="AE43" s="44">
        <f t="shared" si="15"/>
        <v>0</v>
      </c>
      <c r="AF43" s="44">
        <f t="shared" si="15"/>
        <v>0</v>
      </c>
      <c r="AG43" s="44">
        <f t="shared" si="15"/>
        <v>0</v>
      </c>
      <c r="AH43" s="44">
        <f t="shared" si="15"/>
        <v>0</v>
      </c>
      <c r="AI43" s="44">
        <f t="shared" si="15"/>
        <v>0</v>
      </c>
      <c r="AJ43" s="44">
        <f t="shared" si="15"/>
        <v>0</v>
      </c>
      <c r="AK43" s="44">
        <f t="shared" si="15"/>
        <v>0</v>
      </c>
      <c r="AL43" s="44">
        <f t="shared" si="15"/>
        <v>0</v>
      </c>
      <c r="AM43" s="44">
        <f t="shared" si="15"/>
        <v>0</v>
      </c>
      <c r="AN43" s="44">
        <f t="shared" si="15"/>
        <v>0</v>
      </c>
      <c r="AO43" s="44">
        <f t="shared" si="15"/>
        <v>0</v>
      </c>
      <c r="AP43" s="44">
        <f t="shared" ref="AP43:AQ43" si="16">AP32 * AP$35 * AP38</f>
        <v>0</v>
      </c>
      <c r="AQ43" s="44">
        <f t="shared" si="16"/>
        <v>0</v>
      </c>
    </row>
    <row r="44" spans="4:43">
      <c r="E44" s="18" t="s">
        <v>126</v>
      </c>
      <c r="H44" s="48">
        <f>SUM(J44:AQ44)</f>
        <v>26176732.28622805</v>
      </c>
      <c r="J44" s="111">
        <f t="shared" ref="J44:AO44" si="17">SUM(J41:J43)</f>
        <v>673780.85745238094</v>
      </c>
      <c r="K44" s="111">
        <f t="shared" si="17"/>
        <v>703602.09516369039</v>
      </c>
      <c r="L44" s="111">
        <f t="shared" si="17"/>
        <v>745188.96720039379</v>
      </c>
      <c r="M44" s="111">
        <f t="shared" si="17"/>
        <v>761960.72618597024</v>
      </c>
      <c r="N44" s="111">
        <f t="shared" si="17"/>
        <v>790307.30426389223</v>
      </c>
      <c r="O44" s="111">
        <f t="shared" si="17"/>
        <v>815963.25292232912</v>
      </c>
      <c r="P44" s="111">
        <f t="shared" si="17"/>
        <v>833144.26253799582</v>
      </c>
      <c r="Q44" s="111">
        <f t="shared" si="17"/>
        <v>865551.49109936086</v>
      </c>
      <c r="R44" s="111">
        <f t="shared" si="17"/>
        <v>908586.62055102596</v>
      </c>
      <c r="S44" s="111">
        <f t="shared" si="17"/>
        <v>956079.80671224766</v>
      </c>
      <c r="T44" s="111">
        <f t="shared" si="17"/>
        <v>989397.23382793751</v>
      </c>
      <c r="U44" s="111">
        <f t="shared" si="17"/>
        <v>1018176.8387725635</v>
      </c>
      <c r="V44" s="111">
        <f t="shared" si="17"/>
        <v>1068965.057981486</v>
      </c>
      <c r="W44" s="111">
        <f t="shared" si="17"/>
        <v>1112460.636354275</v>
      </c>
      <c r="X44" s="111">
        <f t="shared" si="17"/>
        <v>1144735.2909025932</v>
      </c>
      <c r="Y44" s="111">
        <f t="shared" si="17"/>
        <v>1190494.6443663288</v>
      </c>
      <c r="Z44" s="111">
        <f t="shared" si="17"/>
        <v>1156021.4116516192</v>
      </c>
      <c r="AA44" s="111">
        <f t="shared" si="17"/>
        <v>1186489.4941011218</v>
      </c>
      <c r="AB44" s="111">
        <f t="shared" si="17"/>
        <v>1226257.5278922732</v>
      </c>
      <c r="AC44" s="111">
        <f t="shared" si="17"/>
        <v>1256999.0004442986</v>
      </c>
      <c r="AD44" s="111">
        <f t="shared" si="17"/>
        <v>1288423.9754554061</v>
      </c>
      <c r="AE44" s="111">
        <f t="shared" si="17"/>
        <v>1320634.5748417911</v>
      </c>
      <c r="AF44" s="111">
        <f t="shared" si="17"/>
        <v>1353650.4392128359</v>
      </c>
      <c r="AG44" s="111">
        <f t="shared" si="17"/>
        <v>1387585.5685601148</v>
      </c>
      <c r="AH44" s="111">
        <f t="shared" si="17"/>
        <v>1422275.2077741174</v>
      </c>
      <c r="AI44" s="111">
        <f t="shared" si="17"/>
        <v>0</v>
      </c>
      <c r="AJ44" s="111">
        <f t="shared" si="17"/>
        <v>0</v>
      </c>
      <c r="AK44" s="111">
        <f t="shared" si="17"/>
        <v>0</v>
      </c>
      <c r="AL44" s="111">
        <f t="shared" si="17"/>
        <v>0</v>
      </c>
      <c r="AM44" s="111">
        <f t="shared" si="17"/>
        <v>0</v>
      </c>
      <c r="AN44" s="111">
        <f t="shared" si="17"/>
        <v>0</v>
      </c>
      <c r="AO44" s="111">
        <f t="shared" si="17"/>
        <v>0</v>
      </c>
      <c r="AP44" s="111">
        <f t="shared" ref="AP44:AQ44" si="18">SUM(AP41:AP43)</f>
        <v>0</v>
      </c>
      <c r="AQ44" s="111">
        <f t="shared" si="18"/>
        <v>0</v>
      </c>
    </row>
    <row r="45" spans="4:43">
      <c r="H45" s="48"/>
    </row>
    <row r="46" spans="4:43">
      <c r="E46" s="5"/>
      <c r="H46" s="48"/>
    </row>
    <row r="47" spans="4:43">
      <c r="D47" s="1" t="s">
        <v>129</v>
      </c>
    </row>
    <row r="48" spans="4:43">
      <c r="E48" s="18" t="str">
        <f>'Input Profile'!E30</f>
        <v>Maintenance</v>
      </c>
      <c r="H48" s="48">
        <f>SUM(J48:AQ48)</f>
        <v>3553432.7291666651</v>
      </c>
      <c r="J48" s="45">
        <f>'Input Profile'!J30</f>
        <v>249882.06845238095</v>
      </c>
      <c r="K48" s="45">
        <f>'Input Profile'!K30</f>
        <v>249882.06845238095</v>
      </c>
      <c r="L48" s="45">
        <f>'Input Profile'!L30</f>
        <v>249882.06845238095</v>
      </c>
      <c r="M48" s="45">
        <f>'Input Profile'!M30</f>
        <v>86570.122023809527</v>
      </c>
      <c r="N48" s="45">
        <f>'Input Profile'!N30</f>
        <v>86570.122023809527</v>
      </c>
      <c r="O48" s="45">
        <f>'Input Profile'!O30</f>
        <v>86570.122023809527</v>
      </c>
      <c r="P48" s="45">
        <f>'Input Profile'!P30</f>
        <v>86570.122023809527</v>
      </c>
      <c r="Q48" s="45">
        <f>'Input Profile'!Q30</f>
        <v>86570.122023809527</v>
      </c>
      <c r="R48" s="45">
        <f>'Input Profile'!R30</f>
        <v>86570.122023809527</v>
      </c>
      <c r="S48" s="45">
        <f>'Input Profile'!S30</f>
        <v>86570.122023809527</v>
      </c>
      <c r="T48" s="45">
        <f>'Input Profile'!T30</f>
        <v>86570.122023809527</v>
      </c>
      <c r="U48" s="45">
        <f>'Input Profile'!U30</f>
        <v>116921.68452380953</v>
      </c>
      <c r="V48" s="45">
        <f>'Input Profile'!V30</f>
        <v>116921.68452380953</v>
      </c>
      <c r="W48" s="45">
        <f>'Input Profile'!W30</f>
        <v>116921.68452380953</v>
      </c>
      <c r="X48" s="45">
        <f>'Input Profile'!X30</f>
        <v>116921.68452380953</v>
      </c>
      <c r="Y48" s="45">
        <f>'Input Profile'!Y30</f>
        <v>116921.68452380953</v>
      </c>
      <c r="Z48" s="45">
        <f>'Input Profile'!Z30</f>
        <v>116921.68452380953</v>
      </c>
      <c r="AA48" s="45">
        <f>'Input Profile'!AA30</f>
        <v>116921.68452380953</v>
      </c>
      <c r="AB48" s="45">
        <f>'Input Profile'!AB30</f>
        <v>116921.68452380953</v>
      </c>
      <c r="AC48" s="45">
        <f>'Input Profile'!AC30</f>
        <v>106895.64285714286</v>
      </c>
      <c r="AD48" s="45">
        <f>'Input Profile'!AD30</f>
        <v>106895.64285714286</v>
      </c>
      <c r="AE48" s="45">
        <f>'Input Profile'!AE30</f>
        <v>106895.64285714286</v>
      </c>
      <c r="AF48" s="45">
        <f>'Input Profile'!AF30</f>
        <v>106895.64285714286</v>
      </c>
      <c r="AG48" s="45">
        <f>'Input Profile'!AG30</f>
        <v>106895.64285714286</v>
      </c>
      <c r="AH48" s="45">
        <f>'Input Profile'!AH30</f>
        <v>106895.64285714286</v>
      </c>
      <c r="AI48" s="45">
        <f>'Input Profile'!AI30</f>
        <v>106895.64285714286</v>
      </c>
      <c r="AJ48" s="45">
        <f>'Input Profile'!AJ30</f>
        <v>106895.64285714286</v>
      </c>
      <c r="AK48" s="45">
        <f>'Input Profile'!AK30</f>
        <v>106895.64285714286</v>
      </c>
      <c r="AL48" s="45">
        <f>'Input Profile'!AL30</f>
        <v>106895.64285714286</v>
      </c>
      <c r="AM48" s="45">
        <f>'Input Profile'!AM30</f>
        <v>106895.64285714286</v>
      </c>
      <c r="AN48" s="45">
        <f>'Input Profile'!AN30</f>
        <v>0</v>
      </c>
      <c r="AO48" s="45">
        <f>'Input Profile'!AO30</f>
        <v>0</v>
      </c>
      <c r="AP48" s="45">
        <f>'Input Profile'!AP30</f>
        <v>0</v>
      </c>
      <c r="AQ48" s="45">
        <f>'Input Profile'!AQ30</f>
        <v>0</v>
      </c>
    </row>
    <row r="49" spans="4:43">
      <c r="E49" s="18" t="str">
        <f>'Input Profile'!E31</f>
        <v>Energy costs</v>
      </c>
      <c r="H49" s="48">
        <f>SUM(J49:AQ49)</f>
        <v>9046939.0503517184</v>
      </c>
      <c r="J49" s="45">
        <f>'Input Profile'!J31</f>
        <v>423898.78900000005</v>
      </c>
      <c r="K49" s="45">
        <f>'Input Profile'!K31</f>
        <v>436559</v>
      </c>
      <c r="L49" s="45">
        <f>'Input Profile'!L31</f>
        <v>459399.51841295534</v>
      </c>
      <c r="M49" s="45">
        <f>'Input Profile'!M31</f>
        <v>240335.87257949496</v>
      </c>
      <c r="N49" s="45">
        <f>'Input Profile'!N31</f>
        <v>244759.22682808389</v>
      </c>
      <c r="O49" s="45">
        <f>'Input Profile'!O31</f>
        <v>247496.91026488369</v>
      </c>
      <c r="P49" s="45">
        <f>'Input Profile'!P31</f>
        <v>246039.67147899119</v>
      </c>
      <c r="Q49" s="45">
        <f>'Input Profile'!Q31</f>
        <v>251129.06699848949</v>
      </c>
      <c r="R49" s="45">
        <f>'Input Profile'!R31</f>
        <v>259747.34346977068</v>
      </c>
      <c r="S49" s="45">
        <f>'Input Profile'!S31</f>
        <v>270165.94437503436</v>
      </c>
      <c r="T49" s="45">
        <f>'Input Profile'!T31</f>
        <v>274028.28357151692</v>
      </c>
      <c r="U49" s="45">
        <f>'Input Profile'!U31</f>
        <v>275619.4307863834</v>
      </c>
      <c r="V49" s="45">
        <f>'Input Profile'!V31</f>
        <v>285510.27494216163</v>
      </c>
      <c r="W49" s="45">
        <f>'Input Profile'!W31</f>
        <v>291898.49470085785</v>
      </c>
      <c r="X49" s="45">
        <f>'Input Profile'!X31</f>
        <v>293557.03373945621</v>
      </c>
      <c r="Y49" s="45">
        <f>'Input Profile'!Y31</f>
        <v>299742.20280846639</v>
      </c>
      <c r="Z49" s="45">
        <f>'Input Profile'!Z31</f>
        <v>299942.62784268224</v>
      </c>
      <c r="AA49" s="45">
        <f>'Input Profile'!AA31</f>
        <v>300483.51286951808</v>
      </c>
      <c r="AB49" s="45">
        <f>'Input Profile'!AB31</f>
        <v>303885.48714024725</v>
      </c>
      <c r="AC49" s="45">
        <f>'Input Profile'!AC31</f>
        <v>303885.48714024725</v>
      </c>
      <c r="AD49" s="45">
        <f>'Input Profile'!AD31</f>
        <v>303885.48714024725</v>
      </c>
      <c r="AE49" s="45">
        <f>'Input Profile'!AE31</f>
        <v>303885.48714024725</v>
      </c>
      <c r="AF49" s="45">
        <f>'Input Profile'!AF31</f>
        <v>303885.48714024725</v>
      </c>
      <c r="AG49" s="45">
        <f>'Input Profile'!AG31</f>
        <v>303885.48714024725</v>
      </c>
      <c r="AH49" s="45">
        <f>'Input Profile'!AH31</f>
        <v>303885.48714024725</v>
      </c>
      <c r="AI49" s="45">
        <f>'Input Profile'!AI31</f>
        <v>303885.48714024725</v>
      </c>
      <c r="AJ49" s="45">
        <f>'Input Profile'!AJ31</f>
        <v>303885.48714024725</v>
      </c>
      <c r="AK49" s="45">
        <f>'Input Profile'!AK31</f>
        <v>303885.48714024725</v>
      </c>
      <c r="AL49" s="45">
        <f>'Input Profile'!AL31</f>
        <v>303885.48714024725</v>
      </c>
      <c r="AM49" s="45">
        <f>'Input Profile'!AM31</f>
        <v>303885.48714024725</v>
      </c>
      <c r="AN49" s="45">
        <f>'Input Profile'!AN31</f>
        <v>0</v>
      </c>
      <c r="AO49" s="45">
        <f>'Input Profile'!AO31</f>
        <v>0</v>
      </c>
      <c r="AP49" s="45">
        <f>'Input Profile'!AP31</f>
        <v>0</v>
      </c>
      <c r="AQ49" s="45">
        <f>'Input Profile'!AQ31</f>
        <v>0</v>
      </c>
    </row>
    <row r="50" spans="4:43">
      <c r="E50" s="18" t="str">
        <f>'Input Profile'!E32</f>
        <v>Other operational costs</v>
      </c>
      <c r="H50" s="48">
        <f>SUM(J50:AQ50)</f>
        <v>0</v>
      </c>
      <c r="J50" s="44">
        <f>'Input Profile'!J32</f>
        <v>0</v>
      </c>
      <c r="K50" s="44">
        <f>'Input Profile'!K32</f>
        <v>0</v>
      </c>
      <c r="L50" s="44">
        <f>'Input Profile'!L32</f>
        <v>0</v>
      </c>
      <c r="M50" s="44">
        <f>'Input Profile'!M32</f>
        <v>0</v>
      </c>
      <c r="N50" s="44">
        <f>'Input Profile'!N32</f>
        <v>0</v>
      </c>
      <c r="O50" s="44">
        <f>'Input Profile'!O32</f>
        <v>0</v>
      </c>
      <c r="P50" s="44">
        <f>'Input Profile'!P32</f>
        <v>0</v>
      </c>
      <c r="Q50" s="44">
        <f>'Input Profile'!Q32</f>
        <v>0</v>
      </c>
      <c r="R50" s="44">
        <f>'Input Profile'!R32</f>
        <v>0</v>
      </c>
      <c r="S50" s="44">
        <f>'Input Profile'!S32</f>
        <v>0</v>
      </c>
      <c r="T50" s="44">
        <f>'Input Profile'!T32</f>
        <v>0</v>
      </c>
      <c r="U50" s="44">
        <f>'Input Profile'!U32</f>
        <v>0</v>
      </c>
      <c r="V50" s="44">
        <f>'Input Profile'!V32</f>
        <v>0</v>
      </c>
      <c r="W50" s="44">
        <f>'Input Profile'!W32</f>
        <v>0</v>
      </c>
      <c r="X50" s="44">
        <f>'Input Profile'!X32</f>
        <v>0</v>
      </c>
      <c r="Y50" s="44">
        <f>'Input Profile'!Y32</f>
        <v>0</v>
      </c>
      <c r="Z50" s="44">
        <f>'Input Profile'!Z32</f>
        <v>0</v>
      </c>
      <c r="AA50" s="44">
        <f>'Input Profile'!AA32</f>
        <v>0</v>
      </c>
      <c r="AB50" s="44">
        <f>'Input Profile'!AB32</f>
        <v>0</v>
      </c>
      <c r="AC50" s="44">
        <f>'Input Profile'!AC32</f>
        <v>0</v>
      </c>
      <c r="AD50" s="44">
        <f>'Input Profile'!AD32</f>
        <v>0</v>
      </c>
      <c r="AE50" s="44">
        <f>'Input Profile'!AE32</f>
        <v>0</v>
      </c>
      <c r="AF50" s="44">
        <f>'Input Profile'!AF32</f>
        <v>0</v>
      </c>
      <c r="AG50" s="44">
        <f>'Input Profile'!AG32</f>
        <v>0</v>
      </c>
      <c r="AH50" s="44">
        <f>'Input Profile'!AH32</f>
        <v>0</v>
      </c>
      <c r="AI50" s="44">
        <f>'Input Profile'!AI32</f>
        <v>0</v>
      </c>
      <c r="AJ50" s="44">
        <f>'Input Profile'!AJ32</f>
        <v>0</v>
      </c>
      <c r="AK50" s="44">
        <f>'Input Profile'!AK32</f>
        <v>0</v>
      </c>
      <c r="AL50" s="44">
        <f>'Input Profile'!AL32</f>
        <v>0</v>
      </c>
      <c r="AM50" s="44">
        <f>'Input Profile'!AM32</f>
        <v>0</v>
      </c>
      <c r="AN50" s="44">
        <f>'Input Profile'!AN32</f>
        <v>0</v>
      </c>
      <c r="AO50" s="44">
        <f>'Input Profile'!AO32</f>
        <v>0</v>
      </c>
      <c r="AP50" s="44">
        <f>'Input Profile'!AP32</f>
        <v>0</v>
      </c>
      <c r="AQ50" s="44">
        <f>'Input Profile'!AQ32</f>
        <v>0</v>
      </c>
    </row>
    <row r="51" spans="4:43">
      <c r="E51" s="18" t="s">
        <v>135</v>
      </c>
      <c r="H51" s="48">
        <f>SUM(J51:AQ51)</f>
        <v>12600371.779518373</v>
      </c>
      <c r="J51" s="111">
        <f t="shared" ref="J51:AO51" si="19">SUM(J48:J50)</f>
        <v>673780.85745238094</v>
      </c>
      <c r="K51" s="111">
        <f t="shared" si="19"/>
        <v>686441.06845238095</v>
      </c>
      <c r="L51" s="111">
        <f t="shared" si="19"/>
        <v>709281.58686533628</v>
      </c>
      <c r="M51" s="111">
        <f t="shared" si="19"/>
        <v>326905.99460330448</v>
      </c>
      <c r="N51" s="111">
        <f t="shared" si="19"/>
        <v>331329.34885189345</v>
      </c>
      <c r="O51" s="111">
        <f t="shared" si="19"/>
        <v>334067.03228869324</v>
      </c>
      <c r="P51" s="111">
        <f t="shared" si="19"/>
        <v>332609.79350280075</v>
      </c>
      <c r="Q51" s="111">
        <f t="shared" si="19"/>
        <v>337699.18902229902</v>
      </c>
      <c r="R51" s="111">
        <f t="shared" si="19"/>
        <v>346317.46549358021</v>
      </c>
      <c r="S51" s="111">
        <f t="shared" si="19"/>
        <v>356736.06639884389</v>
      </c>
      <c r="T51" s="111">
        <f t="shared" si="19"/>
        <v>360598.40559532645</v>
      </c>
      <c r="U51" s="111">
        <f t="shared" si="19"/>
        <v>392541.11531019292</v>
      </c>
      <c r="V51" s="111">
        <f t="shared" si="19"/>
        <v>402431.95946597116</v>
      </c>
      <c r="W51" s="111">
        <f t="shared" si="19"/>
        <v>408820.17922466737</v>
      </c>
      <c r="X51" s="111">
        <f t="shared" si="19"/>
        <v>410478.71826326574</v>
      </c>
      <c r="Y51" s="111">
        <f t="shared" si="19"/>
        <v>416663.88733227592</v>
      </c>
      <c r="Z51" s="111">
        <f t="shared" si="19"/>
        <v>416864.31236649177</v>
      </c>
      <c r="AA51" s="111">
        <f t="shared" si="19"/>
        <v>417405.1973933276</v>
      </c>
      <c r="AB51" s="111">
        <f t="shared" si="19"/>
        <v>420807.17166405678</v>
      </c>
      <c r="AC51" s="111">
        <f t="shared" si="19"/>
        <v>410781.12999739009</v>
      </c>
      <c r="AD51" s="111">
        <f t="shared" si="19"/>
        <v>410781.12999739009</v>
      </c>
      <c r="AE51" s="111">
        <f t="shared" si="19"/>
        <v>410781.12999739009</v>
      </c>
      <c r="AF51" s="111">
        <f t="shared" si="19"/>
        <v>410781.12999739009</v>
      </c>
      <c r="AG51" s="111">
        <f t="shared" si="19"/>
        <v>410781.12999739009</v>
      </c>
      <c r="AH51" s="111">
        <f t="shared" si="19"/>
        <v>410781.12999739009</v>
      </c>
      <c r="AI51" s="111">
        <f t="shared" si="19"/>
        <v>410781.12999739009</v>
      </c>
      <c r="AJ51" s="111">
        <f t="shared" si="19"/>
        <v>410781.12999739009</v>
      </c>
      <c r="AK51" s="111">
        <f t="shared" si="19"/>
        <v>410781.12999739009</v>
      </c>
      <c r="AL51" s="111">
        <f t="shared" si="19"/>
        <v>410781.12999739009</v>
      </c>
      <c r="AM51" s="111">
        <f t="shared" si="19"/>
        <v>410781.12999739009</v>
      </c>
      <c r="AN51" s="111">
        <f t="shared" si="19"/>
        <v>0</v>
      </c>
      <c r="AO51" s="111">
        <f t="shared" si="19"/>
        <v>0</v>
      </c>
      <c r="AP51" s="111">
        <f t="shared" ref="AP51:AQ51" si="20">SUM(AP48:AP50)</f>
        <v>0</v>
      </c>
      <c r="AQ51" s="111">
        <f t="shared" si="20"/>
        <v>0</v>
      </c>
    </row>
    <row r="53" spans="4:43">
      <c r="E53" s="18" t="str">
        <f>Flags!$E$10</f>
        <v>Operating Flag</v>
      </c>
      <c r="J53" s="45">
        <f>Flags!J$10</f>
        <v>1</v>
      </c>
      <c r="K53" s="45">
        <f>Flags!K$10</f>
        <v>1</v>
      </c>
      <c r="L53" s="45">
        <f>Flags!L$10</f>
        <v>1</v>
      </c>
      <c r="M53" s="45">
        <f>Flags!M$10</f>
        <v>1</v>
      </c>
      <c r="N53" s="45">
        <f>Flags!N$10</f>
        <v>1</v>
      </c>
      <c r="O53" s="45">
        <f>Flags!O$10</f>
        <v>1</v>
      </c>
      <c r="P53" s="45">
        <f>Flags!P$10</f>
        <v>1</v>
      </c>
      <c r="Q53" s="45">
        <f>Flags!Q$10</f>
        <v>1</v>
      </c>
      <c r="R53" s="45">
        <f>Flags!R$10</f>
        <v>1</v>
      </c>
      <c r="S53" s="45">
        <f>Flags!S$10</f>
        <v>1</v>
      </c>
      <c r="T53" s="45">
        <f>Flags!T$10</f>
        <v>1</v>
      </c>
      <c r="U53" s="45">
        <f>Flags!U$10</f>
        <v>1</v>
      </c>
      <c r="V53" s="45">
        <f>Flags!V$10</f>
        <v>1</v>
      </c>
      <c r="W53" s="45">
        <f>Flags!W$10</f>
        <v>1</v>
      </c>
      <c r="X53" s="45">
        <f>Flags!X$10</f>
        <v>1</v>
      </c>
      <c r="Y53" s="45">
        <f>Flags!Y$10</f>
        <v>1</v>
      </c>
      <c r="Z53" s="45">
        <f>Flags!Z$10</f>
        <v>1</v>
      </c>
      <c r="AA53" s="45">
        <f>Flags!AA$10</f>
        <v>1</v>
      </c>
      <c r="AB53" s="45">
        <f>Flags!AB$10</f>
        <v>1</v>
      </c>
      <c r="AC53" s="45">
        <f>Flags!AC$10</f>
        <v>1</v>
      </c>
      <c r="AD53" s="45">
        <f>Flags!AD$10</f>
        <v>1</v>
      </c>
      <c r="AE53" s="45">
        <f>Flags!AE$10</f>
        <v>1</v>
      </c>
      <c r="AF53" s="45">
        <f>Flags!AF$10</f>
        <v>1</v>
      </c>
      <c r="AG53" s="45">
        <f>Flags!AG$10</f>
        <v>1</v>
      </c>
      <c r="AH53" s="45">
        <f>Flags!AH$10</f>
        <v>1</v>
      </c>
      <c r="AI53" s="45">
        <f>Flags!AI$10</f>
        <v>0</v>
      </c>
      <c r="AJ53" s="45">
        <f>Flags!AJ$10</f>
        <v>0</v>
      </c>
      <c r="AK53" s="45">
        <f>Flags!AK$10</f>
        <v>0</v>
      </c>
      <c r="AL53" s="45">
        <f>Flags!AL$10</f>
        <v>0</v>
      </c>
      <c r="AM53" s="45">
        <f>Flags!AM$10</f>
        <v>0</v>
      </c>
      <c r="AN53" s="45">
        <f>Flags!AN$10</f>
        <v>0</v>
      </c>
      <c r="AO53" s="45">
        <f>Flags!AO$10</f>
        <v>0</v>
      </c>
      <c r="AP53" s="45">
        <f>Flags!AP$10</f>
        <v>0</v>
      </c>
      <c r="AQ53" s="45">
        <f>Flags!AQ$10</f>
        <v>0</v>
      </c>
    </row>
    <row r="54" spans="4:43">
      <c r="E54" t="str">
        <f>Flags!E$37</f>
        <v>Maintenance Upgrade Inflation</v>
      </c>
      <c r="F54" s="7">
        <f>Flags!$F$37</f>
        <v>2.5000000000000001E-2</v>
      </c>
      <c r="G54" t="str">
        <f>Flags!G$37</f>
        <v>p.a.</v>
      </c>
      <c r="J54" s="72">
        <f>Flags!J$37</f>
        <v>1</v>
      </c>
      <c r="K54" s="72">
        <f>Flags!K$37</f>
        <v>1.0249999999999999</v>
      </c>
      <c r="L54" s="72">
        <f>Flags!L$37</f>
        <v>1.0506249999999999</v>
      </c>
      <c r="M54" s="72">
        <f>Flags!M$37</f>
        <v>1.0769634801848973</v>
      </c>
      <c r="N54" s="72">
        <f>Flags!N$37</f>
        <v>1.1038875671895196</v>
      </c>
      <c r="O54" s="72">
        <f>Flags!O$37</f>
        <v>1.1314847563692576</v>
      </c>
      <c r="P54" s="72">
        <f>Flags!P$37</f>
        <v>1.1597718752784889</v>
      </c>
      <c r="Q54" s="72">
        <f>Flags!Q$37</f>
        <v>1.1888465960932646</v>
      </c>
      <c r="R54" s="72">
        <f>Flags!R$37</f>
        <v>1.2185677609955963</v>
      </c>
      <c r="S54" s="72">
        <f>Flags!S$37</f>
        <v>1.249031955020486</v>
      </c>
      <c r="T54" s="72">
        <f>Flags!T$37</f>
        <v>1.2802577538959981</v>
      </c>
      <c r="U54" s="72">
        <f>Flags!U$37</f>
        <v>1.3123529767229354</v>
      </c>
      <c r="V54" s="72">
        <f>Flags!V$37</f>
        <v>1.3451618011410087</v>
      </c>
      <c r="W54" s="72">
        <f>Flags!W$37</f>
        <v>1.3787908461695337</v>
      </c>
      <c r="X54" s="72">
        <f>Flags!X$37</f>
        <v>1.4132606173237721</v>
      </c>
      <c r="Y54" s="72">
        <f>Flags!Y$37</f>
        <v>1.4486901347686054</v>
      </c>
      <c r="Z54" s="72">
        <f>Flags!Z$37</f>
        <v>1.4849073881378205</v>
      </c>
      <c r="AA54" s="72">
        <f>Flags!AA$37</f>
        <v>1.5220300728412659</v>
      </c>
      <c r="AB54" s="72">
        <f>Flags!AB$37</f>
        <v>1.5600808246622975</v>
      </c>
      <c r="AC54" s="72">
        <f>Flags!AC$37</f>
        <v>1.5991910284811732</v>
      </c>
      <c r="AD54" s="72">
        <f>Flags!AD$37</f>
        <v>1.6391708041932025</v>
      </c>
      <c r="AE54" s="72">
        <f>Flags!AE$37</f>
        <v>1.6801500742980322</v>
      </c>
      <c r="AF54" s="72">
        <f>Flags!AF$37</f>
        <v>1.722153826155483</v>
      </c>
      <c r="AG54" s="72">
        <f>Flags!AG$37</f>
        <v>1.7653270939013881</v>
      </c>
      <c r="AH54" s="72">
        <f>Flags!AH$37</f>
        <v>1.8094602712489225</v>
      </c>
      <c r="AI54" s="72">
        <f>Flags!AI$37</f>
        <v>1.8546967780301453</v>
      </c>
      <c r="AJ54" s="72">
        <f>Flags!AJ$37</f>
        <v>1.9010641974808991</v>
      </c>
      <c r="AK54" s="72">
        <f>Flags!AK$37</f>
        <v>1.9487226309805481</v>
      </c>
      <c r="AL54" s="72">
        <f>Flags!AL$37</f>
        <v>1.9974406967550618</v>
      </c>
      <c r="AM54" s="72">
        <f>Flags!AM$37</f>
        <v>2.0473767141739381</v>
      </c>
      <c r="AN54" s="72">
        <f>Flags!AN$37</f>
        <v>2.0985611320282862</v>
      </c>
      <c r="AO54" s="72">
        <f>Flags!AO$37</f>
        <v>2.1511706842402769</v>
      </c>
      <c r="AP54" s="72">
        <f>Flags!AP$37</f>
        <v>2.204949951346284</v>
      </c>
      <c r="AQ54" s="72">
        <f>Flags!AQ$37</f>
        <v>2.2600737001299409</v>
      </c>
    </row>
    <row r="55" spans="4:43">
      <c r="E55" t="str">
        <f>Flags!E$39</f>
        <v>Energy Upgrade Inflation</v>
      </c>
      <c r="F55" s="7">
        <f>Flags!$F$39</f>
        <v>2.5000000000000001E-2</v>
      </c>
      <c r="G55" t="str">
        <f>Flags!G$37</f>
        <v>p.a.</v>
      </c>
      <c r="J55" s="72">
        <f>Flags!J$39</f>
        <v>1</v>
      </c>
      <c r="K55" s="72">
        <f>Flags!K$39</f>
        <v>1.0249999999999999</v>
      </c>
      <c r="L55" s="72">
        <f>Flags!L$39</f>
        <v>1.0506249999999999</v>
      </c>
      <c r="M55" s="72">
        <f>Flags!M$39</f>
        <v>1.0769634801848973</v>
      </c>
      <c r="N55" s="72">
        <f>Flags!N$39</f>
        <v>1.1038875671895196</v>
      </c>
      <c r="O55" s="72">
        <f>Flags!O$39</f>
        <v>1.1314847563692576</v>
      </c>
      <c r="P55" s="72">
        <f>Flags!P$39</f>
        <v>1.1597718752784889</v>
      </c>
      <c r="Q55" s="72">
        <f>Flags!Q$39</f>
        <v>1.1888465960932646</v>
      </c>
      <c r="R55" s="72">
        <f>Flags!R$39</f>
        <v>1.2185677609955963</v>
      </c>
      <c r="S55" s="72">
        <f>Flags!S$39</f>
        <v>1.249031955020486</v>
      </c>
      <c r="T55" s="72">
        <f>Flags!T$39</f>
        <v>1.2802577538959981</v>
      </c>
      <c r="U55" s="72">
        <f>Flags!U$39</f>
        <v>1.3123529767229354</v>
      </c>
      <c r="V55" s="72">
        <f>Flags!V$39</f>
        <v>1.3451618011410087</v>
      </c>
      <c r="W55" s="72">
        <f>Flags!W$39</f>
        <v>1.3787908461695337</v>
      </c>
      <c r="X55" s="72">
        <f>Flags!X$39</f>
        <v>1.4132606173237721</v>
      </c>
      <c r="Y55" s="72">
        <f>Flags!Y$39</f>
        <v>1.4486901347686054</v>
      </c>
      <c r="Z55" s="72">
        <f>Flags!Z$39</f>
        <v>1.4849073881378205</v>
      </c>
      <c r="AA55" s="72">
        <f>Flags!AA$39</f>
        <v>1.5220300728412659</v>
      </c>
      <c r="AB55" s="72">
        <f>Flags!AB$39</f>
        <v>1.5600808246622975</v>
      </c>
      <c r="AC55" s="72">
        <f>Flags!AC$39</f>
        <v>1.5991910284811732</v>
      </c>
      <c r="AD55" s="72">
        <f>Flags!AD$39</f>
        <v>1.6391708041932025</v>
      </c>
      <c r="AE55" s="72">
        <f>Flags!AE$39</f>
        <v>1.6801500742980322</v>
      </c>
      <c r="AF55" s="72">
        <f>Flags!AF$39</f>
        <v>1.722153826155483</v>
      </c>
      <c r="AG55" s="72">
        <f>Flags!AG$39</f>
        <v>1.7653270939013881</v>
      </c>
      <c r="AH55" s="72">
        <f>Flags!AH$39</f>
        <v>1.8094602712489225</v>
      </c>
      <c r="AI55" s="72">
        <f>Flags!AI$39</f>
        <v>1.8546967780301453</v>
      </c>
      <c r="AJ55" s="72">
        <f>Flags!AJ$39</f>
        <v>1.9010641974808991</v>
      </c>
      <c r="AK55" s="72">
        <f>Flags!AK$39</f>
        <v>1.9487226309805481</v>
      </c>
      <c r="AL55" s="72">
        <f>Flags!AL$39</f>
        <v>1.9974406967550618</v>
      </c>
      <c r="AM55" s="72">
        <f>Flags!AM$39</f>
        <v>2.0473767141739381</v>
      </c>
      <c r="AN55" s="72">
        <f>Flags!AN$39</f>
        <v>2.0985611320282862</v>
      </c>
      <c r="AO55" s="72">
        <f>Flags!AO$39</f>
        <v>2.1511706842402769</v>
      </c>
      <c r="AP55" s="72">
        <f>Flags!AP$39</f>
        <v>2.204949951346284</v>
      </c>
      <c r="AQ55" s="72">
        <f>Flags!AQ$39</f>
        <v>2.2600737001299409</v>
      </c>
    </row>
    <row r="56" spans="4:43">
      <c r="E56" t="str">
        <f>Flags!E$41</f>
        <v>Other Operational Costs Upgrade Inflation</v>
      </c>
      <c r="F56" s="17">
        <f>Flags!$F$41</f>
        <v>2.5000000000000001E-2</v>
      </c>
      <c r="G56" s="6" t="str">
        <f>Flags!G$37</f>
        <v>p.a.</v>
      </c>
      <c r="J56" s="104">
        <f>Flags!J$41</f>
        <v>1</v>
      </c>
      <c r="K56" s="104">
        <f>Flags!K$41</f>
        <v>1.0249999999999999</v>
      </c>
      <c r="L56" s="104">
        <f>Flags!L$41</f>
        <v>1.0506249999999999</v>
      </c>
      <c r="M56" s="104">
        <f>Flags!M$41</f>
        <v>1.0769634801848973</v>
      </c>
      <c r="N56" s="104">
        <f>Flags!N$41</f>
        <v>1.1038875671895196</v>
      </c>
      <c r="O56" s="104">
        <f>Flags!O$41</f>
        <v>1.1314847563692576</v>
      </c>
      <c r="P56" s="104">
        <f>Flags!P$41</f>
        <v>1.1597718752784889</v>
      </c>
      <c r="Q56" s="104">
        <f>Flags!Q$41</f>
        <v>1.1888465960932646</v>
      </c>
      <c r="R56" s="104">
        <f>Flags!R$41</f>
        <v>1.2185677609955963</v>
      </c>
      <c r="S56" s="104">
        <f>Flags!S$41</f>
        <v>1.249031955020486</v>
      </c>
      <c r="T56" s="104">
        <f>Flags!T$41</f>
        <v>1.2802577538959981</v>
      </c>
      <c r="U56" s="104">
        <f>Flags!U$41</f>
        <v>1.3123529767229354</v>
      </c>
      <c r="V56" s="104">
        <f>Flags!V$41</f>
        <v>1.3451618011410087</v>
      </c>
      <c r="W56" s="104">
        <f>Flags!W$41</f>
        <v>1.3787908461695337</v>
      </c>
      <c r="X56" s="104">
        <f>Flags!X$41</f>
        <v>1.4132606173237721</v>
      </c>
      <c r="Y56" s="104">
        <f>Flags!Y$41</f>
        <v>1.4486901347686054</v>
      </c>
      <c r="Z56" s="104">
        <f>Flags!Z$41</f>
        <v>1.4849073881378205</v>
      </c>
      <c r="AA56" s="104">
        <f>Flags!AA$41</f>
        <v>1.5220300728412659</v>
      </c>
      <c r="AB56" s="104">
        <f>Flags!AB$41</f>
        <v>1.5600808246622975</v>
      </c>
      <c r="AC56" s="104">
        <f>Flags!AC$41</f>
        <v>1.5991910284811732</v>
      </c>
      <c r="AD56" s="104">
        <f>Flags!AD$41</f>
        <v>1.6391708041932025</v>
      </c>
      <c r="AE56" s="104">
        <f>Flags!AE$41</f>
        <v>1.6801500742980322</v>
      </c>
      <c r="AF56" s="104">
        <f>Flags!AF$41</f>
        <v>1.722153826155483</v>
      </c>
      <c r="AG56" s="104">
        <f>Flags!AG$41</f>
        <v>1.7653270939013881</v>
      </c>
      <c r="AH56" s="104">
        <f>Flags!AH$41</f>
        <v>1.8094602712489225</v>
      </c>
      <c r="AI56" s="104">
        <f>Flags!AI$41</f>
        <v>1.8546967780301453</v>
      </c>
      <c r="AJ56" s="104">
        <f>Flags!AJ$41</f>
        <v>1.9010641974808991</v>
      </c>
      <c r="AK56" s="104">
        <f>Flags!AK$41</f>
        <v>1.9487226309805481</v>
      </c>
      <c r="AL56" s="104">
        <f>Flags!AL$41</f>
        <v>1.9974406967550618</v>
      </c>
      <c r="AM56" s="104">
        <f>Flags!AM$41</f>
        <v>2.0473767141739381</v>
      </c>
      <c r="AN56" s="104">
        <f>Flags!AN$41</f>
        <v>2.0985611320282862</v>
      </c>
      <c r="AO56" s="104">
        <f>Flags!AO$41</f>
        <v>2.1511706842402769</v>
      </c>
      <c r="AP56" s="104">
        <f>Flags!AP$41</f>
        <v>2.204949951346284</v>
      </c>
      <c r="AQ56" s="104">
        <f>Flags!AQ$41</f>
        <v>2.2600737001299409</v>
      </c>
    </row>
    <row r="58" spans="4:43">
      <c r="D58" s="1" t="s">
        <v>120</v>
      </c>
    </row>
    <row r="59" spans="4:43">
      <c r="E59" t="str">
        <f>E30</f>
        <v>Maintenance</v>
      </c>
      <c r="H59" s="48">
        <f>SUM(J59:AQ59)</f>
        <v>4015592.1706493534</v>
      </c>
      <c r="J59" s="44">
        <f>J48 * J$53 * J54</f>
        <v>249882.06845238095</v>
      </c>
      <c r="K59" s="44">
        <f t="shared" ref="K59:AQ59" si="21">K48 * K$53 * K54</f>
        <v>256129.12016369044</v>
      </c>
      <c r="L59" s="44">
        <f t="shared" si="21"/>
        <v>262532.34816778271</v>
      </c>
      <c r="M59" s="44">
        <f t="shared" si="21"/>
        <v>93232.859894793131</v>
      </c>
      <c r="N59" s="44">
        <f t="shared" si="21"/>
        <v>95563.681392162951</v>
      </c>
      <c r="O59" s="44">
        <f t="shared" si="21"/>
        <v>97952.773426967018</v>
      </c>
      <c r="P59" s="44">
        <f t="shared" si="21"/>
        <v>100401.59276264119</v>
      </c>
      <c r="Q59" s="44">
        <f t="shared" si="21"/>
        <v>102918.59489138452</v>
      </c>
      <c r="R59" s="44">
        <f t="shared" si="21"/>
        <v>105491.55976366914</v>
      </c>
      <c r="S59" s="44">
        <f t="shared" si="21"/>
        <v>108128.84875776085</v>
      </c>
      <c r="T59" s="44">
        <f t="shared" si="21"/>
        <v>110832.06997670486</v>
      </c>
      <c r="U59" s="44">
        <f t="shared" si="21"/>
        <v>153442.52072828141</v>
      </c>
      <c r="V59" s="44">
        <f t="shared" si="21"/>
        <v>157278.58374648841</v>
      </c>
      <c r="W59" s="44">
        <f t="shared" si="21"/>
        <v>161210.54834015062</v>
      </c>
      <c r="X59" s="44">
        <f t="shared" si="21"/>
        <v>165240.81204865436</v>
      </c>
      <c r="Y59" s="44">
        <f t="shared" si="21"/>
        <v>169383.29091016998</v>
      </c>
      <c r="Z59" s="44">
        <f t="shared" si="21"/>
        <v>173617.87318292423</v>
      </c>
      <c r="AA59" s="44">
        <f t="shared" si="21"/>
        <v>177958.32001249734</v>
      </c>
      <c r="AB59" s="44">
        <f t="shared" si="21"/>
        <v>182407.27801280975</v>
      </c>
      <c r="AC59" s="44">
        <f t="shared" si="21"/>
        <v>170946.55304087047</v>
      </c>
      <c r="AD59" s="44">
        <f t="shared" si="21"/>
        <v>175220.21686689221</v>
      </c>
      <c r="AE59" s="44">
        <f t="shared" si="21"/>
        <v>179600.72228856449</v>
      </c>
      <c r="AF59" s="44">
        <f t="shared" si="21"/>
        <v>184090.74034577858</v>
      </c>
      <c r="AG59" s="44">
        <f t="shared" si="21"/>
        <v>188705.77455572068</v>
      </c>
      <c r="AH59" s="44">
        <f t="shared" si="21"/>
        <v>193423.41891961364</v>
      </c>
      <c r="AI59" s="44">
        <f t="shared" si="21"/>
        <v>0</v>
      </c>
      <c r="AJ59" s="44">
        <f t="shared" si="21"/>
        <v>0</v>
      </c>
      <c r="AK59" s="44">
        <f t="shared" si="21"/>
        <v>0</v>
      </c>
      <c r="AL59" s="44">
        <f t="shared" si="21"/>
        <v>0</v>
      </c>
      <c r="AM59" s="44">
        <f t="shared" si="21"/>
        <v>0</v>
      </c>
      <c r="AN59" s="44">
        <f t="shared" si="21"/>
        <v>0</v>
      </c>
      <c r="AO59" s="44">
        <f t="shared" si="21"/>
        <v>0</v>
      </c>
      <c r="AP59" s="44">
        <f t="shared" si="21"/>
        <v>0</v>
      </c>
      <c r="AQ59" s="44">
        <f t="shared" si="21"/>
        <v>0</v>
      </c>
    </row>
    <row r="60" spans="4:43">
      <c r="E60" t="str">
        <f t="shared" ref="E60:E61" si="22">E31</f>
        <v>Energy costs</v>
      </c>
      <c r="H60" s="48">
        <f>SUM(J60:AQ60)</f>
        <v>10230269.753496934</v>
      </c>
      <c r="J60" s="44">
        <f t="shared" ref="J60:AQ60" si="23">J49 * J$53 * J55</f>
        <v>423898.78900000005</v>
      </c>
      <c r="K60" s="44">
        <f t="shared" si="23"/>
        <v>447472.97499999998</v>
      </c>
      <c r="L60" s="44">
        <f t="shared" si="23"/>
        <v>482656.61903261114</v>
      </c>
      <c r="M60" s="44">
        <f t="shared" si="23"/>
        <v>258832.95774648691</v>
      </c>
      <c r="N60" s="44">
        <f t="shared" si="23"/>
        <v>270186.66745044134</v>
      </c>
      <c r="O60" s="44">
        <f t="shared" si="23"/>
        <v>280038.9812132059</v>
      </c>
      <c r="P60" s="44">
        <f t="shared" si="23"/>
        <v>285349.89118409296</v>
      </c>
      <c r="Q60" s="44">
        <f t="shared" si="23"/>
        <v>298553.93648123165</v>
      </c>
      <c r="R60" s="44">
        <f t="shared" si="23"/>
        <v>316519.73875651258</v>
      </c>
      <c r="S60" s="44">
        <f t="shared" si="23"/>
        <v>337445.89768270508</v>
      </c>
      <c r="T60" s="44">
        <f t="shared" si="23"/>
        <v>350826.83482924587</v>
      </c>
      <c r="U60" s="44">
        <f t="shared" si="23"/>
        <v>361709.9804351913</v>
      </c>
      <c r="V60" s="44">
        <f t="shared" si="23"/>
        <v>384057.51568546274</v>
      </c>
      <c r="W60" s="44">
        <f t="shared" si="23"/>
        <v>402466.97250420897</v>
      </c>
      <c r="X60" s="44">
        <f t="shared" si="23"/>
        <v>414872.59472235927</v>
      </c>
      <c r="Y60" s="44">
        <f t="shared" si="23"/>
        <v>434233.57218243583</v>
      </c>
      <c r="Z60" s="44">
        <f t="shared" si="23"/>
        <v>445387.02410107158</v>
      </c>
      <c r="AA60" s="44">
        <f t="shared" si="23"/>
        <v>457344.94298039208</v>
      </c>
      <c r="AB60" s="44">
        <f t="shared" si="23"/>
        <v>474085.9213806609</v>
      </c>
      <c r="AC60" s="44">
        <f t="shared" si="23"/>
        <v>485970.94472031435</v>
      </c>
      <c r="AD60" s="44">
        <f t="shared" si="23"/>
        <v>498120.21833832219</v>
      </c>
      <c r="AE60" s="44">
        <f t="shared" si="23"/>
        <v>510573.2237967801</v>
      </c>
      <c r="AF60" s="44">
        <f t="shared" si="23"/>
        <v>523337.55439169961</v>
      </c>
      <c r="AG60" s="44">
        <f t="shared" si="23"/>
        <v>536457.28389210033</v>
      </c>
      <c r="AH60" s="44">
        <f t="shared" si="23"/>
        <v>549868.71598940273</v>
      </c>
      <c r="AI60" s="44">
        <f t="shared" si="23"/>
        <v>0</v>
      </c>
      <c r="AJ60" s="44">
        <f t="shared" si="23"/>
        <v>0</v>
      </c>
      <c r="AK60" s="44">
        <f t="shared" si="23"/>
        <v>0</v>
      </c>
      <c r="AL60" s="44">
        <f t="shared" si="23"/>
        <v>0</v>
      </c>
      <c r="AM60" s="44">
        <f t="shared" si="23"/>
        <v>0</v>
      </c>
      <c r="AN60" s="44">
        <f t="shared" si="23"/>
        <v>0</v>
      </c>
      <c r="AO60" s="44">
        <f t="shared" si="23"/>
        <v>0</v>
      </c>
      <c r="AP60" s="44">
        <f t="shared" si="23"/>
        <v>0</v>
      </c>
      <c r="AQ60" s="44">
        <f t="shared" si="23"/>
        <v>0</v>
      </c>
    </row>
    <row r="61" spans="4:43">
      <c r="E61" t="str">
        <f t="shared" si="22"/>
        <v>Other operational costs</v>
      </c>
      <c r="H61" s="48">
        <f>SUM(J61:AQ61)</f>
        <v>0</v>
      </c>
      <c r="J61" s="44">
        <f t="shared" ref="J61:AQ61" si="24">J50 * J$53 * J56</f>
        <v>0</v>
      </c>
      <c r="K61" s="44">
        <f t="shared" si="24"/>
        <v>0</v>
      </c>
      <c r="L61" s="44">
        <f t="shared" si="24"/>
        <v>0</v>
      </c>
      <c r="M61" s="44">
        <f t="shared" si="24"/>
        <v>0</v>
      </c>
      <c r="N61" s="44">
        <f t="shared" si="24"/>
        <v>0</v>
      </c>
      <c r="O61" s="44">
        <f t="shared" si="24"/>
        <v>0</v>
      </c>
      <c r="P61" s="44">
        <f t="shared" si="24"/>
        <v>0</v>
      </c>
      <c r="Q61" s="44">
        <f t="shared" si="24"/>
        <v>0</v>
      </c>
      <c r="R61" s="44">
        <f t="shared" si="24"/>
        <v>0</v>
      </c>
      <c r="S61" s="44">
        <f t="shared" si="24"/>
        <v>0</v>
      </c>
      <c r="T61" s="44">
        <f t="shared" si="24"/>
        <v>0</v>
      </c>
      <c r="U61" s="44">
        <f t="shared" si="24"/>
        <v>0</v>
      </c>
      <c r="V61" s="44">
        <f t="shared" si="24"/>
        <v>0</v>
      </c>
      <c r="W61" s="44">
        <f t="shared" si="24"/>
        <v>0</v>
      </c>
      <c r="X61" s="44">
        <f t="shared" si="24"/>
        <v>0</v>
      </c>
      <c r="Y61" s="44">
        <f t="shared" si="24"/>
        <v>0</v>
      </c>
      <c r="Z61" s="44">
        <f t="shared" si="24"/>
        <v>0</v>
      </c>
      <c r="AA61" s="44">
        <f t="shared" si="24"/>
        <v>0</v>
      </c>
      <c r="AB61" s="44">
        <f t="shared" si="24"/>
        <v>0</v>
      </c>
      <c r="AC61" s="44">
        <f t="shared" si="24"/>
        <v>0</v>
      </c>
      <c r="AD61" s="44">
        <f t="shared" si="24"/>
        <v>0</v>
      </c>
      <c r="AE61" s="44">
        <f t="shared" si="24"/>
        <v>0</v>
      </c>
      <c r="AF61" s="44">
        <f t="shared" si="24"/>
        <v>0</v>
      </c>
      <c r="AG61" s="44">
        <f t="shared" si="24"/>
        <v>0</v>
      </c>
      <c r="AH61" s="44">
        <f t="shared" si="24"/>
        <v>0</v>
      </c>
      <c r="AI61" s="44">
        <f t="shared" si="24"/>
        <v>0</v>
      </c>
      <c r="AJ61" s="44">
        <f t="shared" si="24"/>
        <v>0</v>
      </c>
      <c r="AK61" s="44">
        <f t="shared" si="24"/>
        <v>0</v>
      </c>
      <c r="AL61" s="44">
        <f t="shared" si="24"/>
        <v>0</v>
      </c>
      <c r="AM61" s="44">
        <f t="shared" si="24"/>
        <v>0</v>
      </c>
      <c r="AN61" s="44">
        <f t="shared" si="24"/>
        <v>0</v>
      </c>
      <c r="AO61" s="44">
        <f t="shared" si="24"/>
        <v>0</v>
      </c>
      <c r="AP61" s="44">
        <f t="shared" si="24"/>
        <v>0</v>
      </c>
      <c r="AQ61" s="44">
        <f t="shared" si="24"/>
        <v>0</v>
      </c>
    </row>
    <row r="62" spans="4:43">
      <c r="E62" t="s">
        <v>130</v>
      </c>
      <c r="H62" s="48">
        <f>SUM(J62:AQ62)</f>
        <v>14245861.924146289</v>
      </c>
      <c r="J62" s="111">
        <f t="shared" ref="J62:AO62" si="25">SUM(J59:J61)</f>
        <v>673780.85745238094</v>
      </c>
      <c r="K62" s="111">
        <f t="shared" si="25"/>
        <v>703602.09516369039</v>
      </c>
      <c r="L62" s="111">
        <f t="shared" si="25"/>
        <v>745188.96720039379</v>
      </c>
      <c r="M62" s="111">
        <f t="shared" si="25"/>
        <v>352065.81764128001</v>
      </c>
      <c r="N62" s="111">
        <f t="shared" si="25"/>
        <v>365750.34884260432</v>
      </c>
      <c r="O62" s="111">
        <f t="shared" si="25"/>
        <v>377991.75464017293</v>
      </c>
      <c r="P62" s="111">
        <f t="shared" si="25"/>
        <v>385751.48394673417</v>
      </c>
      <c r="Q62" s="111">
        <f t="shared" si="25"/>
        <v>401472.53137261618</v>
      </c>
      <c r="R62" s="111">
        <f t="shared" si="25"/>
        <v>422011.29852018174</v>
      </c>
      <c r="S62" s="111">
        <f t="shared" si="25"/>
        <v>445574.74644046591</v>
      </c>
      <c r="T62" s="111">
        <f t="shared" si="25"/>
        <v>461658.9048059507</v>
      </c>
      <c r="U62" s="111">
        <f t="shared" si="25"/>
        <v>515152.50116347271</v>
      </c>
      <c r="V62" s="111">
        <f t="shared" si="25"/>
        <v>541336.09943195118</v>
      </c>
      <c r="W62" s="111">
        <f t="shared" si="25"/>
        <v>563677.52084435965</v>
      </c>
      <c r="X62" s="111">
        <f t="shared" si="25"/>
        <v>580113.40677101363</v>
      </c>
      <c r="Y62" s="111">
        <f t="shared" si="25"/>
        <v>603616.86309260584</v>
      </c>
      <c r="Z62" s="111">
        <f t="shared" si="25"/>
        <v>619004.89728399576</v>
      </c>
      <c r="AA62" s="111">
        <f t="shared" si="25"/>
        <v>635303.26299288939</v>
      </c>
      <c r="AB62" s="111">
        <f t="shared" si="25"/>
        <v>656493.19939347066</v>
      </c>
      <c r="AC62" s="111">
        <f t="shared" si="25"/>
        <v>656917.49776118482</v>
      </c>
      <c r="AD62" s="111">
        <f t="shared" si="25"/>
        <v>673340.43520521442</v>
      </c>
      <c r="AE62" s="111">
        <f t="shared" si="25"/>
        <v>690173.94608534453</v>
      </c>
      <c r="AF62" s="111">
        <f t="shared" si="25"/>
        <v>707428.29473747825</v>
      </c>
      <c r="AG62" s="111">
        <f t="shared" si="25"/>
        <v>725163.05844782107</v>
      </c>
      <c r="AH62" s="111">
        <f t="shared" si="25"/>
        <v>743292.13490901631</v>
      </c>
      <c r="AI62" s="111">
        <f t="shared" si="25"/>
        <v>0</v>
      </c>
      <c r="AJ62" s="111">
        <f t="shared" si="25"/>
        <v>0</v>
      </c>
      <c r="AK62" s="111">
        <f t="shared" si="25"/>
        <v>0</v>
      </c>
      <c r="AL62" s="111">
        <f t="shared" si="25"/>
        <v>0</v>
      </c>
      <c r="AM62" s="111">
        <f t="shared" si="25"/>
        <v>0</v>
      </c>
      <c r="AN62" s="111">
        <f t="shared" si="25"/>
        <v>0</v>
      </c>
      <c r="AO62" s="111">
        <f t="shared" si="25"/>
        <v>0</v>
      </c>
      <c r="AP62" s="111">
        <f t="shared" ref="AP62:AQ62" si="26">SUM(AP59:AP61)</f>
        <v>0</v>
      </c>
      <c r="AQ62" s="111">
        <f t="shared" si="26"/>
        <v>0</v>
      </c>
    </row>
    <row r="65" spans="1:44" s="109" customFormat="1">
      <c r="A65" s="108" t="s">
        <v>66</v>
      </c>
      <c r="D65" s="108"/>
      <c r="H65" s="108"/>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row>
    <row r="66" spans="1:44">
      <c r="D66" s="1"/>
      <c r="E66" t="str">
        <f>Flags!E10</f>
        <v>Operating Flag</v>
      </c>
      <c r="J66" s="44">
        <f>Flags!J10</f>
        <v>1</v>
      </c>
      <c r="K66" s="44">
        <f>Flags!K10</f>
        <v>1</v>
      </c>
      <c r="L66" s="44">
        <f>Flags!L10</f>
        <v>1</v>
      </c>
      <c r="M66" s="44">
        <f>Flags!M10</f>
        <v>1</v>
      </c>
      <c r="N66" s="44">
        <f>Flags!N10</f>
        <v>1</v>
      </c>
      <c r="O66" s="44">
        <f>Flags!O10</f>
        <v>1</v>
      </c>
      <c r="P66" s="44">
        <f>Flags!P10</f>
        <v>1</v>
      </c>
      <c r="Q66" s="44">
        <f>Flags!Q10</f>
        <v>1</v>
      </c>
      <c r="R66" s="44">
        <f>Flags!R10</f>
        <v>1</v>
      </c>
      <c r="S66" s="44">
        <f>Flags!S10</f>
        <v>1</v>
      </c>
      <c r="T66" s="44">
        <f>Flags!T10</f>
        <v>1</v>
      </c>
      <c r="U66" s="44">
        <f>Flags!U10</f>
        <v>1</v>
      </c>
      <c r="V66" s="44">
        <f>Flags!V10</f>
        <v>1</v>
      </c>
      <c r="W66" s="44">
        <f>Flags!W10</f>
        <v>1</v>
      </c>
      <c r="X66" s="44">
        <f>Flags!X10</f>
        <v>1</v>
      </c>
      <c r="Y66" s="44">
        <f>Flags!Y10</f>
        <v>1</v>
      </c>
      <c r="Z66" s="44">
        <f>Flags!Z10</f>
        <v>1</v>
      </c>
      <c r="AA66" s="44">
        <f>Flags!AA10</f>
        <v>1</v>
      </c>
      <c r="AB66" s="44">
        <f>Flags!AB10</f>
        <v>1</v>
      </c>
      <c r="AC66" s="44">
        <f>Flags!AC10</f>
        <v>1</v>
      </c>
      <c r="AD66" s="44">
        <f>Flags!AD10</f>
        <v>1</v>
      </c>
      <c r="AE66" s="44">
        <f>Flags!AE10</f>
        <v>1</v>
      </c>
      <c r="AF66" s="44">
        <f>Flags!AF10</f>
        <v>1</v>
      </c>
      <c r="AG66" s="44">
        <f>Flags!AG10</f>
        <v>1</v>
      </c>
      <c r="AH66" s="44">
        <f>Flags!AH10</f>
        <v>1</v>
      </c>
      <c r="AI66" s="44">
        <f>Flags!AI10</f>
        <v>0</v>
      </c>
      <c r="AJ66" s="44">
        <f>Flags!AJ10</f>
        <v>0</v>
      </c>
      <c r="AK66" s="44">
        <f>Flags!AK10</f>
        <v>0</v>
      </c>
      <c r="AL66" s="44">
        <f>Flags!AL10</f>
        <v>0</v>
      </c>
      <c r="AM66" s="44">
        <f>Flags!AM10</f>
        <v>0</v>
      </c>
      <c r="AN66" s="44">
        <f>Flags!AN10</f>
        <v>0</v>
      </c>
      <c r="AO66" s="44">
        <f>Flags!AO10</f>
        <v>0</v>
      </c>
      <c r="AP66" s="44">
        <f>Flags!AP10</f>
        <v>0</v>
      </c>
      <c r="AQ66" s="44">
        <f>Flags!AQ10</f>
        <v>0</v>
      </c>
    </row>
    <row r="67" spans="1:44">
      <c r="D67" s="1"/>
      <c r="E67" t="str">
        <f>Flags!E12</f>
        <v>First period of concession</v>
      </c>
      <c r="J67" s="44">
        <f>Flags!J12</f>
        <v>1</v>
      </c>
      <c r="K67" s="44">
        <f>Flags!K12</f>
        <v>0</v>
      </c>
      <c r="L67" s="44">
        <f>Flags!L12</f>
        <v>0</v>
      </c>
      <c r="M67" s="44">
        <f>Flags!M12</f>
        <v>0</v>
      </c>
      <c r="N67" s="44">
        <f>Flags!N12</f>
        <v>0</v>
      </c>
      <c r="O67" s="44">
        <f>Flags!O12</f>
        <v>0</v>
      </c>
      <c r="P67" s="44">
        <f>Flags!P12</f>
        <v>0</v>
      </c>
      <c r="Q67" s="44">
        <f>Flags!Q12</f>
        <v>0</v>
      </c>
      <c r="R67" s="44">
        <f>Flags!R12</f>
        <v>0</v>
      </c>
      <c r="S67" s="44">
        <f>Flags!S12</f>
        <v>0</v>
      </c>
      <c r="T67" s="44">
        <f>Flags!T12</f>
        <v>0</v>
      </c>
      <c r="U67" s="44">
        <f>Flags!U12</f>
        <v>0</v>
      </c>
      <c r="V67" s="44">
        <f>Flags!V12</f>
        <v>0</v>
      </c>
      <c r="W67" s="44">
        <f>Flags!W12</f>
        <v>0</v>
      </c>
      <c r="X67" s="44">
        <f>Flags!X12</f>
        <v>0</v>
      </c>
      <c r="Y67" s="44">
        <f>Flags!Y12</f>
        <v>0</v>
      </c>
      <c r="Z67" s="44">
        <f>Flags!Z12</f>
        <v>0</v>
      </c>
      <c r="AA67" s="44">
        <f>Flags!AA12</f>
        <v>0</v>
      </c>
      <c r="AB67" s="44">
        <f>Flags!AB12</f>
        <v>0</v>
      </c>
      <c r="AC67" s="44">
        <f>Flags!AC12</f>
        <v>0</v>
      </c>
      <c r="AD67" s="44">
        <f>Flags!AD12</f>
        <v>0</v>
      </c>
      <c r="AE67" s="44">
        <f>Flags!AE12</f>
        <v>0</v>
      </c>
      <c r="AF67" s="44">
        <f>Flags!AF12</f>
        <v>0</v>
      </c>
      <c r="AG67" s="44">
        <f>Flags!AG12</f>
        <v>0</v>
      </c>
      <c r="AH67" s="44">
        <f>Flags!AH12</f>
        <v>0</v>
      </c>
      <c r="AI67" s="44">
        <f>Flags!AI12</f>
        <v>0</v>
      </c>
      <c r="AJ67" s="44">
        <f>Flags!AJ12</f>
        <v>0</v>
      </c>
      <c r="AK67" s="44">
        <f>Flags!AK12</f>
        <v>0</v>
      </c>
      <c r="AL67" s="44">
        <f>Flags!AL12</f>
        <v>0</v>
      </c>
      <c r="AM67" s="44">
        <f>Flags!AM12</f>
        <v>0</v>
      </c>
      <c r="AN67" s="44">
        <f>Flags!AN12</f>
        <v>0</v>
      </c>
      <c r="AO67" s="44">
        <f>Flags!AO12</f>
        <v>0</v>
      </c>
      <c r="AP67" s="44">
        <f>Flags!AP12</f>
        <v>0</v>
      </c>
      <c r="AQ67" s="44">
        <f>Flags!AQ12</f>
        <v>0</v>
      </c>
    </row>
    <row r="68" spans="1:44">
      <c r="D68" s="1"/>
      <c r="E68" t="str">
        <f>Flags!E13</f>
        <v>Final period of concession</v>
      </c>
      <c r="J68" s="44">
        <f>Flags!J13</f>
        <v>0</v>
      </c>
      <c r="K68" s="44">
        <f>Flags!K13</f>
        <v>0</v>
      </c>
      <c r="L68" s="44">
        <f>Flags!L13</f>
        <v>0</v>
      </c>
      <c r="M68" s="44">
        <f>Flags!M13</f>
        <v>0</v>
      </c>
      <c r="N68" s="44">
        <f>Flags!N13</f>
        <v>0</v>
      </c>
      <c r="O68" s="44">
        <f>Flags!O13</f>
        <v>0</v>
      </c>
      <c r="P68" s="44">
        <f>Flags!P13</f>
        <v>0</v>
      </c>
      <c r="Q68" s="44">
        <f>Flags!Q13</f>
        <v>0</v>
      </c>
      <c r="R68" s="44">
        <f>Flags!R13</f>
        <v>0</v>
      </c>
      <c r="S68" s="44">
        <f>Flags!S13</f>
        <v>0</v>
      </c>
      <c r="T68" s="44">
        <f>Flags!T13</f>
        <v>0</v>
      </c>
      <c r="U68" s="44">
        <f>Flags!U13</f>
        <v>0</v>
      </c>
      <c r="V68" s="44">
        <f>Flags!V13</f>
        <v>0</v>
      </c>
      <c r="W68" s="44">
        <f>Flags!W13</f>
        <v>0</v>
      </c>
      <c r="X68" s="44">
        <f>Flags!X13</f>
        <v>0</v>
      </c>
      <c r="Y68" s="44">
        <f>Flags!Y13</f>
        <v>0</v>
      </c>
      <c r="Z68" s="44">
        <f>Flags!Z13</f>
        <v>0</v>
      </c>
      <c r="AA68" s="44">
        <f>Flags!AA13</f>
        <v>0</v>
      </c>
      <c r="AB68" s="44">
        <f>Flags!AB13</f>
        <v>0</v>
      </c>
      <c r="AC68" s="44">
        <f>Flags!AC13</f>
        <v>0</v>
      </c>
      <c r="AD68" s="44">
        <f>Flags!AD13</f>
        <v>0</v>
      </c>
      <c r="AE68" s="44">
        <f>Flags!AE13</f>
        <v>0</v>
      </c>
      <c r="AF68" s="44">
        <f>Flags!AF13</f>
        <v>0</v>
      </c>
      <c r="AG68" s="44">
        <f>Flags!AG13</f>
        <v>0</v>
      </c>
      <c r="AH68" s="44">
        <f>Flags!AH13</f>
        <v>1</v>
      </c>
      <c r="AI68" s="44">
        <f>Flags!AI13</f>
        <v>0</v>
      </c>
      <c r="AJ68" s="44">
        <f>Flags!AJ13</f>
        <v>0</v>
      </c>
      <c r="AK68" s="44">
        <f>Flags!AK13</f>
        <v>0</v>
      </c>
      <c r="AL68" s="44">
        <f>Flags!AL13</f>
        <v>0</v>
      </c>
      <c r="AM68" s="44">
        <f>Flags!AM13</f>
        <v>0</v>
      </c>
      <c r="AN68" s="44">
        <f>Flags!AN13</f>
        <v>0</v>
      </c>
      <c r="AO68" s="44">
        <f>Flags!AO13</f>
        <v>0</v>
      </c>
      <c r="AP68" s="44">
        <f>Flags!AP13</f>
        <v>0</v>
      </c>
      <c r="AQ68" s="44">
        <f>Flags!AQ13</f>
        <v>0</v>
      </c>
    </row>
    <row r="69" spans="1:44">
      <c r="D69" s="1"/>
    </row>
    <row r="70" spans="1:44">
      <c r="D70" s="1"/>
      <c r="E70" t="str">
        <f>'Input Profile'!E45</f>
        <v>Cost of buying carbon allowances</v>
      </c>
      <c r="G70" s="18" t="s">
        <v>144</v>
      </c>
      <c r="J70" s="44">
        <f>'Input Profile'!J45</f>
        <v>12</v>
      </c>
      <c r="K70" s="44">
        <f>'Input Profile'!K45</f>
        <v>12</v>
      </c>
      <c r="L70" s="44">
        <f>'Input Profile'!L45</f>
        <v>16</v>
      </c>
      <c r="M70" s="44">
        <f>'Input Profile'!M45</f>
        <v>16</v>
      </c>
      <c r="N70" s="44">
        <f>'Input Profile'!N45</f>
        <v>16</v>
      </c>
      <c r="O70" s="44">
        <f>'Input Profile'!O45</f>
        <v>16</v>
      </c>
      <c r="P70" s="44">
        <f>'Input Profile'!P45</f>
        <v>20</v>
      </c>
      <c r="Q70" s="44">
        <f>'Input Profile'!Q45</f>
        <v>20</v>
      </c>
      <c r="R70" s="44">
        <f>'Input Profile'!R45</f>
        <v>25</v>
      </c>
      <c r="S70" s="44">
        <f>'Input Profile'!S45</f>
        <v>25</v>
      </c>
      <c r="T70" s="44">
        <f>'Input Profile'!T45</f>
        <v>30</v>
      </c>
      <c r="U70" s="44">
        <f>'Input Profile'!U45</f>
        <v>30</v>
      </c>
      <c r="V70" s="44">
        <f>'Input Profile'!V45</f>
        <v>30</v>
      </c>
      <c r="W70" s="44">
        <f>'Input Profile'!W45</f>
        <v>30</v>
      </c>
      <c r="X70" s="44">
        <f>'Input Profile'!X45</f>
        <v>30</v>
      </c>
      <c r="Y70" s="44">
        <f>'Input Profile'!Y45</f>
        <v>30</v>
      </c>
      <c r="Z70" s="44">
        <f>'Input Profile'!Z45</f>
        <v>30</v>
      </c>
      <c r="AA70" s="44">
        <f>'Input Profile'!AA45</f>
        <v>30</v>
      </c>
      <c r="AB70" s="44">
        <f>'Input Profile'!AB45</f>
        <v>30</v>
      </c>
      <c r="AC70" s="44">
        <f>'Input Profile'!AC45</f>
        <v>30</v>
      </c>
      <c r="AD70" s="44">
        <f>'Input Profile'!AD45</f>
        <v>30</v>
      </c>
      <c r="AE70" s="44">
        <f>'Input Profile'!AE45</f>
        <v>30</v>
      </c>
      <c r="AF70" s="44">
        <f>'Input Profile'!AF45</f>
        <v>30</v>
      </c>
      <c r="AG70" s="44">
        <f>'Input Profile'!AG45</f>
        <v>30</v>
      </c>
      <c r="AH70" s="44">
        <f>'Input Profile'!AH45</f>
        <v>30</v>
      </c>
      <c r="AI70" s="44">
        <f>'Input Profile'!AI45</f>
        <v>30</v>
      </c>
      <c r="AJ70" s="44">
        <f>'Input Profile'!AJ45</f>
        <v>30</v>
      </c>
      <c r="AK70" s="44">
        <f>'Input Profile'!AK45</f>
        <v>30</v>
      </c>
      <c r="AL70" s="44">
        <f>'Input Profile'!AL45</f>
        <v>30</v>
      </c>
      <c r="AM70" s="44">
        <f>'Input Profile'!AM45</f>
        <v>30</v>
      </c>
      <c r="AN70" s="44">
        <f>'Input Profile'!AN45</f>
        <v>30</v>
      </c>
      <c r="AO70" s="44">
        <f>'Input Profile'!AO45</f>
        <v>30</v>
      </c>
      <c r="AP70" s="44">
        <f>'Input Profile'!AP45</f>
        <v>30</v>
      </c>
      <c r="AQ70" s="44">
        <f>'Input Profile'!AQ45</f>
        <v>30</v>
      </c>
    </row>
    <row r="71" spans="1:44">
      <c r="D71" s="1"/>
    </row>
    <row r="72" spans="1:44">
      <c r="D72" s="1" t="s">
        <v>82</v>
      </c>
    </row>
    <row r="73" spans="1:44">
      <c r="E73" t="s">
        <v>94</v>
      </c>
      <c r="G73" s="18" t="s">
        <v>143</v>
      </c>
      <c r="H73" s="48">
        <f>SUM(J73:AQ73)</f>
        <v>32130.742400000006</v>
      </c>
      <c r="J73" s="44">
        <f>'Input Profile'!J41 * J66</f>
        <v>2051.8272999999999</v>
      </c>
      <c r="K73" s="44">
        <f>'Input Profile'!K41 * K66</f>
        <v>2008.1714000000002</v>
      </c>
      <c r="L73" s="44">
        <f>'Input Profile'!L41 * L66</f>
        <v>1877.2037</v>
      </c>
      <c r="M73" s="44">
        <f>'Input Profile'!M41 * M66</f>
        <v>1877.2037</v>
      </c>
      <c r="N73" s="44">
        <f>'Input Profile'!N41 * N66</f>
        <v>1789.8919000000001</v>
      </c>
      <c r="O73" s="44">
        <f>'Input Profile'!O41 * O66</f>
        <v>1746.2360000000001</v>
      </c>
      <c r="P73" s="44">
        <f>'Input Profile'!P41 * P66</f>
        <v>1702.5801000000001</v>
      </c>
      <c r="Q73" s="44">
        <f>'Input Profile'!Q41 * Q66</f>
        <v>1615.2683000000002</v>
      </c>
      <c r="R73" s="44">
        <f>'Input Profile'!R41 * R66</f>
        <v>1440.6447000000001</v>
      </c>
      <c r="S73" s="44">
        <f>'Input Profile'!S41 * S66</f>
        <v>1353.3329000000001</v>
      </c>
      <c r="T73" s="44">
        <f>'Input Profile'!T41 * T66</f>
        <v>1309.6769999999999</v>
      </c>
      <c r="U73" s="44">
        <f>'Input Profile'!U41 * U66</f>
        <v>1178.7093000000002</v>
      </c>
      <c r="V73" s="44">
        <f>'Input Profile'!V41 * V66</f>
        <v>1178.7093000000002</v>
      </c>
      <c r="W73" s="44">
        <f>'Input Profile'!W41 * W66</f>
        <v>1178.7093000000002</v>
      </c>
      <c r="X73" s="44">
        <f>'Input Profile'!X41 * X66</f>
        <v>1091.3975</v>
      </c>
      <c r="Y73" s="44">
        <f>'Input Profile'!Y41 * Y66</f>
        <v>1047.7415999999998</v>
      </c>
      <c r="Z73" s="44">
        <f>'Input Profile'!Z41 * Z66</f>
        <v>960.4298</v>
      </c>
      <c r="AA73" s="44">
        <f>'Input Profile'!AA41 * AA66</f>
        <v>916.77390000000003</v>
      </c>
      <c r="AB73" s="44">
        <f>'Input Profile'!AB41 * AB66</f>
        <v>829.46209999999996</v>
      </c>
      <c r="AC73" s="44">
        <f>'Input Profile'!AC41 * AC66</f>
        <v>829.46209999999996</v>
      </c>
      <c r="AD73" s="44">
        <f>'Input Profile'!AD41 * AD66</f>
        <v>829.46209999999996</v>
      </c>
      <c r="AE73" s="44">
        <f>'Input Profile'!AE41 * AE66</f>
        <v>829.46209999999996</v>
      </c>
      <c r="AF73" s="44">
        <f>'Input Profile'!AF41 * AF66</f>
        <v>829.46209999999996</v>
      </c>
      <c r="AG73" s="44">
        <f>'Input Profile'!AG41 * AG66</f>
        <v>829.46209999999996</v>
      </c>
      <c r="AH73" s="44">
        <f>'Input Profile'!AH41 * AH66</f>
        <v>829.46209999999996</v>
      </c>
      <c r="AI73" s="44">
        <f>'Input Profile'!AI41 * AI66</f>
        <v>0</v>
      </c>
      <c r="AJ73" s="44">
        <f>'Input Profile'!AJ41 * AJ66</f>
        <v>0</v>
      </c>
      <c r="AK73" s="44">
        <f>'Input Profile'!AK41 * AK66</f>
        <v>0</v>
      </c>
      <c r="AL73" s="44">
        <f>'Input Profile'!AL41 * AL66</f>
        <v>0</v>
      </c>
      <c r="AM73" s="44">
        <f>'Input Profile'!AM41 * AM66</f>
        <v>0</v>
      </c>
      <c r="AN73" s="44">
        <f>'Input Profile'!AN41 * AN66</f>
        <v>0</v>
      </c>
      <c r="AO73" s="44">
        <f>'Input Profile'!AO41 * AO66</f>
        <v>0</v>
      </c>
      <c r="AP73" s="44">
        <f>'Input Profile'!AP41 * AP66</f>
        <v>0</v>
      </c>
      <c r="AQ73" s="44">
        <f>'Input Profile'!AQ41 * AQ66</f>
        <v>0</v>
      </c>
    </row>
    <row r="74" spans="1:44">
      <c r="E74" t="s">
        <v>67</v>
      </c>
      <c r="F74" s="13"/>
      <c r="G74" t="s">
        <v>42</v>
      </c>
      <c r="H74" s="48">
        <f>SUM(J74:AQ74)</f>
        <v>741626.42920000013</v>
      </c>
      <c r="J74" s="44">
        <f>J70*J73*J66</f>
        <v>24621.927599999999</v>
      </c>
      <c r="K74" s="44">
        <f t="shared" ref="K74:AQ74" si="27">K70*K73*K66</f>
        <v>24098.056800000002</v>
      </c>
      <c r="L74" s="44">
        <f t="shared" si="27"/>
        <v>30035.2592</v>
      </c>
      <c r="M74" s="44">
        <f t="shared" si="27"/>
        <v>30035.2592</v>
      </c>
      <c r="N74" s="44">
        <f t="shared" si="27"/>
        <v>28638.270400000001</v>
      </c>
      <c r="O74" s="44">
        <f t="shared" si="27"/>
        <v>27939.776000000002</v>
      </c>
      <c r="P74" s="44">
        <f t="shared" si="27"/>
        <v>34051.601999999999</v>
      </c>
      <c r="Q74" s="44">
        <f t="shared" si="27"/>
        <v>32305.366000000002</v>
      </c>
      <c r="R74" s="44">
        <f t="shared" si="27"/>
        <v>36016.1175</v>
      </c>
      <c r="S74" s="44">
        <f t="shared" si="27"/>
        <v>33833.322500000002</v>
      </c>
      <c r="T74" s="44">
        <f t="shared" si="27"/>
        <v>39290.31</v>
      </c>
      <c r="U74" s="44">
        <f t="shared" si="27"/>
        <v>35361.27900000001</v>
      </c>
      <c r="V74" s="44">
        <f t="shared" si="27"/>
        <v>35361.27900000001</v>
      </c>
      <c r="W74" s="44">
        <f t="shared" si="27"/>
        <v>35361.27900000001</v>
      </c>
      <c r="X74" s="44">
        <f t="shared" si="27"/>
        <v>32741.925000000003</v>
      </c>
      <c r="Y74" s="44">
        <f t="shared" si="27"/>
        <v>31432.247999999996</v>
      </c>
      <c r="Z74" s="44">
        <f t="shared" si="27"/>
        <v>28812.894</v>
      </c>
      <c r="AA74" s="44">
        <f t="shared" si="27"/>
        <v>27503.217000000001</v>
      </c>
      <c r="AB74" s="44">
        <f t="shared" si="27"/>
        <v>24883.862999999998</v>
      </c>
      <c r="AC74" s="44">
        <f t="shared" si="27"/>
        <v>24883.862999999998</v>
      </c>
      <c r="AD74" s="44">
        <f t="shared" si="27"/>
        <v>24883.862999999998</v>
      </c>
      <c r="AE74" s="44">
        <f t="shared" si="27"/>
        <v>24883.862999999998</v>
      </c>
      <c r="AF74" s="44">
        <f t="shared" si="27"/>
        <v>24883.862999999998</v>
      </c>
      <c r="AG74" s="44">
        <f t="shared" si="27"/>
        <v>24883.862999999998</v>
      </c>
      <c r="AH74" s="44">
        <f t="shared" si="27"/>
        <v>24883.862999999998</v>
      </c>
      <c r="AI74" s="44">
        <f t="shared" si="27"/>
        <v>0</v>
      </c>
      <c r="AJ74" s="44">
        <f t="shared" si="27"/>
        <v>0</v>
      </c>
      <c r="AK74" s="44">
        <f t="shared" si="27"/>
        <v>0</v>
      </c>
      <c r="AL74" s="44">
        <f t="shared" si="27"/>
        <v>0</v>
      </c>
      <c r="AM74" s="44">
        <f t="shared" si="27"/>
        <v>0</v>
      </c>
      <c r="AN74" s="44">
        <f t="shared" si="27"/>
        <v>0</v>
      </c>
      <c r="AO74" s="44">
        <f t="shared" si="27"/>
        <v>0</v>
      </c>
      <c r="AP74" s="44">
        <f t="shared" si="27"/>
        <v>0</v>
      </c>
      <c r="AQ74" s="44">
        <f t="shared" si="27"/>
        <v>0</v>
      </c>
    </row>
    <row r="76" spans="1:44">
      <c r="E76" t="str">
        <f>'Input Profile'!E37</f>
        <v>Energy Consumption - Status Quo</v>
      </c>
      <c r="G76" t="str">
        <f>'Input Profile'!G37</f>
        <v>kWh</v>
      </c>
      <c r="H76" s="48">
        <f>SUM(J76:AQ76)</f>
        <v>109139750</v>
      </c>
      <c r="J76" s="44">
        <f>'Input Profile'!J37 * J66</f>
        <v>4365590</v>
      </c>
      <c r="K76" s="44">
        <f>'Input Profile'!K37 * K66</f>
        <v>4365590</v>
      </c>
      <c r="L76" s="44">
        <f>'Input Profile'!L37 * L66</f>
        <v>4365590</v>
      </c>
      <c r="M76" s="44">
        <f>'Input Profile'!M37 * M66</f>
        <v>4365590</v>
      </c>
      <c r="N76" s="44">
        <f>'Input Profile'!N37 * N66</f>
        <v>4365590</v>
      </c>
      <c r="O76" s="44">
        <f>'Input Profile'!O37 * O66</f>
        <v>4365590</v>
      </c>
      <c r="P76" s="44">
        <f>'Input Profile'!P37 * P66</f>
        <v>4365590</v>
      </c>
      <c r="Q76" s="44">
        <f>'Input Profile'!Q37 * Q66</f>
        <v>4365590</v>
      </c>
      <c r="R76" s="44">
        <f>'Input Profile'!R37 * R66</f>
        <v>4365590</v>
      </c>
      <c r="S76" s="44">
        <f>'Input Profile'!S37 * S66</f>
        <v>4365590</v>
      </c>
      <c r="T76" s="44">
        <f>'Input Profile'!T37 * T66</f>
        <v>4365590</v>
      </c>
      <c r="U76" s="44">
        <f>'Input Profile'!U37 * U66</f>
        <v>4365590</v>
      </c>
      <c r="V76" s="44">
        <f>'Input Profile'!V37 * V66</f>
        <v>4365590</v>
      </c>
      <c r="W76" s="44">
        <f>'Input Profile'!W37 * W66</f>
        <v>4365590</v>
      </c>
      <c r="X76" s="44">
        <f>'Input Profile'!X37 * X66</f>
        <v>4365590</v>
      </c>
      <c r="Y76" s="44">
        <f>'Input Profile'!Y37 * Y66</f>
        <v>4365590</v>
      </c>
      <c r="Z76" s="44">
        <f>'Input Profile'!Z37 * Z66</f>
        <v>4365590</v>
      </c>
      <c r="AA76" s="44">
        <f>'Input Profile'!AA37 * AA66</f>
        <v>4365590</v>
      </c>
      <c r="AB76" s="44">
        <f>'Input Profile'!AB37 * AB66</f>
        <v>4365590</v>
      </c>
      <c r="AC76" s="44">
        <f>'Input Profile'!AC37 * AC66</f>
        <v>4365590</v>
      </c>
      <c r="AD76" s="44">
        <f>'Input Profile'!AD37 * AD66</f>
        <v>4365590</v>
      </c>
      <c r="AE76" s="44">
        <f>'Input Profile'!AE37 * AE66</f>
        <v>4365590</v>
      </c>
      <c r="AF76" s="44">
        <f>'Input Profile'!AF37 * AF66</f>
        <v>4365590</v>
      </c>
      <c r="AG76" s="44">
        <f>'Input Profile'!AG37 * AG66</f>
        <v>4365590</v>
      </c>
      <c r="AH76" s="44">
        <f>'Input Profile'!AH37 * AH66</f>
        <v>4365590</v>
      </c>
      <c r="AI76" s="44">
        <f>'Input Profile'!AI37 * AI66</f>
        <v>0</v>
      </c>
      <c r="AJ76" s="44">
        <f>'Input Profile'!AJ37 * AJ66</f>
        <v>0</v>
      </c>
      <c r="AK76" s="44">
        <f>'Input Profile'!AK37 * AK66</f>
        <v>0</v>
      </c>
      <c r="AL76" s="44">
        <f>'Input Profile'!AL37 * AL66</f>
        <v>0</v>
      </c>
      <c r="AM76" s="44">
        <f>'Input Profile'!AM37 * AM66</f>
        <v>0</v>
      </c>
      <c r="AN76" s="44">
        <f>'Input Profile'!AN37 * AN66</f>
        <v>0</v>
      </c>
      <c r="AO76" s="44">
        <f>'Input Profile'!AO37 * AO66</f>
        <v>0</v>
      </c>
      <c r="AP76" s="44">
        <f>'Input Profile'!AP37 * AP66</f>
        <v>0</v>
      </c>
      <c r="AQ76" s="44">
        <f>'Input Profile'!AQ37 * AQ66</f>
        <v>0</v>
      </c>
    </row>
    <row r="77" spans="1:44">
      <c r="E77" t="s">
        <v>145</v>
      </c>
      <c r="H77" s="48">
        <f>SUM(J77:AQ77)</f>
        <v>4365590</v>
      </c>
      <c r="J77" s="44">
        <f>J76 * J67</f>
        <v>4365590</v>
      </c>
      <c r="K77" s="44">
        <f t="shared" ref="K77:AQ77" si="28">K76 * K67</f>
        <v>0</v>
      </c>
      <c r="L77" s="44">
        <f t="shared" si="28"/>
        <v>0</v>
      </c>
      <c r="M77" s="44">
        <f t="shared" si="28"/>
        <v>0</v>
      </c>
      <c r="N77" s="44">
        <f t="shared" si="28"/>
        <v>0</v>
      </c>
      <c r="O77" s="44">
        <f t="shared" si="28"/>
        <v>0</v>
      </c>
      <c r="P77" s="44">
        <f t="shared" si="28"/>
        <v>0</v>
      </c>
      <c r="Q77" s="44">
        <f t="shared" si="28"/>
        <v>0</v>
      </c>
      <c r="R77" s="44">
        <f t="shared" si="28"/>
        <v>0</v>
      </c>
      <c r="S77" s="44">
        <f t="shared" si="28"/>
        <v>0</v>
      </c>
      <c r="T77" s="44">
        <f t="shared" si="28"/>
        <v>0</v>
      </c>
      <c r="U77" s="44">
        <f t="shared" si="28"/>
        <v>0</v>
      </c>
      <c r="V77" s="44">
        <f t="shared" si="28"/>
        <v>0</v>
      </c>
      <c r="W77" s="44">
        <f t="shared" si="28"/>
        <v>0</v>
      </c>
      <c r="X77" s="44">
        <f t="shared" si="28"/>
        <v>0</v>
      </c>
      <c r="Y77" s="44">
        <f t="shared" si="28"/>
        <v>0</v>
      </c>
      <c r="Z77" s="44">
        <f t="shared" si="28"/>
        <v>0</v>
      </c>
      <c r="AA77" s="44">
        <f t="shared" si="28"/>
        <v>0</v>
      </c>
      <c r="AB77" s="44">
        <f t="shared" si="28"/>
        <v>0</v>
      </c>
      <c r="AC77" s="44">
        <f t="shared" si="28"/>
        <v>0</v>
      </c>
      <c r="AD77" s="44">
        <f t="shared" si="28"/>
        <v>0</v>
      </c>
      <c r="AE77" s="44">
        <f t="shared" si="28"/>
        <v>0</v>
      </c>
      <c r="AF77" s="44">
        <f t="shared" si="28"/>
        <v>0</v>
      </c>
      <c r="AG77" s="44">
        <f t="shared" si="28"/>
        <v>0</v>
      </c>
      <c r="AH77" s="44">
        <f t="shared" si="28"/>
        <v>0</v>
      </c>
      <c r="AI77" s="44">
        <f t="shared" si="28"/>
        <v>0</v>
      </c>
      <c r="AJ77" s="44">
        <f t="shared" si="28"/>
        <v>0</v>
      </c>
      <c r="AK77" s="44">
        <f t="shared" si="28"/>
        <v>0</v>
      </c>
      <c r="AL77" s="44">
        <f t="shared" si="28"/>
        <v>0</v>
      </c>
      <c r="AM77" s="44">
        <f t="shared" si="28"/>
        <v>0</v>
      </c>
      <c r="AN77" s="44">
        <f t="shared" si="28"/>
        <v>0</v>
      </c>
      <c r="AO77" s="44">
        <f t="shared" si="28"/>
        <v>0</v>
      </c>
      <c r="AP77" s="44">
        <f t="shared" si="28"/>
        <v>0</v>
      </c>
      <c r="AQ77" s="44">
        <f t="shared" si="28"/>
        <v>0</v>
      </c>
    </row>
    <row r="79" spans="1:44">
      <c r="D79" s="1" t="s">
        <v>122</v>
      </c>
    </row>
    <row r="80" spans="1:44">
      <c r="E80" t="s">
        <v>94</v>
      </c>
      <c r="G80" s="18" t="s">
        <v>143</v>
      </c>
      <c r="H80" s="48">
        <f>SUM(J80:AQ80)</f>
        <v>19693.50669200001</v>
      </c>
      <c r="J80" s="44">
        <f>'Input Profile'!J43 * J66</f>
        <v>2051.8272999999999</v>
      </c>
      <c r="K80" s="44">
        <f>'Input Profile'!K43 * K66</f>
        <v>2008.1714000000002</v>
      </c>
      <c r="L80" s="44">
        <f>'Input Profile'!L43 * L66</f>
        <v>1877.2037</v>
      </c>
      <c r="M80" s="44">
        <f>'Input Profile'!M43 * M66</f>
        <v>985.86847425999997</v>
      </c>
      <c r="N80" s="44">
        <f>'Input Profile'!N43 * N66</f>
        <v>940.01412662000007</v>
      </c>
      <c r="O80" s="44">
        <f>'Input Profile'!O43 * O66</f>
        <v>917.08695280000006</v>
      </c>
      <c r="P80" s="44">
        <f>'Input Profile'!P43 * P66</f>
        <v>894.15977898000006</v>
      </c>
      <c r="Q80" s="44">
        <f>'Input Profile'!Q43 * Q66</f>
        <v>848.30543134000004</v>
      </c>
      <c r="R80" s="44">
        <f>'Input Profile'!R43 * R66</f>
        <v>756.59673606000013</v>
      </c>
      <c r="S80" s="44">
        <f>'Input Profile'!S43 * S66</f>
        <v>710.74238842</v>
      </c>
      <c r="T80" s="44">
        <f>'Input Profile'!T43 * T66</f>
        <v>687.8152146000001</v>
      </c>
      <c r="U80" s="44">
        <f>'Input Profile'!U43 * U66</f>
        <v>619.03369314000008</v>
      </c>
      <c r="V80" s="44">
        <f>'Input Profile'!V43 * V66</f>
        <v>619.03369314000008</v>
      </c>
      <c r="W80" s="44">
        <f>'Input Profile'!W43 * W66</f>
        <v>619.03369314000008</v>
      </c>
      <c r="X80" s="44">
        <f>'Input Profile'!X43 * X66</f>
        <v>573.17934550000007</v>
      </c>
      <c r="Y80" s="44">
        <f>'Input Profile'!Y43 * Y66</f>
        <v>550.25217168000006</v>
      </c>
      <c r="Z80" s="44">
        <f>'Input Profile'!Z43 * Z66</f>
        <v>504.39782403999999</v>
      </c>
      <c r="AA80" s="44">
        <f>'Input Profile'!AA43 * AA66</f>
        <v>481.47065022000004</v>
      </c>
      <c r="AB80" s="44">
        <f>'Input Profile'!AB43 * AB66</f>
        <v>435.61630258000008</v>
      </c>
      <c r="AC80" s="44">
        <f>'Input Profile'!AC43 * AC66</f>
        <v>435.61630258000008</v>
      </c>
      <c r="AD80" s="44">
        <f>'Input Profile'!AD43 * AD66</f>
        <v>435.61630258000008</v>
      </c>
      <c r="AE80" s="44">
        <f>'Input Profile'!AE43 * AE66</f>
        <v>435.61630258000008</v>
      </c>
      <c r="AF80" s="44">
        <f>'Input Profile'!AF43 * AF66</f>
        <v>435.61630258000008</v>
      </c>
      <c r="AG80" s="44">
        <f>'Input Profile'!AG43 * AG66</f>
        <v>435.61630258000008</v>
      </c>
      <c r="AH80" s="44">
        <f>'Input Profile'!AH43 * AH66</f>
        <v>435.61630258000008</v>
      </c>
      <c r="AI80" s="44">
        <f>'Input Profile'!AI43 * AI66</f>
        <v>0</v>
      </c>
      <c r="AJ80" s="44">
        <f>'Input Profile'!AJ43 * AJ66</f>
        <v>0</v>
      </c>
      <c r="AK80" s="44">
        <f>'Input Profile'!AK43 * AK66</f>
        <v>0</v>
      </c>
      <c r="AL80" s="44">
        <f>'Input Profile'!AL43 * AL66</f>
        <v>0</v>
      </c>
      <c r="AM80" s="44">
        <f>'Input Profile'!AM43 * AM66</f>
        <v>0</v>
      </c>
      <c r="AN80" s="44">
        <f>'Input Profile'!AN43 * AN66</f>
        <v>0</v>
      </c>
      <c r="AO80" s="44">
        <f>'Input Profile'!AO43 * AO66</f>
        <v>0</v>
      </c>
      <c r="AP80" s="44">
        <f>'Input Profile'!AP43 * AP66</f>
        <v>0</v>
      </c>
      <c r="AQ80" s="44">
        <f>'Input Profile'!AQ43 * AQ66</f>
        <v>0</v>
      </c>
    </row>
    <row r="81" spans="5:43">
      <c r="E81" t="s">
        <v>67</v>
      </c>
      <c r="F81" s="13"/>
      <c r="G81" t="s">
        <v>42</v>
      </c>
      <c r="H81" s="48">
        <f>SUM(J81:AQ81)</f>
        <v>426881.45088288002</v>
      </c>
      <c r="J81" s="44">
        <f>'Input Profile'!J45*J80*J66</f>
        <v>24621.927599999999</v>
      </c>
      <c r="K81" s="44">
        <f>'Input Profile'!K45*K80*K66</f>
        <v>24098.056800000002</v>
      </c>
      <c r="L81" s="44">
        <f>'Input Profile'!L45*L80*L66</f>
        <v>30035.2592</v>
      </c>
      <c r="M81" s="44">
        <f>'Input Profile'!M45*M80*M66</f>
        <v>15773.89558816</v>
      </c>
      <c r="N81" s="44">
        <f>'Input Profile'!N45*N80*N66</f>
        <v>15040.226025920001</v>
      </c>
      <c r="O81" s="44">
        <f>'Input Profile'!O45*O80*O66</f>
        <v>14673.391244800001</v>
      </c>
      <c r="P81" s="44">
        <f>'Input Profile'!P45*P80*P66</f>
        <v>17883.1955796</v>
      </c>
      <c r="Q81" s="44">
        <f>'Input Profile'!Q45*Q80*Q66</f>
        <v>16966.1086268</v>
      </c>
      <c r="R81" s="44">
        <f>'Input Profile'!R45*R80*R66</f>
        <v>18914.918401500003</v>
      </c>
      <c r="S81" s="44">
        <f>'Input Profile'!S45*S80*S66</f>
        <v>17768.559710500002</v>
      </c>
      <c r="T81" s="44">
        <f>'Input Profile'!T45*T80*T66</f>
        <v>20634.456438000005</v>
      </c>
      <c r="U81" s="44">
        <f>'Input Profile'!U45*U80*U66</f>
        <v>18571.010794200003</v>
      </c>
      <c r="V81" s="44">
        <f>'Input Profile'!V45*V80*V66</f>
        <v>18571.010794200003</v>
      </c>
      <c r="W81" s="44">
        <f>'Input Profile'!W45*W80*W66</f>
        <v>18571.010794200003</v>
      </c>
      <c r="X81" s="44">
        <f>'Input Profile'!X45*X80*X66</f>
        <v>17195.380365000001</v>
      </c>
      <c r="Y81" s="44">
        <f>'Input Profile'!Y45*Y80*Y66</f>
        <v>16507.565150400002</v>
      </c>
      <c r="Z81" s="44">
        <f>'Input Profile'!Z45*Z80*Z66</f>
        <v>15131.934721199999</v>
      </c>
      <c r="AA81" s="44">
        <f>'Input Profile'!AA45*AA80*AA66</f>
        <v>14444.119506600002</v>
      </c>
      <c r="AB81" s="44">
        <f>'Input Profile'!AB45*AB80*AB66</f>
        <v>13068.489077400003</v>
      </c>
      <c r="AC81" s="44">
        <f>'Input Profile'!AC45*AC80*AC66</f>
        <v>13068.489077400003</v>
      </c>
      <c r="AD81" s="44">
        <f>'Input Profile'!AD45*AD80*AD66</f>
        <v>13068.489077400003</v>
      </c>
      <c r="AE81" s="44">
        <f>'Input Profile'!AE45*AE80*AE66</f>
        <v>13068.489077400003</v>
      </c>
      <c r="AF81" s="44">
        <f>'Input Profile'!AF45*AF80*AF66</f>
        <v>13068.489077400003</v>
      </c>
      <c r="AG81" s="44">
        <f>'Input Profile'!AG45*AG80*AG66</f>
        <v>13068.489077400003</v>
      </c>
      <c r="AH81" s="44">
        <f>'Input Profile'!AH45*AH80*AH66</f>
        <v>13068.489077400003</v>
      </c>
      <c r="AI81" s="44">
        <f>'Input Profile'!AI45*AI80*AI66</f>
        <v>0</v>
      </c>
      <c r="AJ81" s="44">
        <f>'Input Profile'!AJ45*AJ80*AJ66</f>
        <v>0</v>
      </c>
      <c r="AK81" s="44">
        <f>'Input Profile'!AK45*AK80*AK66</f>
        <v>0</v>
      </c>
      <c r="AL81" s="44">
        <f>'Input Profile'!AL45*AL80*AL66</f>
        <v>0</v>
      </c>
      <c r="AM81" s="44">
        <f>'Input Profile'!AM45*AM80*AM66</f>
        <v>0</v>
      </c>
      <c r="AN81" s="44">
        <f>'Input Profile'!AN45*AN80*AN66</f>
        <v>0</v>
      </c>
      <c r="AO81" s="44">
        <f>'Input Profile'!AO45*AO80*AO66</f>
        <v>0</v>
      </c>
      <c r="AP81" s="44">
        <f>'Input Profile'!AP45*AP80*AP66</f>
        <v>0</v>
      </c>
      <c r="AQ81" s="44">
        <f>'Input Profile'!AQ45*AQ80*AQ66</f>
        <v>0</v>
      </c>
    </row>
    <row r="83" spans="5:43">
      <c r="E83" s="18" t="s">
        <v>79</v>
      </c>
      <c r="G83" s="18" t="s">
        <v>143</v>
      </c>
      <c r="J83" s="44">
        <f t="shared" ref="J83:AO83" si="29">J73-J80</f>
        <v>0</v>
      </c>
      <c r="K83" s="44">
        <f t="shared" si="29"/>
        <v>0</v>
      </c>
      <c r="L83" s="44">
        <f t="shared" si="29"/>
        <v>0</v>
      </c>
      <c r="M83" s="44">
        <f t="shared" si="29"/>
        <v>891.33522574000006</v>
      </c>
      <c r="N83" s="44">
        <f t="shared" si="29"/>
        <v>849.87777338000001</v>
      </c>
      <c r="O83" s="44">
        <f t="shared" si="29"/>
        <v>829.14904720000004</v>
      </c>
      <c r="P83" s="44">
        <f t="shared" si="29"/>
        <v>808.42032102000007</v>
      </c>
      <c r="Q83" s="44">
        <f t="shared" si="29"/>
        <v>766.96286866000014</v>
      </c>
      <c r="R83" s="44">
        <f t="shared" si="29"/>
        <v>684.04796393999993</v>
      </c>
      <c r="S83" s="44">
        <f t="shared" si="29"/>
        <v>642.59051158000011</v>
      </c>
      <c r="T83" s="44">
        <f t="shared" si="29"/>
        <v>621.8617853999998</v>
      </c>
      <c r="U83" s="44">
        <f t="shared" si="29"/>
        <v>559.67560686000013</v>
      </c>
      <c r="V83" s="44">
        <f t="shared" si="29"/>
        <v>559.67560686000013</v>
      </c>
      <c r="W83" s="44">
        <f t="shared" si="29"/>
        <v>559.67560686000013</v>
      </c>
      <c r="X83" s="44">
        <f t="shared" si="29"/>
        <v>518.21815449999997</v>
      </c>
      <c r="Y83" s="44">
        <f t="shared" si="29"/>
        <v>497.48942831999977</v>
      </c>
      <c r="Z83" s="44">
        <f t="shared" si="29"/>
        <v>456.03197596000001</v>
      </c>
      <c r="AA83" s="44">
        <f t="shared" si="29"/>
        <v>435.30324977999999</v>
      </c>
      <c r="AB83" s="44">
        <f t="shared" si="29"/>
        <v>393.84579741999988</v>
      </c>
      <c r="AC83" s="44">
        <f t="shared" si="29"/>
        <v>393.84579741999988</v>
      </c>
      <c r="AD83" s="44">
        <f t="shared" si="29"/>
        <v>393.84579741999988</v>
      </c>
      <c r="AE83" s="44">
        <f t="shared" si="29"/>
        <v>393.84579741999988</v>
      </c>
      <c r="AF83" s="44">
        <f t="shared" si="29"/>
        <v>393.84579741999988</v>
      </c>
      <c r="AG83" s="44">
        <f t="shared" si="29"/>
        <v>393.84579741999988</v>
      </c>
      <c r="AH83" s="44">
        <f t="shared" si="29"/>
        <v>393.84579741999988</v>
      </c>
      <c r="AI83" s="44">
        <f t="shared" si="29"/>
        <v>0</v>
      </c>
      <c r="AJ83" s="44">
        <f t="shared" si="29"/>
        <v>0</v>
      </c>
      <c r="AK83" s="44">
        <f t="shared" si="29"/>
        <v>0</v>
      </c>
      <c r="AL83" s="44">
        <f t="shared" si="29"/>
        <v>0</v>
      </c>
      <c r="AM83" s="44">
        <f t="shared" si="29"/>
        <v>0</v>
      </c>
      <c r="AN83" s="44">
        <f t="shared" si="29"/>
        <v>0</v>
      </c>
      <c r="AO83" s="44">
        <f t="shared" si="29"/>
        <v>0</v>
      </c>
      <c r="AP83" s="44">
        <f t="shared" ref="AP83:AQ83" si="30">AP73-AP80</f>
        <v>0</v>
      </c>
      <c r="AQ83" s="44">
        <f t="shared" si="30"/>
        <v>0</v>
      </c>
    </row>
    <row r="84" spans="5:43">
      <c r="E84" s="18" t="s">
        <v>80</v>
      </c>
      <c r="G84" s="18" t="s">
        <v>143</v>
      </c>
      <c r="J84" s="44">
        <f>SUM($J$83:J83)</f>
        <v>0</v>
      </c>
      <c r="K84" s="44">
        <f>SUM($J$83:K83)</f>
        <v>0</v>
      </c>
      <c r="L84" s="44">
        <f>SUM($J$83:L83)</f>
        <v>0</v>
      </c>
      <c r="M84" s="44">
        <f>SUM($J$83:M83)</f>
        <v>891.33522574000006</v>
      </c>
      <c r="N84" s="44">
        <f>SUM($J$83:N83)</f>
        <v>1741.2129991199999</v>
      </c>
      <c r="O84" s="44">
        <f>SUM($J$83:O83)</f>
        <v>2570.36204632</v>
      </c>
      <c r="P84" s="44">
        <f>SUM($J$83:P83)</f>
        <v>3378.7823673399998</v>
      </c>
      <c r="Q84" s="44">
        <f>SUM($J$83:Q83)</f>
        <v>4145.7452359999997</v>
      </c>
      <c r="R84" s="44">
        <f>SUM($J$83:R83)</f>
        <v>4829.7931999399998</v>
      </c>
      <c r="S84" s="44">
        <f>SUM($J$83:S83)</f>
        <v>5472.3837115200004</v>
      </c>
      <c r="T84" s="44">
        <f>SUM($J$83:T83)</f>
        <v>6094.2454969199998</v>
      </c>
      <c r="U84" s="44">
        <f>SUM($J$83:U83)</f>
        <v>6653.9211037799996</v>
      </c>
      <c r="V84" s="44">
        <f>SUM($J$83:V83)</f>
        <v>7213.5967106399994</v>
      </c>
      <c r="W84" s="44">
        <f>SUM($J$83:W83)</f>
        <v>7773.2723174999992</v>
      </c>
      <c r="X84" s="44">
        <f>SUM($J$83:X83)</f>
        <v>8291.4904719999995</v>
      </c>
      <c r="Y84" s="44">
        <f>SUM($J$83:Y83)</f>
        <v>8788.9799003199987</v>
      </c>
      <c r="Z84" s="44">
        <f>SUM($J$83:Z83)</f>
        <v>9245.0118762799993</v>
      </c>
      <c r="AA84" s="44">
        <f>SUM($J$83:AA83)</f>
        <v>9680.3151260599989</v>
      </c>
      <c r="AB84" s="44">
        <f>SUM($J$83:AB83)</f>
        <v>10074.160923479998</v>
      </c>
      <c r="AC84" s="44">
        <f>SUM($J$83:AC83)</f>
        <v>10468.006720899997</v>
      </c>
      <c r="AD84" s="44">
        <f>SUM($J$83:AD83)</f>
        <v>10861.852518319996</v>
      </c>
      <c r="AE84" s="44">
        <f>SUM($J$83:AE83)</f>
        <v>11255.698315739995</v>
      </c>
      <c r="AF84" s="44">
        <f>SUM($J$83:AF83)</f>
        <v>11649.544113159995</v>
      </c>
      <c r="AG84" s="44">
        <f>SUM($J$83:AG83)</f>
        <v>12043.389910579994</v>
      </c>
      <c r="AH84" s="44">
        <f>SUM($J$83:AH83)</f>
        <v>12437.235707999993</v>
      </c>
      <c r="AI84" s="44">
        <f>SUM($J$83:AI83)</f>
        <v>12437.235707999993</v>
      </c>
      <c r="AJ84" s="44">
        <f>SUM($J$83:AJ83)</f>
        <v>12437.235707999993</v>
      </c>
      <c r="AK84" s="44">
        <f>SUM($J$83:AK83)</f>
        <v>12437.235707999993</v>
      </c>
      <c r="AL84" s="44">
        <f>SUM($J$83:AL83)</f>
        <v>12437.235707999993</v>
      </c>
      <c r="AM84" s="44">
        <f>SUM($J$83:AM83)</f>
        <v>12437.235707999993</v>
      </c>
      <c r="AN84" s="44">
        <f>SUM($J$83:AN83)</f>
        <v>12437.235707999993</v>
      </c>
      <c r="AO84" s="44">
        <f>SUM($J$83:AO83)</f>
        <v>12437.235707999993</v>
      </c>
      <c r="AP84" s="44">
        <f>SUM($J$83:AP83)</f>
        <v>12437.235707999993</v>
      </c>
      <c r="AQ84" s="44">
        <f>SUM($J$83:AQ83)</f>
        <v>12437.235707999993</v>
      </c>
    </row>
    <row r="86" spans="5:43">
      <c r="E86" t="str">
        <f>'Input Profile'!E39</f>
        <v>Energy Consumption - Upgrade</v>
      </c>
      <c r="G86" t="str">
        <f>'Input Profile'!G39</f>
        <v>kWh</v>
      </c>
      <c r="H86" s="48">
        <f>SUM(J86:AQ86)</f>
        <v>63536552.403999984</v>
      </c>
      <c r="J86" s="44">
        <f>'Input Profile'!J39 * J66</f>
        <v>4365590</v>
      </c>
      <c r="K86" s="44">
        <f>'Input Profile'!K39 * K66</f>
        <v>4365590</v>
      </c>
      <c r="L86" s="44">
        <f>'Input Profile'!L39 * L66</f>
        <v>4365590</v>
      </c>
      <c r="M86" s="44">
        <f>'Input Profile'!M39 * M66</f>
        <v>2292717.3820000002</v>
      </c>
      <c r="N86" s="44">
        <f>'Input Profile'!N39 * N66</f>
        <v>2292717.3820000002</v>
      </c>
      <c r="O86" s="44">
        <f>'Input Profile'!O39 * O66</f>
        <v>2292717.3820000002</v>
      </c>
      <c r="P86" s="44">
        <f>'Input Profile'!P39 * P66</f>
        <v>2292717.3820000002</v>
      </c>
      <c r="Q86" s="44">
        <f>'Input Profile'!Q39 * Q66</f>
        <v>2292717.3820000002</v>
      </c>
      <c r="R86" s="44">
        <f>'Input Profile'!R39 * R66</f>
        <v>2292717.3820000002</v>
      </c>
      <c r="S86" s="44">
        <f>'Input Profile'!S39 * S66</f>
        <v>2292717.3820000002</v>
      </c>
      <c r="T86" s="44">
        <f>'Input Profile'!T39 * T66</f>
        <v>2292717.3820000002</v>
      </c>
      <c r="U86" s="44">
        <f>'Input Profile'!U39 * U66</f>
        <v>2292717.3820000002</v>
      </c>
      <c r="V86" s="44">
        <f>'Input Profile'!V39 * V66</f>
        <v>2292717.3820000002</v>
      </c>
      <c r="W86" s="44">
        <f>'Input Profile'!W39 * W66</f>
        <v>2292717.3820000002</v>
      </c>
      <c r="X86" s="44">
        <f>'Input Profile'!X39 * X66</f>
        <v>2292717.3820000002</v>
      </c>
      <c r="Y86" s="44">
        <f>'Input Profile'!Y39 * Y66</f>
        <v>2292717.3820000002</v>
      </c>
      <c r="Z86" s="44">
        <f>'Input Profile'!Z39 * Z66</f>
        <v>2292717.3820000002</v>
      </c>
      <c r="AA86" s="44">
        <f>'Input Profile'!AA39 * AA66</f>
        <v>2292717.3820000002</v>
      </c>
      <c r="AB86" s="44">
        <f>'Input Profile'!AB39 * AB66</f>
        <v>2292717.3820000002</v>
      </c>
      <c r="AC86" s="44">
        <f>'Input Profile'!AC39 * AC66</f>
        <v>2292717.3820000002</v>
      </c>
      <c r="AD86" s="44">
        <f>'Input Profile'!AD39 * AD66</f>
        <v>2292717.3820000002</v>
      </c>
      <c r="AE86" s="44">
        <f>'Input Profile'!AE39 * AE66</f>
        <v>2292717.3820000002</v>
      </c>
      <c r="AF86" s="44">
        <f>'Input Profile'!AF39 * AF66</f>
        <v>2292717.3820000002</v>
      </c>
      <c r="AG86" s="44">
        <f>'Input Profile'!AG39 * AG66</f>
        <v>2292717.3820000002</v>
      </c>
      <c r="AH86" s="44">
        <f>'Input Profile'!AH39 * AH66</f>
        <v>2292717.3820000002</v>
      </c>
      <c r="AI86" s="44">
        <f>'Input Profile'!AI39 * AI66</f>
        <v>0</v>
      </c>
      <c r="AJ86" s="44">
        <f>'Input Profile'!AJ39 * AJ66</f>
        <v>0</v>
      </c>
      <c r="AK86" s="44">
        <f>'Input Profile'!AK39 * AK66</f>
        <v>0</v>
      </c>
      <c r="AL86" s="44">
        <f>'Input Profile'!AL39 * AL66</f>
        <v>0</v>
      </c>
      <c r="AM86" s="44">
        <f>'Input Profile'!AM39 * AM66</f>
        <v>0</v>
      </c>
      <c r="AN86" s="44">
        <f>'Input Profile'!AN39 * AN66</f>
        <v>0</v>
      </c>
      <c r="AO86" s="44">
        <f>'Input Profile'!AO39 * AO66</f>
        <v>0</v>
      </c>
      <c r="AP86" s="44">
        <f>'Input Profile'!AP39 * AP66</f>
        <v>0</v>
      </c>
      <c r="AQ86" s="44">
        <f>'Input Profile'!AQ39 * AQ66</f>
        <v>0</v>
      </c>
    </row>
    <row r="87" spans="5:43">
      <c r="E87" t="s">
        <v>146</v>
      </c>
      <c r="H87" s="48">
        <f>SUM(J87:AQ87)</f>
        <v>2292717.3820000002</v>
      </c>
      <c r="J87" s="44">
        <f>J86 * J68</f>
        <v>0</v>
      </c>
      <c r="K87" s="44">
        <f t="shared" ref="K87:AQ87" si="31">K86 * K68</f>
        <v>0</v>
      </c>
      <c r="L87" s="44">
        <f t="shared" si="31"/>
        <v>0</v>
      </c>
      <c r="M87" s="44">
        <f t="shared" si="31"/>
        <v>0</v>
      </c>
      <c r="N87" s="44">
        <f t="shared" si="31"/>
        <v>0</v>
      </c>
      <c r="O87" s="44">
        <f t="shared" si="31"/>
        <v>0</v>
      </c>
      <c r="P87" s="44">
        <f t="shared" si="31"/>
        <v>0</v>
      </c>
      <c r="Q87" s="44">
        <f t="shared" si="31"/>
        <v>0</v>
      </c>
      <c r="R87" s="44">
        <f t="shared" si="31"/>
        <v>0</v>
      </c>
      <c r="S87" s="44">
        <f t="shared" si="31"/>
        <v>0</v>
      </c>
      <c r="T87" s="44">
        <f t="shared" si="31"/>
        <v>0</v>
      </c>
      <c r="U87" s="44">
        <f t="shared" si="31"/>
        <v>0</v>
      </c>
      <c r="V87" s="44">
        <f t="shared" si="31"/>
        <v>0</v>
      </c>
      <c r="W87" s="44">
        <f t="shared" si="31"/>
        <v>0</v>
      </c>
      <c r="X87" s="44">
        <f t="shared" si="31"/>
        <v>0</v>
      </c>
      <c r="Y87" s="44">
        <f t="shared" si="31"/>
        <v>0</v>
      </c>
      <c r="Z87" s="44">
        <f t="shared" si="31"/>
        <v>0</v>
      </c>
      <c r="AA87" s="44">
        <f t="shared" si="31"/>
        <v>0</v>
      </c>
      <c r="AB87" s="44">
        <f t="shared" si="31"/>
        <v>0</v>
      </c>
      <c r="AC87" s="44">
        <f t="shared" si="31"/>
        <v>0</v>
      </c>
      <c r="AD87" s="44">
        <f t="shared" si="31"/>
        <v>0</v>
      </c>
      <c r="AE87" s="44">
        <f t="shared" si="31"/>
        <v>0</v>
      </c>
      <c r="AF87" s="44">
        <f t="shared" si="31"/>
        <v>0</v>
      </c>
      <c r="AG87" s="44">
        <f t="shared" si="31"/>
        <v>0</v>
      </c>
      <c r="AH87" s="44">
        <f t="shared" si="31"/>
        <v>2292717.3820000002</v>
      </c>
      <c r="AI87" s="44">
        <f t="shared" si="31"/>
        <v>0</v>
      </c>
      <c r="AJ87" s="44">
        <f t="shared" si="31"/>
        <v>0</v>
      </c>
      <c r="AK87" s="44">
        <f t="shared" si="31"/>
        <v>0</v>
      </c>
      <c r="AL87" s="44">
        <f t="shared" si="31"/>
        <v>0</v>
      </c>
      <c r="AM87" s="44">
        <f t="shared" si="31"/>
        <v>0</v>
      </c>
      <c r="AN87" s="44">
        <f t="shared" si="31"/>
        <v>0</v>
      </c>
      <c r="AO87" s="44">
        <f t="shared" si="31"/>
        <v>0</v>
      </c>
      <c r="AP87" s="44">
        <f t="shared" si="31"/>
        <v>0</v>
      </c>
      <c r="AQ87" s="44">
        <f t="shared" si="31"/>
        <v>0</v>
      </c>
    </row>
  </sheetData>
  <sheetProtection password="D033" sheet="1" objects="1" scenarios="1"/>
  <phoneticPr fontId="6" type="noConversion"/>
  <pageMargins left="0.74803149606299213" right="0.74803149606299213" top="0.98425196850393704" bottom="0.98425196850393704" header="0.51181102362204722" footer="0.51181102362204722"/>
  <pageSetup paperSize="9" scale="41" fitToWidth="4" fitToHeight="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BW83"/>
  <sheetViews>
    <sheetView showGridLines="0" zoomScale="85" zoomScaleNormal="85" workbookViewId="0">
      <pane xSplit="9" ySplit="5" topLeftCell="J6" activePane="bottomRight" state="frozen"/>
      <selection activeCell="H1" sqref="H1"/>
      <selection pane="topRight" activeCell="H1" sqref="H1"/>
      <selection pane="bottomLeft" activeCell="H1" sqref="H1"/>
      <selection pane="bottomRight" activeCell="J6" sqref="J6"/>
    </sheetView>
  </sheetViews>
  <sheetFormatPr defaultColWidth="0" defaultRowHeight="12.75"/>
  <cols>
    <col min="1" max="4" width="0.85546875" customWidth="1"/>
    <col min="5" max="5" width="45.7109375" customWidth="1"/>
    <col min="6" max="7" width="11.7109375" customWidth="1"/>
    <col min="8" max="8" width="13.85546875" customWidth="1"/>
    <col min="9" max="9" width="1.42578125" customWidth="1"/>
    <col min="10" max="43" width="13.7109375" customWidth="1"/>
    <col min="44" max="44" width="13.140625" bestFit="1" customWidth="1"/>
    <col min="45" max="49" width="13.140625" hidden="1" customWidth="1"/>
    <col min="50" max="51" width="11.28515625" hidden="1" customWidth="1"/>
    <col min="52" max="69" width="0" hidden="1" customWidth="1"/>
    <col min="70" max="73" width="13.140625" hidden="1" customWidth="1"/>
    <col min="74" max="75" width="11.28515625" hidden="1" customWidth="1"/>
    <col min="76" max="16384" width="9.140625" hidden="1"/>
  </cols>
  <sheetData>
    <row r="1" spans="1:51" ht="15">
      <c r="A1" s="61" t="str">
        <f>'Input Constants'!$A$1</f>
        <v>Scottish Futures Trust Model</v>
      </c>
      <c r="B1" s="61"/>
      <c r="C1" s="60"/>
      <c r="D1" s="60"/>
      <c r="E1" s="60"/>
      <c r="F1" s="6" t="s">
        <v>0</v>
      </c>
      <c r="J1" s="2">
        <f>Flags!J1</f>
        <v>41000</v>
      </c>
      <c r="K1" s="2">
        <f>Flags!K1</f>
        <v>41365</v>
      </c>
      <c r="L1" s="2">
        <f>Flags!L1</f>
        <v>41730</v>
      </c>
      <c r="M1" s="2">
        <f>Flags!M1</f>
        <v>42095</v>
      </c>
      <c r="N1" s="2">
        <f>Flags!N1</f>
        <v>42461</v>
      </c>
      <c r="O1" s="2">
        <f>Flags!O1</f>
        <v>42826</v>
      </c>
      <c r="P1" s="2">
        <f>Flags!P1</f>
        <v>43191</v>
      </c>
      <c r="Q1" s="2">
        <f>Flags!Q1</f>
        <v>43556</v>
      </c>
      <c r="R1" s="2">
        <f>Flags!R1</f>
        <v>43922</v>
      </c>
      <c r="S1" s="2">
        <f>Flags!S1</f>
        <v>44287</v>
      </c>
      <c r="T1" s="2">
        <f>Flags!T1</f>
        <v>44652</v>
      </c>
      <c r="U1" s="2">
        <f>Flags!U1</f>
        <v>45017</v>
      </c>
      <c r="V1" s="2">
        <f>Flags!V1</f>
        <v>45383</v>
      </c>
      <c r="W1" s="2">
        <f>Flags!W1</f>
        <v>45748</v>
      </c>
      <c r="X1" s="2">
        <f>Flags!X1</f>
        <v>46113</v>
      </c>
      <c r="Y1" s="2">
        <f>Flags!Y1</f>
        <v>46478</v>
      </c>
      <c r="Z1" s="2">
        <f>Flags!Z1</f>
        <v>46844</v>
      </c>
      <c r="AA1" s="2">
        <f>Flags!AA1</f>
        <v>47209</v>
      </c>
      <c r="AB1" s="2">
        <f>Flags!AB1</f>
        <v>47574</v>
      </c>
      <c r="AC1" s="2">
        <f>Flags!AC1</f>
        <v>47939</v>
      </c>
      <c r="AD1" s="2">
        <f>Flags!AD1</f>
        <v>48305</v>
      </c>
      <c r="AE1" s="2">
        <f>Flags!AE1</f>
        <v>48670</v>
      </c>
      <c r="AF1" s="2">
        <f>Flags!AF1</f>
        <v>49035</v>
      </c>
      <c r="AG1" s="2">
        <f>Flags!AG1</f>
        <v>49400</v>
      </c>
      <c r="AH1" s="2">
        <f>Flags!AH1</f>
        <v>49766</v>
      </c>
      <c r="AI1" s="2">
        <f>Flags!AI1</f>
        <v>50131</v>
      </c>
      <c r="AJ1" s="2">
        <f>Flags!AJ1</f>
        <v>50496</v>
      </c>
      <c r="AK1" s="2">
        <f>Flags!AK1</f>
        <v>50861</v>
      </c>
      <c r="AL1" s="2">
        <f>Flags!AL1</f>
        <v>51227</v>
      </c>
      <c r="AM1" s="2">
        <f>Flags!AM1</f>
        <v>51592</v>
      </c>
      <c r="AN1" s="2">
        <f>Flags!AN1</f>
        <v>51957</v>
      </c>
      <c r="AO1" s="2">
        <f>Flags!AO1</f>
        <v>52322</v>
      </c>
      <c r="AP1" s="2">
        <f>Flags!AP1</f>
        <v>52688</v>
      </c>
      <c r="AQ1" s="2">
        <f>Flags!AQ1</f>
        <v>53053</v>
      </c>
      <c r="AR1" s="3"/>
      <c r="AS1" s="3"/>
      <c r="AT1" s="3"/>
      <c r="AU1" s="3"/>
      <c r="AV1" s="3"/>
      <c r="AW1" s="3"/>
      <c r="AX1" s="3"/>
      <c r="AY1" s="3"/>
    </row>
    <row r="2" spans="1:51" ht="15">
      <c r="A2" s="61" t="str">
        <f>'Input Constants'!$A$2</f>
        <v>Scenario: Base</v>
      </c>
      <c r="B2" s="61"/>
      <c r="C2" s="60"/>
      <c r="D2" s="60"/>
      <c r="E2" s="60"/>
      <c r="F2" s="6" t="s">
        <v>1</v>
      </c>
      <c r="J2" s="2">
        <f>Flags!J2</f>
        <v>41364</v>
      </c>
      <c r="K2" s="2">
        <f>Flags!K2</f>
        <v>41729</v>
      </c>
      <c r="L2" s="2">
        <f>Flags!L2</f>
        <v>42094</v>
      </c>
      <c r="M2" s="2">
        <f>Flags!M2</f>
        <v>42460</v>
      </c>
      <c r="N2" s="2">
        <f>Flags!N2</f>
        <v>42825</v>
      </c>
      <c r="O2" s="2">
        <f>Flags!O2</f>
        <v>43190</v>
      </c>
      <c r="P2" s="2">
        <f>Flags!P2</f>
        <v>43555</v>
      </c>
      <c r="Q2" s="2">
        <f>Flags!Q2</f>
        <v>43921</v>
      </c>
      <c r="R2" s="2">
        <f>Flags!R2</f>
        <v>44286</v>
      </c>
      <c r="S2" s="2">
        <f>Flags!S2</f>
        <v>44651</v>
      </c>
      <c r="T2" s="2">
        <f>Flags!T2</f>
        <v>45016</v>
      </c>
      <c r="U2" s="2">
        <f>Flags!U2</f>
        <v>45382</v>
      </c>
      <c r="V2" s="2">
        <f>Flags!V2</f>
        <v>45747</v>
      </c>
      <c r="W2" s="2">
        <f>Flags!W2</f>
        <v>46112</v>
      </c>
      <c r="X2" s="2">
        <f>Flags!X2</f>
        <v>46477</v>
      </c>
      <c r="Y2" s="2">
        <f>Flags!Y2</f>
        <v>46843</v>
      </c>
      <c r="Z2" s="2">
        <f>Flags!Z2</f>
        <v>47208</v>
      </c>
      <c r="AA2" s="2">
        <f>Flags!AA2</f>
        <v>47573</v>
      </c>
      <c r="AB2" s="2">
        <f>Flags!AB2</f>
        <v>47938</v>
      </c>
      <c r="AC2" s="2">
        <f>Flags!AC2</f>
        <v>48304</v>
      </c>
      <c r="AD2" s="2">
        <f>Flags!AD2</f>
        <v>48669</v>
      </c>
      <c r="AE2" s="2">
        <f>Flags!AE2</f>
        <v>49034</v>
      </c>
      <c r="AF2" s="2">
        <f>Flags!AF2</f>
        <v>49399</v>
      </c>
      <c r="AG2" s="2">
        <f>Flags!AG2</f>
        <v>49765</v>
      </c>
      <c r="AH2" s="2">
        <f>Flags!AH2</f>
        <v>50130</v>
      </c>
      <c r="AI2" s="2">
        <f>Flags!AI2</f>
        <v>50495</v>
      </c>
      <c r="AJ2" s="2">
        <f>Flags!AJ2</f>
        <v>50860</v>
      </c>
      <c r="AK2" s="2">
        <f>Flags!AK2</f>
        <v>51226</v>
      </c>
      <c r="AL2" s="2">
        <f>Flags!AL2</f>
        <v>51591</v>
      </c>
      <c r="AM2" s="2">
        <f>Flags!AM2</f>
        <v>51956</v>
      </c>
      <c r="AN2" s="2">
        <f>Flags!AN2</f>
        <v>52321</v>
      </c>
      <c r="AO2" s="2">
        <f>Flags!AO2</f>
        <v>52687</v>
      </c>
      <c r="AP2" s="2">
        <f>Flags!AP2</f>
        <v>53052</v>
      </c>
      <c r="AQ2" s="2">
        <f>Flags!AQ2</f>
        <v>53417</v>
      </c>
      <c r="AR2" s="3"/>
      <c r="AS2" s="3"/>
      <c r="AT2" s="3"/>
      <c r="AU2" s="3"/>
      <c r="AV2" s="3"/>
      <c r="AW2" s="3"/>
      <c r="AX2" s="3"/>
      <c r="AY2" s="3"/>
    </row>
    <row r="3" spans="1:51">
      <c r="F3" t="str">
        <f>Flags!F3</f>
        <v>Year</v>
      </c>
      <c r="J3">
        <f>Flags!J3</f>
        <v>2012</v>
      </c>
      <c r="K3">
        <f>Flags!K3</f>
        <v>2013</v>
      </c>
      <c r="L3">
        <f>Flags!L3</f>
        <v>2014</v>
      </c>
      <c r="M3">
        <f>Flags!M3</f>
        <v>2015</v>
      </c>
      <c r="N3">
        <f>Flags!N3</f>
        <v>2016</v>
      </c>
      <c r="O3">
        <f>Flags!O3</f>
        <v>2017</v>
      </c>
      <c r="P3">
        <f>Flags!P3</f>
        <v>2018</v>
      </c>
      <c r="Q3">
        <f>Flags!Q3</f>
        <v>2019</v>
      </c>
      <c r="R3">
        <f>Flags!R3</f>
        <v>2020</v>
      </c>
      <c r="S3">
        <f>Flags!S3</f>
        <v>2021</v>
      </c>
      <c r="T3">
        <f>Flags!T3</f>
        <v>2022</v>
      </c>
      <c r="U3">
        <f>Flags!U3</f>
        <v>2023</v>
      </c>
      <c r="V3">
        <f>Flags!V3</f>
        <v>2024</v>
      </c>
      <c r="W3">
        <f>Flags!W3</f>
        <v>2025</v>
      </c>
      <c r="X3">
        <f>Flags!X3</f>
        <v>2026</v>
      </c>
      <c r="Y3">
        <f>Flags!Y3</f>
        <v>2027</v>
      </c>
      <c r="Z3">
        <f>Flags!Z3</f>
        <v>2028</v>
      </c>
      <c r="AA3">
        <f>Flags!AA3</f>
        <v>2029</v>
      </c>
      <c r="AB3">
        <f>Flags!AB3</f>
        <v>2030</v>
      </c>
      <c r="AC3">
        <f>Flags!AC3</f>
        <v>2031</v>
      </c>
      <c r="AD3">
        <f>Flags!AD3</f>
        <v>2032</v>
      </c>
      <c r="AE3">
        <f>Flags!AE3</f>
        <v>2033</v>
      </c>
      <c r="AF3">
        <f>Flags!AF3</f>
        <v>2034</v>
      </c>
      <c r="AG3">
        <f>Flags!AG3</f>
        <v>2035</v>
      </c>
      <c r="AH3">
        <f>Flags!AH3</f>
        <v>2036</v>
      </c>
      <c r="AI3">
        <f>Flags!AI3</f>
        <v>2037</v>
      </c>
      <c r="AJ3">
        <f>Flags!AJ3</f>
        <v>2038</v>
      </c>
      <c r="AK3">
        <f>Flags!AK3</f>
        <v>2039</v>
      </c>
      <c r="AL3">
        <f>Flags!AL3</f>
        <v>2040</v>
      </c>
      <c r="AM3">
        <f>Flags!AM3</f>
        <v>2041</v>
      </c>
      <c r="AN3">
        <f>Flags!AN3</f>
        <v>2042</v>
      </c>
      <c r="AO3">
        <f>Flags!AO3</f>
        <v>2043</v>
      </c>
      <c r="AP3">
        <f>Flags!AP3</f>
        <v>2044</v>
      </c>
      <c r="AQ3">
        <f>Flags!AQ3</f>
        <v>2045</v>
      </c>
    </row>
    <row r="5" spans="1:51">
      <c r="E5" s="1" t="s">
        <v>47</v>
      </c>
      <c r="G5" s="73" t="s">
        <v>23</v>
      </c>
      <c r="H5" s="73" t="s">
        <v>24</v>
      </c>
    </row>
    <row r="6" spans="1:51">
      <c r="D6" s="1"/>
    </row>
    <row r="7" spans="1:51">
      <c r="E7" t="str">
        <f>Workings!E$20</f>
        <v>Total Nominal Construction</v>
      </c>
      <c r="H7" s="101">
        <f>SUM(J7:AQ7)</f>
        <v>3468087.7088760622</v>
      </c>
      <c r="J7" s="44">
        <f>Workings!J$20</f>
        <v>0</v>
      </c>
      <c r="K7" s="44">
        <f>Workings!K$20</f>
        <v>0</v>
      </c>
      <c r="L7" s="44">
        <f>Workings!L$20</f>
        <v>0</v>
      </c>
      <c r="M7" s="44">
        <f>Workings!M$20</f>
        <v>3468087.7088760622</v>
      </c>
      <c r="N7" s="44">
        <f>Workings!N$20</f>
        <v>0</v>
      </c>
      <c r="O7" s="44">
        <f>Workings!O$20</f>
        <v>0</v>
      </c>
      <c r="P7" s="44">
        <f>Workings!P$20</f>
        <v>0</v>
      </c>
      <c r="Q7" s="44">
        <f>Workings!Q$20</f>
        <v>0</v>
      </c>
      <c r="R7" s="44">
        <f>Workings!R$20</f>
        <v>0</v>
      </c>
      <c r="S7" s="44">
        <f>Workings!S$20</f>
        <v>0</v>
      </c>
      <c r="T7" s="44">
        <f>Workings!T$20</f>
        <v>0</v>
      </c>
      <c r="U7" s="44">
        <f>Workings!U$20</f>
        <v>0</v>
      </c>
      <c r="V7" s="44">
        <f>Workings!V$20</f>
        <v>0</v>
      </c>
      <c r="W7" s="44">
        <f>Workings!W$20</f>
        <v>0</v>
      </c>
      <c r="X7" s="44">
        <f>Workings!X$20</f>
        <v>0</v>
      </c>
      <c r="Y7" s="44">
        <f>Workings!Y$20</f>
        <v>0</v>
      </c>
      <c r="Z7" s="44">
        <f>Workings!Z$20</f>
        <v>0</v>
      </c>
      <c r="AA7" s="44">
        <f>Workings!AA$20</f>
        <v>0</v>
      </c>
      <c r="AB7" s="44">
        <f>Workings!AB$20</f>
        <v>0</v>
      </c>
      <c r="AC7" s="44">
        <f>Workings!AC$20</f>
        <v>0</v>
      </c>
      <c r="AD7" s="44">
        <f>Workings!AD$20</f>
        <v>0</v>
      </c>
      <c r="AE7" s="44">
        <f>Workings!AE$20</f>
        <v>0</v>
      </c>
      <c r="AF7" s="44">
        <f>Workings!AF$20</f>
        <v>0</v>
      </c>
      <c r="AG7" s="44">
        <f>Workings!AG$20</f>
        <v>0</v>
      </c>
      <c r="AH7" s="44">
        <f>Workings!AH$20</f>
        <v>0</v>
      </c>
      <c r="AI7" s="44">
        <f>Workings!AI$20</f>
        <v>0</v>
      </c>
      <c r="AJ7" s="44">
        <f>Workings!AJ$20</f>
        <v>0</v>
      </c>
      <c r="AK7" s="44">
        <f>Workings!AK$20</f>
        <v>0</v>
      </c>
      <c r="AL7" s="44">
        <f>Workings!AL$20</f>
        <v>0</v>
      </c>
      <c r="AM7" s="44">
        <f>Workings!AM$20</f>
        <v>0</v>
      </c>
      <c r="AN7" s="44">
        <f>Workings!AN$20</f>
        <v>0</v>
      </c>
      <c r="AO7" s="44">
        <f>Workings!AO$20</f>
        <v>0</v>
      </c>
      <c r="AP7" s="44">
        <f>Workings!AP$20</f>
        <v>0</v>
      </c>
      <c r="AQ7" s="44">
        <f>Workings!AQ$20</f>
        <v>0</v>
      </c>
    </row>
    <row r="8" spans="1:51">
      <c r="E8" s="6" t="str">
        <f>'Input Profile'!E$18</f>
        <v>Total Nominal Contribution</v>
      </c>
      <c r="H8" s="101">
        <f>SUM(J8:AQ8)</f>
        <v>0</v>
      </c>
      <c r="J8" s="45">
        <f>'Input Profile'!J$18</f>
        <v>0</v>
      </c>
      <c r="K8" s="45">
        <f>'Input Profile'!K$18</f>
        <v>0</v>
      </c>
      <c r="L8" s="45">
        <f>'Input Profile'!L$18</f>
        <v>0</v>
      </c>
      <c r="M8" s="45">
        <f>'Input Profile'!M$18</f>
        <v>0</v>
      </c>
      <c r="N8" s="45">
        <f>'Input Profile'!N$18</f>
        <v>0</v>
      </c>
      <c r="O8" s="45">
        <f>'Input Profile'!O$18</f>
        <v>0</v>
      </c>
      <c r="P8" s="45">
        <f>'Input Profile'!P$18</f>
        <v>0</v>
      </c>
      <c r="Q8" s="45">
        <f>'Input Profile'!Q$18</f>
        <v>0</v>
      </c>
      <c r="R8" s="45">
        <f>'Input Profile'!R$18</f>
        <v>0</v>
      </c>
      <c r="S8" s="45">
        <f>'Input Profile'!S$18</f>
        <v>0</v>
      </c>
      <c r="T8" s="45">
        <f>'Input Profile'!T$18</f>
        <v>0</v>
      </c>
      <c r="U8" s="45">
        <f>'Input Profile'!U$18</f>
        <v>0</v>
      </c>
      <c r="V8" s="45">
        <f>'Input Profile'!V$18</f>
        <v>0</v>
      </c>
      <c r="W8" s="45">
        <f>'Input Profile'!W$18</f>
        <v>0</v>
      </c>
      <c r="X8" s="45">
        <f>'Input Profile'!X$18</f>
        <v>0</v>
      </c>
      <c r="Y8" s="45">
        <f>'Input Profile'!Y$18</f>
        <v>0</v>
      </c>
      <c r="Z8" s="45">
        <f>'Input Profile'!Z$18</f>
        <v>0</v>
      </c>
      <c r="AA8" s="45">
        <f>'Input Profile'!AA$18</f>
        <v>0</v>
      </c>
      <c r="AB8" s="45">
        <f>'Input Profile'!AB$18</f>
        <v>0</v>
      </c>
      <c r="AC8" s="45">
        <f>'Input Profile'!AC$18</f>
        <v>0</v>
      </c>
      <c r="AD8" s="45">
        <f>'Input Profile'!AD$18</f>
        <v>0</v>
      </c>
      <c r="AE8" s="45">
        <f>'Input Profile'!AE$18</f>
        <v>0</v>
      </c>
      <c r="AF8" s="45">
        <f>'Input Profile'!AF$18</f>
        <v>0</v>
      </c>
      <c r="AG8" s="45">
        <f>'Input Profile'!AG$18</f>
        <v>0</v>
      </c>
      <c r="AH8" s="45">
        <f>'Input Profile'!AH$18</f>
        <v>0</v>
      </c>
      <c r="AI8" s="45">
        <f>'Input Profile'!AI$18</f>
        <v>0</v>
      </c>
      <c r="AJ8" s="45">
        <f>'Input Profile'!AJ$18</f>
        <v>0</v>
      </c>
      <c r="AK8" s="45">
        <f>'Input Profile'!AK$18</f>
        <v>0</v>
      </c>
      <c r="AL8" s="45">
        <f>'Input Profile'!AL$18</f>
        <v>0</v>
      </c>
      <c r="AM8" s="45">
        <f>'Input Profile'!AM$18</f>
        <v>0</v>
      </c>
      <c r="AN8" s="45">
        <f>'Input Profile'!AN$18</f>
        <v>0</v>
      </c>
      <c r="AO8" s="45">
        <f>'Input Profile'!AO$18</f>
        <v>0</v>
      </c>
      <c r="AP8" s="45">
        <f>'Input Profile'!AP$18</f>
        <v>0</v>
      </c>
      <c r="AQ8" s="45">
        <f>'Input Profile'!AQ$18</f>
        <v>0</v>
      </c>
    </row>
    <row r="9" spans="1:51">
      <c r="E9" s="6"/>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row>
    <row r="10" spans="1:51">
      <c r="E10" s="6" t="s">
        <v>49</v>
      </c>
      <c r="H10" s="101">
        <f>SUM(J10:AQ10)</f>
        <v>3468087.7088760622</v>
      </c>
      <c r="J10" s="44">
        <f>J7 - J8</f>
        <v>0</v>
      </c>
      <c r="K10" s="44">
        <f>K7 - K8</f>
        <v>0</v>
      </c>
      <c r="L10" s="44">
        <f t="shared" ref="L10:AQ10" si="0">L7 - L8</f>
        <v>0</v>
      </c>
      <c r="M10" s="44">
        <f t="shared" si="0"/>
        <v>3468087.7088760622</v>
      </c>
      <c r="N10" s="44">
        <f t="shared" si="0"/>
        <v>0</v>
      </c>
      <c r="O10" s="44">
        <f t="shared" si="0"/>
        <v>0</v>
      </c>
      <c r="P10" s="44">
        <f t="shared" si="0"/>
        <v>0</v>
      </c>
      <c r="Q10" s="44">
        <f t="shared" si="0"/>
        <v>0</v>
      </c>
      <c r="R10" s="44">
        <f t="shared" si="0"/>
        <v>0</v>
      </c>
      <c r="S10" s="44">
        <f t="shared" si="0"/>
        <v>0</v>
      </c>
      <c r="T10" s="44">
        <f t="shared" si="0"/>
        <v>0</v>
      </c>
      <c r="U10" s="44">
        <f t="shared" si="0"/>
        <v>0</v>
      </c>
      <c r="V10" s="44">
        <f t="shared" si="0"/>
        <v>0</v>
      </c>
      <c r="W10" s="44">
        <f t="shared" si="0"/>
        <v>0</v>
      </c>
      <c r="X10" s="44">
        <f t="shared" si="0"/>
        <v>0</v>
      </c>
      <c r="Y10" s="44">
        <f t="shared" si="0"/>
        <v>0</v>
      </c>
      <c r="Z10" s="44">
        <f t="shared" si="0"/>
        <v>0</v>
      </c>
      <c r="AA10" s="44">
        <f t="shared" si="0"/>
        <v>0</v>
      </c>
      <c r="AB10" s="44">
        <f t="shared" si="0"/>
        <v>0</v>
      </c>
      <c r="AC10" s="44">
        <f t="shared" si="0"/>
        <v>0</v>
      </c>
      <c r="AD10" s="44">
        <f t="shared" si="0"/>
        <v>0</v>
      </c>
      <c r="AE10" s="44">
        <f t="shared" si="0"/>
        <v>0</v>
      </c>
      <c r="AF10" s="44">
        <f t="shared" si="0"/>
        <v>0</v>
      </c>
      <c r="AG10" s="44">
        <f t="shared" si="0"/>
        <v>0</v>
      </c>
      <c r="AH10" s="44">
        <f t="shared" si="0"/>
        <v>0</v>
      </c>
      <c r="AI10" s="44">
        <f t="shared" si="0"/>
        <v>0</v>
      </c>
      <c r="AJ10" s="44">
        <f t="shared" si="0"/>
        <v>0</v>
      </c>
      <c r="AK10" s="44">
        <f t="shared" si="0"/>
        <v>0</v>
      </c>
      <c r="AL10" s="44">
        <f t="shared" si="0"/>
        <v>0</v>
      </c>
      <c r="AM10" s="44">
        <f t="shared" si="0"/>
        <v>0</v>
      </c>
      <c r="AN10" s="44">
        <f t="shared" si="0"/>
        <v>0</v>
      </c>
      <c r="AO10" s="44">
        <f t="shared" si="0"/>
        <v>0</v>
      </c>
      <c r="AP10" s="44">
        <f t="shared" si="0"/>
        <v>0</v>
      </c>
      <c r="AQ10" s="44">
        <f t="shared" si="0"/>
        <v>0</v>
      </c>
    </row>
    <row r="11" spans="1:51">
      <c r="E11" s="6" t="str">
        <f>'Input Constants'!E36</f>
        <v>Repayment Method (annuity or flat repayment profile)</v>
      </c>
      <c r="F11" s="6" t="str">
        <f>'Input Constants'!F36</f>
        <v>Annuity</v>
      </c>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row>
    <row r="12" spans="1:51">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row>
    <row r="13" spans="1:51">
      <c r="E13" t="str">
        <f>'Input Constants'!E$40</f>
        <v>Tranche A % of Total Financing</v>
      </c>
      <c r="F13" s="21">
        <f>'Input Constants'!F$40</f>
        <v>0.8</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row>
    <row r="14" spans="1:51">
      <c r="E14" t="str">
        <f>'Input Constants'!E$44</f>
        <v>Tranche B % of Total Financing</v>
      </c>
      <c r="F14" s="21">
        <f>'Input Constants'!F$44</f>
        <v>0.2</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row>
    <row r="15" spans="1:51">
      <c r="E15" t="str">
        <f>'Input Constants'!E48</f>
        <v>Tranche C % of Total Financing</v>
      </c>
      <c r="F15" s="21">
        <f>'Input Constants'!F48</f>
        <v>0</v>
      </c>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row>
    <row r="16" spans="1:51" s="43" customFormat="1">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row>
    <row r="17" spans="1:45">
      <c r="E17" t="s">
        <v>186</v>
      </c>
      <c r="H17" s="101">
        <f>SUM(J17:AQ17)</f>
        <v>2774470.16710085</v>
      </c>
      <c r="J17" s="44">
        <f t="shared" ref="J17:K19" si="1">$F13 * J$10</f>
        <v>0</v>
      </c>
      <c r="K17" s="44">
        <f t="shared" si="1"/>
        <v>0</v>
      </c>
      <c r="L17" s="44">
        <f t="shared" ref="L17:AQ17" si="2">$F13 * L$10</f>
        <v>0</v>
      </c>
      <c r="M17" s="44">
        <f t="shared" si="2"/>
        <v>2774470.16710085</v>
      </c>
      <c r="N17" s="44">
        <f t="shared" si="2"/>
        <v>0</v>
      </c>
      <c r="O17" s="44">
        <f t="shared" si="2"/>
        <v>0</v>
      </c>
      <c r="P17" s="44">
        <f t="shared" si="2"/>
        <v>0</v>
      </c>
      <c r="Q17" s="44">
        <f t="shared" si="2"/>
        <v>0</v>
      </c>
      <c r="R17" s="44">
        <f t="shared" si="2"/>
        <v>0</v>
      </c>
      <c r="S17" s="44">
        <f t="shared" si="2"/>
        <v>0</v>
      </c>
      <c r="T17" s="44">
        <f t="shared" si="2"/>
        <v>0</v>
      </c>
      <c r="U17" s="44">
        <f t="shared" si="2"/>
        <v>0</v>
      </c>
      <c r="V17" s="44">
        <f t="shared" si="2"/>
        <v>0</v>
      </c>
      <c r="W17" s="44">
        <f t="shared" si="2"/>
        <v>0</v>
      </c>
      <c r="X17" s="44">
        <f t="shared" si="2"/>
        <v>0</v>
      </c>
      <c r="Y17" s="44">
        <f t="shared" si="2"/>
        <v>0</v>
      </c>
      <c r="Z17" s="44">
        <f t="shared" si="2"/>
        <v>0</v>
      </c>
      <c r="AA17" s="44">
        <f t="shared" si="2"/>
        <v>0</v>
      </c>
      <c r="AB17" s="44">
        <f t="shared" si="2"/>
        <v>0</v>
      </c>
      <c r="AC17" s="44">
        <f t="shared" si="2"/>
        <v>0</v>
      </c>
      <c r="AD17" s="44">
        <f t="shared" si="2"/>
        <v>0</v>
      </c>
      <c r="AE17" s="44">
        <f t="shared" si="2"/>
        <v>0</v>
      </c>
      <c r="AF17" s="44">
        <f t="shared" si="2"/>
        <v>0</v>
      </c>
      <c r="AG17" s="44">
        <f t="shared" si="2"/>
        <v>0</v>
      </c>
      <c r="AH17" s="44">
        <f t="shared" si="2"/>
        <v>0</v>
      </c>
      <c r="AI17" s="44">
        <f t="shared" si="2"/>
        <v>0</v>
      </c>
      <c r="AJ17" s="44">
        <f t="shared" si="2"/>
        <v>0</v>
      </c>
      <c r="AK17" s="44">
        <f t="shared" si="2"/>
        <v>0</v>
      </c>
      <c r="AL17" s="44">
        <f t="shared" si="2"/>
        <v>0</v>
      </c>
      <c r="AM17" s="44">
        <f t="shared" si="2"/>
        <v>0</v>
      </c>
      <c r="AN17" s="44">
        <f t="shared" si="2"/>
        <v>0</v>
      </c>
      <c r="AO17" s="44">
        <f t="shared" si="2"/>
        <v>0</v>
      </c>
      <c r="AP17" s="44">
        <f t="shared" si="2"/>
        <v>0</v>
      </c>
      <c r="AQ17" s="44">
        <f t="shared" si="2"/>
        <v>0</v>
      </c>
    </row>
    <row r="18" spans="1:45">
      <c r="E18" t="s">
        <v>178</v>
      </c>
      <c r="H18" s="101">
        <f>SUM(J18:AQ18)</f>
        <v>693617.54177521251</v>
      </c>
      <c r="J18" s="44">
        <f t="shared" si="1"/>
        <v>0</v>
      </c>
      <c r="K18" s="44">
        <f t="shared" si="1"/>
        <v>0</v>
      </c>
      <c r="L18" s="44">
        <f t="shared" ref="L18:AQ19" si="3">$F14 * L$10</f>
        <v>0</v>
      </c>
      <c r="M18" s="44">
        <f t="shared" si="3"/>
        <v>693617.54177521251</v>
      </c>
      <c r="N18" s="44">
        <f t="shared" si="3"/>
        <v>0</v>
      </c>
      <c r="O18" s="44">
        <f t="shared" si="3"/>
        <v>0</v>
      </c>
      <c r="P18" s="44">
        <f t="shared" si="3"/>
        <v>0</v>
      </c>
      <c r="Q18" s="44">
        <f t="shared" si="3"/>
        <v>0</v>
      </c>
      <c r="R18" s="44">
        <f t="shared" si="3"/>
        <v>0</v>
      </c>
      <c r="S18" s="44">
        <f t="shared" si="3"/>
        <v>0</v>
      </c>
      <c r="T18" s="44">
        <f t="shared" si="3"/>
        <v>0</v>
      </c>
      <c r="U18" s="44">
        <f t="shared" si="3"/>
        <v>0</v>
      </c>
      <c r="V18" s="44">
        <f t="shared" si="3"/>
        <v>0</v>
      </c>
      <c r="W18" s="44">
        <f t="shared" si="3"/>
        <v>0</v>
      </c>
      <c r="X18" s="44">
        <f t="shared" si="3"/>
        <v>0</v>
      </c>
      <c r="Y18" s="44">
        <f t="shared" si="3"/>
        <v>0</v>
      </c>
      <c r="Z18" s="44">
        <f t="shared" si="3"/>
        <v>0</v>
      </c>
      <c r="AA18" s="44">
        <f t="shared" si="3"/>
        <v>0</v>
      </c>
      <c r="AB18" s="44">
        <f t="shared" si="3"/>
        <v>0</v>
      </c>
      <c r="AC18" s="44">
        <f t="shared" si="3"/>
        <v>0</v>
      </c>
      <c r="AD18" s="44">
        <f t="shared" si="3"/>
        <v>0</v>
      </c>
      <c r="AE18" s="44">
        <f t="shared" si="3"/>
        <v>0</v>
      </c>
      <c r="AF18" s="44">
        <f t="shared" si="3"/>
        <v>0</v>
      </c>
      <c r="AG18" s="44">
        <f t="shared" si="3"/>
        <v>0</v>
      </c>
      <c r="AH18" s="44">
        <f t="shared" si="3"/>
        <v>0</v>
      </c>
      <c r="AI18" s="44">
        <f t="shared" si="3"/>
        <v>0</v>
      </c>
      <c r="AJ18" s="44">
        <f t="shared" si="3"/>
        <v>0</v>
      </c>
      <c r="AK18" s="44">
        <f t="shared" si="3"/>
        <v>0</v>
      </c>
      <c r="AL18" s="44">
        <f t="shared" si="3"/>
        <v>0</v>
      </c>
      <c r="AM18" s="44">
        <f t="shared" si="3"/>
        <v>0</v>
      </c>
      <c r="AN18" s="44">
        <f t="shared" si="3"/>
        <v>0</v>
      </c>
      <c r="AO18" s="44">
        <f t="shared" si="3"/>
        <v>0</v>
      </c>
      <c r="AP18" s="44">
        <f t="shared" si="3"/>
        <v>0</v>
      </c>
      <c r="AQ18" s="44">
        <f t="shared" si="3"/>
        <v>0</v>
      </c>
    </row>
    <row r="19" spans="1:45">
      <c r="E19" s="43" t="s">
        <v>194</v>
      </c>
      <c r="H19" s="101">
        <f>SUM(J19:AQ19)</f>
        <v>0</v>
      </c>
      <c r="J19" s="44">
        <f t="shared" si="1"/>
        <v>0</v>
      </c>
      <c r="K19" s="44">
        <f t="shared" si="1"/>
        <v>0</v>
      </c>
      <c r="L19" s="44">
        <f t="shared" si="3"/>
        <v>0</v>
      </c>
      <c r="M19" s="44">
        <f t="shared" si="3"/>
        <v>0</v>
      </c>
      <c r="N19" s="44">
        <f t="shared" si="3"/>
        <v>0</v>
      </c>
      <c r="O19" s="44">
        <f t="shared" si="3"/>
        <v>0</v>
      </c>
      <c r="P19" s="44">
        <f t="shared" si="3"/>
        <v>0</v>
      </c>
      <c r="Q19" s="44">
        <f t="shared" si="3"/>
        <v>0</v>
      </c>
      <c r="R19" s="44">
        <f t="shared" si="3"/>
        <v>0</v>
      </c>
      <c r="S19" s="44">
        <f t="shared" si="3"/>
        <v>0</v>
      </c>
      <c r="T19" s="44">
        <f t="shared" si="3"/>
        <v>0</v>
      </c>
      <c r="U19" s="44">
        <f t="shared" si="3"/>
        <v>0</v>
      </c>
      <c r="V19" s="44">
        <f t="shared" si="3"/>
        <v>0</v>
      </c>
      <c r="W19" s="44">
        <f t="shared" si="3"/>
        <v>0</v>
      </c>
      <c r="X19" s="44">
        <f t="shared" si="3"/>
        <v>0</v>
      </c>
      <c r="Y19" s="44">
        <f t="shared" si="3"/>
        <v>0</v>
      </c>
      <c r="Z19" s="44">
        <f t="shared" si="3"/>
        <v>0</v>
      </c>
      <c r="AA19" s="44">
        <f t="shared" si="3"/>
        <v>0</v>
      </c>
      <c r="AB19" s="44">
        <f t="shared" si="3"/>
        <v>0</v>
      </c>
      <c r="AC19" s="44">
        <f t="shared" si="3"/>
        <v>0</v>
      </c>
      <c r="AD19" s="44">
        <f t="shared" si="3"/>
        <v>0</v>
      </c>
      <c r="AE19" s="44">
        <f t="shared" si="3"/>
        <v>0</v>
      </c>
      <c r="AF19" s="44">
        <f t="shared" si="3"/>
        <v>0</v>
      </c>
      <c r="AG19" s="44">
        <f t="shared" si="3"/>
        <v>0</v>
      </c>
      <c r="AH19" s="44">
        <f t="shared" si="3"/>
        <v>0</v>
      </c>
      <c r="AI19" s="44">
        <f t="shared" si="3"/>
        <v>0</v>
      </c>
      <c r="AJ19" s="44">
        <f t="shared" si="3"/>
        <v>0</v>
      </c>
      <c r="AK19" s="44">
        <f t="shared" si="3"/>
        <v>0</v>
      </c>
      <c r="AL19" s="44">
        <f t="shared" si="3"/>
        <v>0</v>
      </c>
      <c r="AM19" s="44">
        <f t="shared" si="3"/>
        <v>0</v>
      </c>
      <c r="AN19" s="44">
        <f t="shared" si="3"/>
        <v>0</v>
      </c>
      <c r="AO19" s="44">
        <f t="shared" si="3"/>
        <v>0</v>
      </c>
      <c r="AP19" s="44">
        <f t="shared" si="3"/>
        <v>0</v>
      </c>
      <c r="AQ19" s="44">
        <f t="shared" si="3"/>
        <v>0</v>
      </c>
    </row>
    <row r="20" spans="1:45">
      <c r="E20" s="18"/>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row>
    <row r="21" spans="1:45">
      <c r="C21" s="11" t="s">
        <v>175</v>
      </c>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row>
    <row r="22" spans="1:45">
      <c r="E22" t="s">
        <v>187</v>
      </c>
      <c r="F22" s="44">
        <f>H17</f>
        <v>2774470.16710085</v>
      </c>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row>
    <row r="23" spans="1:45">
      <c r="E23" t="str">
        <f>'Input Constants'!E38</f>
        <v>Tranche A Term Length</v>
      </c>
      <c r="F23" s="44">
        <f>'Input Constants'!F38</f>
        <v>15</v>
      </c>
      <c r="G23" t="str">
        <f>'Input Constants'!G38</f>
        <v>years</v>
      </c>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row>
    <row r="24" spans="1:45">
      <c r="E24" t="str">
        <f>'Input Constants'!E39</f>
        <v>Tranche A Interest Rate</v>
      </c>
      <c r="F24" s="21">
        <f>'Input Constants'!F39</f>
        <v>0.04</v>
      </c>
      <c r="G24" t="str">
        <f>'Input Constants'!G39</f>
        <v>p.a.</v>
      </c>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row>
    <row r="25" spans="1:45">
      <c r="E25" t="s">
        <v>188</v>
      </c>
      <c r="F25" s="44"/>
      <c r="J25" s="44">
        <f>IF(J28=1, PPMT($F24,1,J29,SUM(J31:J32)), 0) * IF($F$11='Input Constants'!$E$54, 1, 0)</f>
        <v>0</v>
      </c>
      <c r="K25" s="44">
        <f>IF(K28=1, PPMT($F24,1,K29,SUM(K31:K32)), 0) * IF($F$11='Input Constants'!$E$54, 1, 0)</f>
        <v>0</v>
      </c>
      <c r="L25" s="44">
        <f>IF(L28=1, PPMT($F24,1,L29,SUM(L31:L32)), 0) * IF($F$11='Input Constants'!$E$54, 1, 0)</f>
        <v>0</v>
      </c>
      <c r="M25" s="44">
        <f>IF(M28=1, PPMT($F24,1,M29,SUM(M31:M32)), 0) * IF($F$11='Input Constants'!$E$54, 1, 0)</f>
        <v>-138560.09309145412</v>
      </c>
      <c r="N25" s="44">
        <f>IF(N28=1, PPMT($F24,1,N29,SUM(N31:N32)), 0) * IF($F$11='Input Constants'!$E$54, 1, 0)</f>
        <v>-144102.49681511233</v>
      </c>
      <c r="O25" s="44">
        <f>IF(O28=1, PPMT($F24,1,O29,SUM(O31:O32)), 0) * IF($F$11='Input Constants'!$E$54, 1, 0)</f>
        <v>-149866.59668771684</v>
      </c>
      <c r="P25" s="44">
        <f>IF(P28=1, PPMT($F24,1,P29,SUM(P31:P32)), 0) * IF($F$11='Input Constants'!$E$54, 1, 0)</f>
        <v>-155861.26055522548</v>
      </c>
      <c r="Q25" s="44">
        <f>IF(Q28=1, PPMT($F24,1,Q29,SUM(Q31:Q32)), 0) * IF($F$11='Input Constants'!$E$54, 1, 0)</f>
        <v>-162095.71097743459</v>
      </c>
      <c r="R25" s="44">
        <f>IF(R28=1, PPMT($F24,1,R29,SUM(R31:R32)), 0) * IF($F$11='Input Constants'!$E$54, 1, 0)</f>
        <v>-168579.53941653194</v>
      </c>
      <c r="S25" s="44">
        <f>IF(S28=1, PPMT($F24,1,S29,SUM(S31:S32)), 0) * IF($F$11='Input Constants'!$E$54, 1, 0)</f>
        <v>-175322.72099319322</v>
      </c>
      <c r="T25" s="44">
        <f>IF(T28=1, PPMT($F24,1,T29,SUM(T31:T32)), 0) * IF($F$11='Input Constants'!$E$54, 1, 0)</f>
        <v>-182335.62983292103</v>
      </c>
      <c r="U25" s="44">
        <f>IF(U28=1, PPMT($F24,1,U29,SUM(U31:U32)), 0) * IF($F$11='Input Constants'!$E$54, 1, 0)</f>
        <v>-189629.05502623794</v>
      </c>
      <c r="V25" s="44">
        <f>IF(V28=1, PPMT($F24,1,V29,SUM(V31:V32)), 0) * IF($F$11='Input Constants'!$E$54, 1, 0)</f>
        <v>-197214.21722728742</v>
      </c>
      <c r="W25" s="44">
        <f>IF(W28=1, PPMT($F24,1,W29,SUM(W31:W32)), 0) * IF($F$11='Input Constants'!$E$54, 1, 0)</f>
        <v>-205102.7859163789</v>
      </c>
      <c r="X25" s="44">
        <f>IF(X28=1, PPMT($F24,1,X29,SUM(X31:X32)), 0) * IF($F$11='Input Constants'!$E$54, 1, 0)</f>
        <v>-213306.89735303423</v>
      </c>
      <c r="Y25" s="44">
        <f>IF(Y28=1, PPMT($F24,1,Y29,SUM(Y31:Y32)), 0) * IF($F$11='Input Constants'!$E$54, 1, 0)</f>
        <v>-221839.17324715576</v>
      </c>
      <c r="Z25" s="44">
        <f>IF(Z28=1, PPMT($F24,1,Z29,SUM(Z31:Z32)), 0) * IF($F$11='Input Constants'!$E$54, 1, 0)</f>
        <v>-230712.74017704191</v>
      </c>
      <c r="AA25" s="44">
        <f>IF(AA28=1, PPMT($F24,1,AA29,SUM(AA31:AA32)), 0) * IF($F$11='Input Constants'!$E$54, 1, 0)</f>
        <v>-239941.24978412403</v>
      </c>
      <c r="AB25" s="44">
        <f>IF(AB28=1, PPMT($F24,1,AB29,SUM(AB31:AB32)), 0) * IF($F$11='Input Constants'!$E$54, 1, 0)</f>
        <v>0</v>
      </c>
      <c r="AC25" s="44">
        <f>IF(AC28=1, PPMT($F24,1,AC29,SUM(AC31:AC32)), 0) * IF($F$11='Input Constants'!$E$54, 1, 0)</f>
        <v>0</v>
      </c>
      <c r="AD25" s="44">
        <f>IF(AD28=1, PPMT($F24,1,AD29,SUM(AD31:AD32)), 0) * IF($F$11='Input Constants'!$E$54, 1, 0)</f>
        <v>0</v>
      </c>
      <c r="AE25" s="44">
        <f>IF(AE28=1, PPMT($F24,1,AE29,SUM(AE31:AE32)), 0) * IF($F$11='Input Constants'!$E$54, 1, 0)</f>
        <v>0</v>
      </c>
      <c r="AF25" s="44">
        <f>IF(AF28=1, PPMT($F24,1,AF29,SUM(AF31:AF32)), 0) * IF($F$11='Input Constants'!$E$54, 1, 0)</f>
        <v>0</v>
      </c>
      <c r="AG25" s="44">
        <f>IF(AG28=1, PPMT($F24,1,AG29,SUM(AG31:AG32)), 0) * IF($F$11='Input Constants'!$E$54, 1, 0)</f>
        <v>0</v>
      </c>
      <c r="AH25" s="44">
        <f>IF(AH28=1, PPMT($F24,1,AH29,SUM(AH31:AH32)), 0) * IF($F$11='Input Constants'!$E$54, 1, 0)</f>
        <v>0</v>
      </c>
      <c r="AI25" s="44">
        <f>IF(AI28=1, PPMT($F24,1,AI29,SUM(AI31:AI32)), 0) * IF($F$11='Input Constants'!$E$54, 1, 0)</f>
        <v>0</v>
      </c>
      <c r="AJ25" s="44">
        <f>IF(AJ28=1, PPMT($F24,1,AJ29,SUM(AJ31:AJ32)), 0) * IF($F$11='Input Constants'!$E$54, 1, 0)</f>
        <v>0</v>
      </c>
      <c r="AK25" s="44">
        <f>IF(AK28=1, PPMT($F24,1,AK29,SUM(AK31:AK32)), 0) * IF($F$11='Input Constants'!$E$54, 1, 0)</f>
        <v>0</v>
      </c>
      <c r="AL25" s="44">
        <f>IF(AL28=1, PPMT($F24,1,AL29,SUM(AL31:AL32)), 0) * IF($F$11='Input Constants'!$E$54, 1, 0)</f>
        <v>0</v>
      </c>
      <c r="AM25" s="44">
        <f>IF(AM28=1, PPMT($F24,1,AM29,SUM(AM31:AM32)), 0) * IF($F$11='Input Constants'!$E$54, 1, 0)</f>
        <v>0</v>
      </c>
      <c r="AN25" s="44">
        <f>IF(AN28=1, PPMT($F24,1,AN29,SUM(AN31:AN32)), 0) * IF($F$11='Input Constants'!$E$54, 1, 0)</f>
        <v>0</v>
      </c>
      <c r="AO25" s="44">
        <f>IF(AO28=1, PPMT($F24,1,AO29,SUM(AO31:AO32)), 0) * IF($F$11='Input Constants'!$E$54, 1, 0)</f>
        <v>0</v>
      </c>
      <c r="AP25" s="44">
        <f>IF(AP28=1, PPMT($F24,1,AP29,SUM(AP31:AP32)), 0) * IF($F$11='Input Constants'!$E$54, 1, 0)</f>
        <v>0</v>
      </c>
      <c r="AQ25" s="44">
        <f>IF(AQ28=1, PPMT($F24,1,AQ29,SUM(AQ31:AQ32)), 0) * IF($F$11='Input Constants'!$E$54, 1, 0)</f>
        <v>0</v>
      </c>
      <c r="AS25" s="44"/>
    </row>
    <row r="26" spans="1:45">
      <c r="E26" t="s">
        <v>199</v>
      </c>
      <c r="F26" s="44">
        <f>(F22/F23) * IF($F$11='Input Constants'!$E$54, 0, 1)</f>
        <v>0</v>
      </c>
      <c r="G26" t="s">
        <v>38</v>
      </c>
      <c r="J26" s="44">
        <f>IF(J28=1,$F26, 0) * -1</f>
        <v>0</v>
      </c>
      <c r="K26" s="44">
        <f t="shared" ref="K26:AQ26" si="4">IF(K28=1,$F26, 0) * -1</f>
        <v>0</v>
      </c>
      <c r="L26" s="44">
        <f t="shared" si="4"/>
        <v>0</v>
      </c>
      <c r="M26" s="44">
        <f t="shared" si="4"/>
        <v>0</v>
      </c>
      <c r="N26" s="44">
        <f t="shared" si="4"/>
        <v>0</v>
      </c>
      <c r="O26" s="44">
        <f t="shared" si="4"/>
        <v>0</v>
      </c>
      <c r="P26" s="44">
        <f t="shared" si="4"/>
        <v>0</v>
      </c>
      <c r="Q26" s="44">
        <f t="shared" si="4"/>
        <v>0</v>
      </c>
      <c r="R26" s="44">
        <f t="shared" si="4"/>
        <v>0</v>
      </c>
      <c r="S26" s="44">
        <f t="shared" si="4"/>
        <v>0</v>
      </c>
      <c r="T26" s="44">
        <f t="shared" si="4"/>
        <v>0</v>
      </c>
      <c r="U26" s="44">
        <f t="shared" si="4"/>
        <v>0</v>
      </c>
      <c r="V26" s="44">
        <f t="shared" si="4"/>
        <v>0</v>
      </c>
      <c r="W26" s="44">
        <f t="shared" si="4"/>
        <v>0</v>
      </c>
      <c r="X26" s="44">
        <f t="shared" si="4"/>
        <v>0</v>
      </c>
      <c r="Y26" s="44">
        <f t="shared" si="4"/>
        <v>0</v>
      </c>
      <c r="Z26" s="44">
        <f t="shared" si="4"/>
        <v>0</v>
      </c>
      <c r="AA26" s="44">
        <f t="shared" si="4"/>
        <v>0</v>
      </c>
      <c r="AB26" s="44">
        <f t="shared" si="4"/>
        <v>0</v>
      </c>
      <c r="AC26" s="44">
        <f t="shared" si="4"/>
        <v>0</v>
      </c>
      <c r="AD26" s="44">
        <f t="shared" si="4"/>
        <v>0</v>
      </c>
      <c r="AE26" s="44">
        <f t="shared" si="4"/>
        <v>0</v>
      </c>
      <c r="AF26" s="44">
        <f t="shared" si="4"/>
        <v>0</v>
      </c>
      <c r="AG26" s="44">
        <f t="shared" si="4"/>
        <v>0</v>
      </c>
      <c r="AH26" s="44">
        <f t="shared" si="4"/>
        <v>0</v>
      </c>
      <c r="AI26" s="44">
        <f t="shared" si="4"/>
        <v>0</v>
      </c>
      <c r="AJ26" s="44">
        <f t="shared" si="4"/>
        <v>0</v>
      </c>
      <c r="AK26" s="44">
        <f t="shared" si="4"/>
        <v>0</v>
      </c>
      <c r="AL26" s="44">
        <f t="shared" si="4"/>
        <v>0</v>
      </c>
      <c r="AM26" s="44">
        <f t="shared" si="4"/>
        <v>0</v>
      </c>
      <c r="AN26" s="44">
        <f t="shared" si="4"/>
        <v>0</v>
      </c>
      <c r="AO26" s="44">
        <f t="shared" si="4"/>
        <v>0</v>
      </c>
      <c r="AP26" s="44">
        <f t="shared" si="4"/>
        <v>0</v>
      </c>
      <c r="AQ26" s="44">
        <f t="shared" si="4"/>
        <v>0</v>
      </c>
      <c r="AR26" s="44"/>
      <c r="AS26" s="44"/>
    </row>
    <row r="27" spans="1:45" s="19" customFormat="1">
      <c r="A27"/>
      <c r="B27"/>
      <c r="C27"/>
      <c r="D27"/>
      <c r="E27"/>
      <c r="F27"/>
      <c r="G27"/>
      <c r="H27"/>
      <c r="I27"/>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row>
    <row r="28" spans="1:45" s="19" customFormat="1">
      <c r="A28"/>
      <c r="B28"/>
      <c r="C28"/>
      <c r="D28"/>
      <c r="E28" t="str">
        <f>Flags!E$19</f>
        <v>Tranche A Repayment Flag</v>
      </c>
      <c r="F28"/>
      <c r="G28"/>
      <c r="H28"/>
      <c r="I28">
        <f>Flags!I$19</f>
        <v>0</v>
      </c>
      <c r="J28" s="44">
        <f>Flags!J$19</f>
        <v>0</v>
      </c>
      <c r="K28" s="44">
        <f>Flags!K$19</f>
        <v>0</v>
      </c>
      <c r="L28" s="44">
        <f>Flags!L$19</f>
        <v>0</v>
      </c>
      <c r="M28" s="44">
        <f>Flags!M$19</f>
        <v>1</v>
      </c>
      <c r="N28" s="44">
        <f>Flags!N$19</f>
        <v>1</v>
      </c>
      <c r="O28" s="44">
        <f>Flags!O$19</f>
        <v>1</v>
      </c>
      <c r="P28" s="44">
        <f>Flags!P$19</f>
        <v>1</v>
      </c>
      <c r="Q28" s="44">
        <f>Flags!Q$19</f>
        <v>1</v>
      </c>
      <c r="R28" s="44">
        <f>Flags!R$19</f>
        <v>1</v>
      </c>
      <c r="S28" s="44">
        <f>Flags!S$19</f>
        <v>1</v>
      </c>
      <c r="T28" s="44">
        <f>Flags!T$19</f>
        <v>1</v>
      </c>
      <c r="U28" s="44">
        <f>Flags!U$19</f>
        <v>1</v>
      </c>
      <c r="V28" s="44">
        <f>Flags!V$19</f>
        <v>1</v>
      </c>
      <c r="W28" s="44">
        <f>Flags!W$19</f>
        <v>1</v>
      </c>
      <c r="X28" s="44">
        <f>Flags!X$19</f>
        <v>1</v>
      </c>
      <c r="Y28" s="44">
        <f>Flags!Y$19</f>
        <v>1</v>
      </c>
      <c r="Z28" s="44">
        <f>Flags!Z$19</f>
        <v>1</v>
      </c>
      <c r="AA28" s="44">
        <f>Flags!AA$19</f>
        <v>1</v>
      </c>
      <c r="AB28" s="44">
        <f>Flags!AB$19</f>
        <v>0</v>
      </c>
      <c r="AC28" s="44">
        <f>Flags!AC$19</f>
        <v>0</v>
      </c>
      <c r="AD28" s="44">
        <f>Flags!AD$19</f>
        <v>0</v>
      </c>
      <c r="AE28" s="44">
        <f>Flags!AE$19</f>
        <v>0</v>
      </c>
      <c r="AF28" s="44">
        <f>Flags!AF$19</f>
        <v>0</v>
      </c>
      <c r="AG28" s="44">
        <f>Flags!AG$19</f>
        <v>0</v>
      </c>
      <c r="AH28" s="44">
        <f>Flags!AH$19</f>
        <v>0</v>
      </c>
      <c r="AI28" s="44">
        <f>Flags!AI$19</f>
        <v>0</v>
      </c>
      <c r="AJ28" s="44">
        <f>Flags!AJ$19</f>
        <v>0</v>
      </c>
      <c r="AK28" s="44">
        <f>Flags!AK$19</f>
        <v>0</v>
      </c>
      <c r="AL28" s="44">
        <f>Flags!AL$19</f>
        <v>0</v>
      </c>
      <c r="AM28" s="44">
        <f>Flags!AM$19</f>
        <v>0</v>
      </c>
      <c r="AN28" s="44">
        <f>Flags!AN$19</f>
        <v>0</v>
      </c>
      <c r="AO28" s="44">
        <f>Flags!AO$19</f>
        <v>0</v>
      </c>
      <c r="AP28" s="44">
        <f>Flags!AP$19</f>
        <v>0</v>
      </c>
      <c r="AQ28" s="44">
        <f>Flags!AQ$19</f>
        <v>0</v>
      </c>
    </row>
    <row r="29" spans="1:45" s="19" customFormat="1">
      <c r="A29"/>
      <c r="B29"/>
      <c r="C29"/>
      <c r="D29"/>
      <c r="E29" t="s">
        <v>189</v>
      </c>
      <c r="F29"/>
      <c r="G29"/>
      <c r="H29"/>
      <c r="I29"/>
      <c r="J29" s="44">
        <f>SUM(J28:$AQ28)</f>
        <v>15</v>
      </c>
      <c r="K29" s="44">
        <f>SUM(K28:$AQ28)</f>
        <v>15</v>
      </c>
      <c r="L29" s="44">
        <f>SUM(L28:$AQ28)</f>
        <v>15</v>
      </c>
      <c r="M29" s="44">
        <f>SUM(M28:$AQ28)</f>
        <v>15</v>
      </c>
      <c r="N29" s="44">
        <f>SUM(N28:$AQ28)</f>
        <v>14</v>
      </c>
      <c r="O29" s="44">
        <f>SUM(O28:$AQ28)</f>
        <v>13</v>
      </c>
      <c r="P29" s="44">
        <f>SUM(P28:$AQ28)</f>
        <v>12</v>
      </c>
      <c r="Q29" s="44">
        <f>SUM(Q28:$AQ28)</f>
        <v>11</v>
      </c>
      <c r="R29" s="44">
        <f>SUM(R28:$AQ28)</f>
        <v>10</v>
      </c>
      <c r="S29" s="44">
        <f>SUM(S28:$AQ28)</f>
        <v>9</v>
      </c>
      <c r="T29" s="44">
        <f>SUM(T28:$AQ28)</f>
        <v>8</v>
      </c>
      <c r="U29" s="44">
        <f>SUM(U28:$AQ28)</f>
        <v>7</v>
      </c>
      <c r="V29" s="44">
        <f>SUM(V28:$AQ28)</f>
        <v>6</v>
      </c>
      <c r="W29" s="44">
        <f>SUM(W28:$AQ28)</f>
        <v>5</v>
      </c>
      <c r="X29" s="44">
        <f>SUM(X28:$AQ28)</f>
        <v>4</v>
      </c>
      <c r="Y29" s="44">
        <f>SUM(Y28:$AQ28)</f>
        <v>3</v>
      </c>
      <c r="Z29" s="44">
        <f>SUM(Z28:$AQ28)</f>
        <v>2</v>
      </c>
      <c r="AA29" s="44">
        <f>SUM(AA28:$AQ28)</f>
        <v>1</v>
      </c>
      <c r="AB29" s="44">
        <f>SUM(AB28:$AQ28)</f>
        <v>0</v>
      </c>
      <c r="AC29" s="44">
        <f>SUM(AC28:$AQ28)</f>
        <v>0</v>
      </c>
      <c r="AD29" s="44">
        <f>SUM(AD28:$AQ28)</f>
        <v>0</v>
      </c>
      <c r="AE29" s="44">
        <f>SUM(AE28:$AQ28)</f>
        <v>0</v>
      </c>
      <c r="AF29" s="44">
        <f>SUM(AF28:$AQ28)</f>
        <v>0</v>
      </c>
      <c r="AG29" s="44">
        <f>SUM(AG28:$AQ28)</f>
        <v>0</v>
      </c>
      <c r="AH29" s="44">
        <f>SUM(AH28:$AQ28)</f>
        <v>0</v>
      </c>
      <c r="AI29" s="44">
        <f>SUM(AI28:$AQ28)</f>
        <v>0</v>
      </c>
      <c r="AJ29" s="44">
        <f>SUM(AJ28:$AQ28)</f>
        <v>0</v>
      </c>
      <c r="AK29" s="44">
        <f>SUM(AK28:$AQ28)</f>
        <v>0</v>
      </c>
      <c r="AL29" s="44">
        <f>SUM(AL28:$AQ28)</f>
        <v>0</v>
      </c>
      <c r="AM29" s="44">
        <f>SUM(AM28:$AQ28)</f>
        <v>0</v>
      </c>
      <c r="AN29" s="44">
        <f>SUM(AN28:$AQ28)</f>
        <v>0</v>
      </c>
      <c r="AO29" s="44">
        <f>SUM(AO28:$AQ28)</f>
        <v>0</v>
      </c>
      <c r="AP29" s="44">
        <f>SUM(AP28:$AQ28)</f>
        <v>0</v>
      </c>
      <c r="AQ29" s="44">
        <f>SUM(AQ28:$AQ28)</f>
        <v>0</v>
      </c>
      <c r="AR29" s="44"/>
      <c r="AS29" s="44"/>
    </row>
    <row r="30" spans="1:45" s="19" customFormat="1">
      <c r="A30"/>
      <c r="B30"/>
      <c r="C30"/>
      <c r="D30"/>
      <c r="E30"/>
      <c r="F30"/>
      <c r="G30"/>
      <c r="H30"/>
      <c r="I30"/>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row>
    <row r="31" spans="1:45">
      <c r="E31" t="s">
        <v>190</v>
      </c>
      <c r="J31" s="44">
        <f t="shared" ref="J31:AO31" si="5">I34</f>
        <v>0</v>
      </c>
      <c r="K31" s="44">
        <f t="shared" si="5"/>
        <v>0</v>
      </c>
      <c r="L31" s="44">
        <f t="shared" si="5"/>
        <v>0</v>
      </c>
      <c r="M31" s="44">
        <f t="shared" si="5"/>
        <v>0</v>
      </c>
      <c r="N31" s="44">
        <f t="shared" si="5"/>
        <v>2635910.0740093961</v>
      </c>
      <c r="O31" s="44">
        <f t="shared" si="5"/>
        <v>2491807.5771942837</v>
      </c>
      <c r="P31" s="44">
        <f t="shared" si="5"/>
        <v>2341940.9805065668</v>
      </c>
      <c r="Q31" s="44">
        <f t="shared" si="5"/>
        <v>2186079.7199513414</v>
      </c>
      <c r="R31" s="44">
        <f t="shared" si="5"/>
        <v>2023984.0089739067</v>
      </c>
      <c r="S31" s="44">
        <f t="shared" si="5"/>
        <v>1855404.4695573747</v>
      </c>
      <c r="T31" s="44">
        <f t="shared" si="5"/>
        <v>1680081.7485641814</v>
      </c>
      <c r="U31" s="44">
        <f t="shared" si="5"/>
        <v>1497746.1187312603</v>
      </c>
      <c r="V31" s="44">
        <f t="shared" si="5"/>
        <v>1308117.0637050224</v>
      </c>
      <c r="W31" s="44">
        <f t="shared" si="5"/>
        <v>1110902.8464777351</v>
      </c>
      <c r="X31" s="44">
        <f t="shared" si="5"/>
        <v>905800.06056135613</v>
      </c>
      <c r="Y31" s="44">
        <f t="shared" si="5"/>
        <v>692493.1632083219</v>
      </c>
      <c r="Z31" s="44">
        <f t="shared" si="5"/>
        <v>470653.98996116617</v>
      </c>
      <c r="AA31" s="44">
        <f t="shared" si="5"/>
        <v>239941.24978412426</v>
      </c>
      <c r="AB31" s="44">
        <f t="shared" si="5"/>
        <v>2.3283064365386963E-10</v>
      </c>
      <c r="AC31" s="44">
        <f t="shared" si="5"/>
        <v>2.3283064365386963E-10</v>
      </c>
      <c r="AD31" s="44">
        <f t="shared" si="5"/>
        <v>2.3283064365386963E-10</v>
      </c>
      <c r="AE31" s="44">
        <f t="shared" si="5"/>
        <v>2.3283064365386963E-10</v>
      </c>
      <c r="AF31" s="44">
        <f t="shared" si="5"/>
        <v>2.3283064365386963E-10</v>
      </c>
      <c r="AG31" s="44">
        <f t="shared" si="5"/>
        <v>2.3283064365386963E-10</v>
      </c>
      <c r="AH31" s="44">
        <f t="shared" si="5"/>
        <v>2.3283064365386963E-10</v>
      </c>
      <c r="AI31" s="44">
        <f t="shared" si="5"/>
        <v>2.3283064365386963E-10</v>
      </c>
      <c r="AJ31" s="44">
        <f t="shared" si="5"/>
        <v>2.3283064365386963E-10</v>
      </c>
      <c r="AK31" s="44">
        <f t="shared" si="5"/>
        <v>2.3283064365386963E-10</v>
      </c>
      <c r="AL31" s="44">
        <f t="shared" si="5"/>
        <v>2.3283064365386963E-10</v>
      </c>
      <c r="AM31" s="44">
        <f t="shared" si="5"/>
        <v>2.3283064365386963E-10</v>
      </c>
      <c r="AN31" s="44">
        <f t="shared" si="5"/>
        <v>2.3283064365386963E-10</v>
      </c>
      <c r="AO31" s="44">
        <f t="shared" si="5"/>
        <v>2.3283064365386963E-10</v>
      </c>
      <c r="AP31" s="44">
        <f t="shared" ref="AP31:AQ31" si="6">AO34</f>
        <v>2.3283064365386963E-10</v>
      </c>
      <c r="AQ31" s="44">
        <f t="shared" si="6"/>
        <v>2.3283064365386963E-10</v>
      </c>
    </row>
    <row r="32" spans="1:45">
      <c r="E32" t="str">
        <f>E$17</f>
        <v>Tranche A Drawdown</v>
      </c>
      <c r="H32" s="101">
        <f>SUM(J32:AQ32)</f>
        <v>2774470.16710085</v>
      </c>
      <c r="J32" s="44">
        <f>J$17</f>
        <v>0</v>
      </c>
      <c r="K32" s="44">
        <f t="shared" ref="K32:AQ32" si="7">K$17</f>
        <v>0</v>
      </c>
      <c r="L32" s="44">
        <f t="shared" si="7"/>
        <v>0</v>
      </c>
      <c r="M32" s="44">
        <f t="shared" si="7"/>
        <v>2774470.16710085</v>
      </c>
      <c r="N32" s="44">
        <f t="shared" si="7"/>
        <v>0</v>
      </c>
      <c r="O32" s="44">
        <f t="shared" si="7"/>
        <v>0</v>
      </c>
      <c r="P32" s="44">
        <f t="shared" si="7"/>
        <v>0</v>
      </c>
      <c r="Q32" s="44">
        <f t="shared" si="7"/>
        <v>0</v>
      </c>
      <c r="R32" s="44">
        <f t="shared" si="7"/>
        <v>0</v>
      </c>
      <c r="S32" s="44">
        <f t="shared" si="7"/>
        <v>0</v>
      </c>
      <c r="T32" s="44">
        <f t="shared" si="7"/>
        <v>0</v>
      </c>
      <c r="U32" s="44">
        <f t="shared" si="7"/>
        <v>0</v>
      </c>
      <c r="V32" s="44">
        <f t="shared" si="7"/>
        <v>0</v>
      </c>
      <c r="W32" s="44">
        <f t="shared" si="7"/>
        <v>0</v>
      </c>
      <c r="X32" s="44">
        <f t="shared" si="7"/>
        <v>0</v>
      </c>
      <c r="Y32" s="44">
        <f t="shared" si="7"/>
        <v>0</v>
      </c>
      <c r="Z32" s="44">
        <f t="shared" si="7"/>
        <v>0</v>
      </c>
      <c r="AA32" s="44">
        <f t="shared" si="7"/>
        <v>0</v>
      </c>
      <c r="AB32" s="44">
        <f t="shared" si="7"/>
        <v>0</v>
      </c>
      <c r="AC32" s="44">
        <f t="shared" si="7"/>
        <v>0</v>
      </c>
      <c r="AD32" s="44">
        <f t="shared" si="7"/>
        <v>0</v>
      </c>
      <c r="AE32" s="44">
        <f t="shared" si="7"/>
        <v>0</v>
      </c>
      <c r="AF32" s="44">
        <f t="shared" si="7"/>
        <v>0</v>
      </c>
      <c r="AG32" s="44">
        <f t="shared" si="7"/>
        <v>0</v>
      </c>
      <c r="AH32" s="44">
        <f t="shared" si="7"/>
        <v>0</v>
      </c>
      <c r="AI32" s="44">
        <f t="shared" si="7"/>
        <v>0</v>
      </c>
      <c r="AJ32" s="44">
        <f t="shared" si="7"/>
        <v>0</v>
      </c>
      <c r="AK32" s="44">
        <f t="shared" si="7"/>
        <v>0</v>
      </c>
      <c r="AL32" s="44">
        <f t="shared" si="7"/>
        <v>0</v>
      </c>
      <c r="AM32" s="44">
        <f t="shared" si="7"/>
        <v>0</v>
      </c>
      <c r="AN32" s="44">
        <f t="shared" si="7"/>
        <v>0</v>
      </c>
      <c r="AO32" s="44">
        <f t="shared" si="7"/>
        <v>0</v>
      </c>
      <c r="AP32" s="44">
        <f t="shared" si="7"/>
        <v>0</v>
      </c>
      <c r="AQ32" s="44">
        <f t="shared" si="7"/>
        <v>0</v>
      </c>
    </row>
    <row r="33" spans="1:45">
      <c r="E33" s="6" t="str">
        <f>"Tranche A Principal - "&amp;$F$11&amp;" Repayment"</f>
        <v>Tranche A Principal - Annuity Repayment</v>
      </c>
      <c r="H33" s="101">
        <f>SUM(J33:AQ33)</f>
        <v>-2774470.1671008496</v>
      </c>
      <c r="J33" s="44">
        <f>(J25 + J26) * J28</f>
        <v>0</v>
      </c>
      <c r="K33" s="44">
        <f t="shared" ref="K33:AQ33" si="8">(K25 + K26) * K28</f>
        <v>0</v>
      </c>
      <c r="L33" s="44">
        <f t="shared" si="8"/>
        <v>0</v>
      </c>
      <c r="M33" s="44">
        <f t="shared" si="8"/>
        <v>-138560.09309145412</v>
      </c>
      <c r="N33" s="44">
        <f t="shared" si="8"/>
        <v>-144102.49681511233</v>
      </c>
      <c r="O33" s="44">
        <f t="shared" si="8"/>
        <v>-149866.59668771684</v>
      </c>
      <c r="P33" s="44">
        <f t="shared" si="8"/>
        <v>-155861.26055522548</v>
      </c>
      <c r="Q33" s="44">
        <f t="shared" si="8"/>
        <v>-162095.71097743459</v>
      </c>
      <c r="R33" s="44">
        <f t="shared" si="8"/>
        <v>-168579.53941653194</v>
      </c>
      <c r="S33" s="44">
        <f t="shared" si="8"/>
        <v>-175322.72099319322</v>
      </c>
      <c r="T33" s="44">
        <f t="shared" si="8"/>
        <v>-182335.62983292103</v>
      </c>
      <c r="U33" s="44">
        <f t="shared" si="8"/>
        <v>-189629.05502623794</v>
      </c>
      <c r="V33" s="44">
        <f t="shared" si="8"/>
        <v>-197214.21722728742</v>
      </c>
      <c r="W33" s="44">
        <f t="shared" si="8"/>
        <v>-205102.7859163789</v>
      </c>
      <c r="X33" s="44">
        <f t="shared" si="8"/>
        <v>-213306.89735303423</v>
      </c>
      <c r="Y33" s="44">
        <f t="shared" si="8"/>
        <v>-221839.17324715576</v>
      </c>
      <c r="Z33" s="44">
        <f t="shared" si="8"/>
        <v>-230712.74017704191</v>
      </c>
      <c r="AA33" s="44">
        <f t="shared" si="8"/>
        <v>-239941.24978412403</v>
      </c>
      <c r="AB33" s="44">
        <f t="shared" si="8"/>
        <v>0</v>
      </c>
      <c r="AC33" s="44">
        <f t="shared" si="8"/>
        <v>0</v>
      </c>
      <c r="AD33" s="44">
        <f t="shared" si="8"/>
        <v>0</v>
      </c>
      <c r="AE33" s="44">
        <f t="shared" si="8"/>
        <v>0</v>
      </c>
      <c r="AF33" s="44">
        <f t="shared" si="8"/>
        <v>0</v>
      </c>
      <c r="AG33" s="44">
        <f t="shared" si="8"/>
        <v>0</v>
      </c>
      <c r="AH33" s="44">
        <f t="shared" si="8"/>
        <v>0</v>
      </c>
      <c r="AI33" s="44">
        <f t="shared" si="8"/>
        <v>0</v>
      </c>
      <c r="AJ33" s="44">
        <f t="shared" si="8"/>
        <v>0</v>
      </c>
      <c r="AK33" s="44">
        <f t="shared" si="8"/>
        <v>0</v>
      </c>
      <c r="AL33" s="44">
        <f t="shared" si="8"/>
        <v>0</v>
      </c>
      <c r="AM33" s="44">
        <f t="shared" si="8"/>
        <v>0</v>
      </c>
      <c r="AN33" s="44">
        <f t="shared" si="8"/>
        <v>0</v>
      </c>
      <c r="AO33" s="44">
        <f t="shared" si="8"/>
        <v>0</v>
      </c>
      <c r="AP33" s="44">
        <f t="shared" si="8"/>
        <v>0</v>
      </c>
      <c r="AQ33" s="44">
        <f t="shared" si="8"/>
        <v>0</v>
      </c>
    </row>
    <row r="34" spans="1:45">
      <c r="D34" s="1"/>
      <c r="E34" t="s">
        <v>191</v>
      </c>
      <c r="J34" s="46">
        <f t="shared" ref="J34:AO34" si="9">SUM(J31:J33)</f>
        <v>0</v>
      </c>
      <c r="K34" s="46">
        <f t="shared" si="9"/>
        <v>0</v>
      </c>
      <c r="L34" s="46">
        <f t="shared" si="9"/>
        <v>0</v>
      </c>
      <c r="M34" s="46">
        <f t="shared" si="9"/>
        <v>2635910.0740093961</v>
      </c>
      <c r="N34" s="46">
        <f t="shared" si="9"/>
        <v>2491807.5771942837</v>
      </c>
      <c r="O34" s="46">
        <f t="shared" si="9"/>
        <v>2341940.9805065668</v>
      </c>
      <c r="P34" s="46">
        <f t="shared" si="9"/>
        <v>2186079.7199513414</v>
      </c>
      <c r="Q34" s="46">
        <f t="shared" si="9"/>
        <v>2023984.0089739067</v>
      </c>
      <c r="R34" s="46">
        <f t="shared" si="9"/>
        <v>1855404.4695573747</v>
      </c>
      <c r="S34" s="46">
        <f t="shared" si="9"/>
        <v>1680081.7485641814</v>
      </c>
      <c r="T34" s="46">
        <f t="shared" si="9"/>
        <v>1497746.1187312603</v>
      </c>
      <c r="U34" s="46">
        <f t="shared" si="9"/>
        <v>1308117.0637050224</v>
      </c>
      <c r="V34" s="46">
        <f t="shared" si="9"/>
        <v>1110902.8464777351</v>
      </c>
      <c r="W34" s="46">
        <f t="shared" si="9"/>
        <v>905800.06056135613</v>
      </c>
      <c r="X34" s="46">
        <f t="shared" si="9"/>
        <v>692493.1632083219</v>
      </c>
      <c r="Y34" s="46">
        <f t="shared" si="9"/>
        <v>470653.98996116617</v>
      </c>
      <c r="Z34" s="46">
        <f t="shared" si="9"/>
        <v>239941.24978412426</v>
      </c>
      <c r="AA34" s="46">
        <f t="shared" si="9"/>
        <v>2.3283064365386963E-10</v>
      </c>
      <c r="AB34" s="46">
        <f t="shared" si="9"/>
        <v>2.3283064365386963E-10</v>
      </c>
      <c r="AC34" s="46">
        <f t="shared" si="9"/>
        <v>2.3283064365386963E-10</v>
      </c>
      <c r="AD34" s="46">
        <f t="shared" si="9"/>
        <v>2.3283064365386963E-10</v>
      </c>
      <c r="AE34" s="46">
        <f t="shared" si="9"/>
        <v>2.3283064365386963E-10</v>
      </c>
      <c r="AF34" s="46">
        <f t="shared" si="9"/>
        <v>2.3283064365386963E-10</v>
      </c>
      <c r="AG34" s="46">
        <f t="shared" si="9"/>
        <v>2.3283064365386963E-10</v>
      </c>
      <c r="AH34" s="46">
        <f t="shared" si="9"/>
        <v>2.3283064365386963E-10</v>
      </c>
      <c r="AI34" s="46">
        <f t="shared" si="9"/>
        <v>2.3283064365386963E-10</v>
      </c>
      <c r="AJ34" s="46">
        <f t="shared" si="9"/>
        <v>2.3283064365386963E-10</v>
      </c>
      <c r="AK34" s="46">
        <f t="shared" si="9"/>
        <v>2.3283064365386963E-10</v>
      </c>
      <c r="AL34" s="46">
        <f t="shared" si="9"/>
        <v>2.3283064365386963E-10</v>
      </c>
      <c r="AM34" s="46">
        <f t="shared" si="9"/>
        <v>2.3283064365386963E-10</v>
      </c>
      <c r="AN34" s="46">
        <f t="shared" si="9"/>
        <v>2.3283064365386963E-10</v>
      </c>
      <c r="AO34" s="46">
        <f t="shared" si="9"/>
        <v>2.3283064365386963E-10</v>
      </c>
      <c r="AP34" s="46">
        <f t="shared" ref="AP34:AQ34" si="10">SUM(AP31:AP33)</f>
        <v>2.3283064365386963E-10</v>
      </c>
      <c r="AQ34" s="46">
        <f t="shared" si="10"/>
        <v>2.3283064365386963E-10</v>
      </c>
    </row>
    <row r="35" spans="1:45">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row>
    <row r="36" spans="1:45" s="19" customFormat="1">
      <c r="A36"/>
      <c r="B36"/>
      <c r="C36"/>
      <c r="D36"/>
      <c r="E36" t="s">
        <v>192</v>
      </c>
      <c r="F36"/>
      <c r="G36" t="s">
        <v>42</v>
      </c>
      <c r="H36" s="101">
        <f>SUM(J36:AQ36)</f>
        <v>968613.32953147555</v>
      </c>
      <c r="I36"/>
      <c r="J36" s="44">
        <f>SUM(J31:J32) * $F24</f>
        <v>0</v>
      </c>
      <c r="K36" s="44">
        <f t="shared" ref="K36:AQ36" si="11">SUM(K31:K32) * $F24</f>
        <v>0</v>
      </c>
      <c r="L36" s="44">
        <f t="shared" si="11"/>
        <v>0</v>
      </c>
      <c r="M36" s="44">
        <f t="shared" si="11"/>
        <v>110978.806684034</v>
      </c>
      <c r="N36" s="44">
        <f t="shared" si="11"/>
        <v>105436.40296037585</v>
      </c>
      <c r="O36" s="44">
        <f t="shared" si="11"/>
        <v>99672.303087771346</v>
      </c>
      <c r="P36" s="44">
        <f t="shared" si="11"/>
        <v>93677.639220262674</v>
      </c>
      <c r="Q36" s="44">
        <f t="shared" si="11"/>
        <v>87443.188798053656</v>
      </c>
      <c r="R36" s="44">
        <f t="shared" si="11"/>
        <v>80959.36035895627</v>
      </c>
      <c r="S36" s="44">
        <f t="shared" si="11"/>
        <v>74216.178782294985</v>
      </c>
      <c r="T36" s="44">
        <f t="shared" si="11"/>
        <v>67203.269942567262</v>
      </c>
      <c r="U36" s="44">
        <f t="shared" si="11"/>
        <v>59909.844749250413</v>
      </c>
      <c r="V36" s="44">
        <f t="shared" si="11"/>
        <v>52324.682548200901</v>
      </c>
      <c r="W36" s="44">
        <f t="shared" si="11"/>
        <v>44436.113859109406</v>
      </c>
      <c r="X36" s="44">
        <f t="shared" si="11"/>
        <v>36232.002422454243</v>
      </c>
      <c r="Y36" s="44">
        <f t="shared" si="11"/>
        <v>27699.726528332878</v>
      </c>
      <c r="Z36" s="44">
        <f t="shared" si="11"/>
        <v>18826.159598446648</v>
      </c>
      <c r="AA36" s="44">
        <f t="shared" si="11"/>
        <v>9597.6499913649714</v>
      </c>
      <c r="AB36" s="44">
        <f t="shared" si="11"/>
        <v>9.3132257461547854E-12</v>
      </c>
      <c r="AC36" s="44">
        <f t="shared" si="11"/>
        <v>9.3132257461547854E-12</v>
      </c>
      <c r="AD36" s="44">
        <f t="shared" si="11"/>
        <v>9.3132257461547854E-12</v>
      </c>
      <c r="AE36" s="44">
        <f t="shared" si="11"/>
        <v>9.3132257461547854E-12</v>
      </c>
      <c r="AF36" s="44">
        <f t="shared" si="11"/>
        <v>9.3132257461547854E-12</v>
      </c>
      <c r="AG36" s="44">
        <f t="shared" si="11"/>
        <v>9.3132257461547854E-12</v>
      </c>
      <c r="AH36" s="44">
        <f t="shared" si="11"/>
        <v>9.3132257461547854E-12</v>
      </c>
      <c r="AI36" s="44">
        <f t="shared" si="11"/>
        <v>9.3132257461547854E-12</v>
      </c>
      <c r="AJ36" s="44">
        <f t="shared" si="11"/>
        <v>9.3132257461547854E-12</v>
      </c>
      <c r="AK36" s="44">
        <f t="shared" si="11"/>
        <v>9.3132257461547854E-12</v>
      </c>
      <c r="AL36" s="44">
        <f t="shared" si="11"/>
        <v>9.3132257461547854E-12</v>
      </c>
      <c r="AM36" s="44">
        <f t="shared" si="11"/>
        <v>9.3132257461547854E-12</v>
      </c>
      <c r="AN36" s="44">
        <f t="shared" si="11"/>
        <v>9.3132257461547854E-12</v>
      </c>
      <c r="AO36" s="44">
        <f t="shared" si="11"/>
        <v>9.3132257461547854E-12</v>
      </c>
      <c r="AP36" s="44">
        <f t="shared" si="11"/>
        <v>9.3132257461547854E-12</v>
      </c>
      <c r="AQ36" s="44">
        <f t="shared" si="11"/>
        <v>9.3132257461547854E-12</v>
      </c>
    </row>
    <row r="37" spans="1:45" s="19" customFormat="1">
      <c r="A37"/>
      <c r="B37"/>
      <c r="C37"/>
      <c r="D37"/>
      <c r="E37" s="18" t="str">
        <f xml:space="preserve"> LEFT(E36, LEN(E36) - 4)</f>
        <v>Tranche A Interest</v>
      </c>
      <c r="F37"/>
      <c r="G37"/>
      <c r="H37" s="101">
        <f>SUM(J37:AQ37)</f>
        <v>-968613.32953147555</v>
      </c>
      <c r="I37"/>
      <c r="J37" s="44">
        <f t="shared" ref="J37:AO37" si="12">J36 * -1</f>
        <v>0</v>
      </c>
      <c r="K37" s="44">
        <f t="shared" si="12"/>
        <v>0</v>
      </c>
      <c r="L37" s="44">
        <f t="shared" si="12"/>
        <v>0</v>
      </c>
      <c r="M37" s="44">
        <f t="shared" si="12"/>
        <v>-110978.806684034</v>
      </c>
      <c r="N37" s="44">
        <f t="shared" si="12"/>
        <v>-105436.40296037585</v>
      </c>
      <c r="O37" s="44">
        <f t="shared" si="12"/>
        <v>-99672.303087771346</v>
      </c>
      <c r="P37" s="44">
        <f t="shared" si="12"/>
        <v>-93677.639220262674</v>
      </c>
      <c r="Q37" s="44">
        <f t="shared" si="12"/>
        <v>-87443.188798053656</v>
      </c>
      <c r="R37" s="44">
        <f t="shared" si="12"/>
        <v>-80959.36035895627</v>
      </c>
      <c r="S37" s="44">
        <f t="shared" si="12"/>
        <v>-74216.178782294985</v>
      </c>
      <c r="T37" s="44">
        <f t="shared" si="12"/>
        <v>-67203.269942567262</v>
      </c>
      <c r="U37" s="44">
        <f t="shared" si="12"/>
        <v>-59909.844749250413</v>
      </c>
      <c r="V37" s="44">
        <f t="shared" si="12"/>
        <v>-52324.682548200901</v>
      </c>
      <c r="W37" s="44">
        <f t="shared" si="12"/>
        <v>-44436.113859109406</v>
      </c>
      <c r="X37" s="44">
        <f t="shared" si="12"/>
        <v>-36232.002422454243</v>
      </c>
      <c r="Y37" s="44">
        <f t="shared" si="12"/>
        <v>-27699.726528332878</v>
      </c>
      <c r="Z37" s="44">
        <f t="shared" si="12"/>
        <v>-18826.159598446648</v>
      </c>
      <c r="AA37" s="44">
        <f t="shared" si="12"/>
        <v>-9597.6499913649714</v>
      </c>
      <c r="AB37" s="44">
        <f t="shared" si="12"/>
        <v>-9.3132257461547854E-12</v>
      </c>
      <c r="AC37" s="44">
        <f t="shared" si="12"/>
        <v>-9.3132257461547854E-12</v>
      </c>
      <c r="AD37" s="44">
        <f t="shared" si="12"/>
        <v>-9.3132257461547854E-12</v>
      </c>
      <c r="AE37" s="44">
        <f t="shared" si="12"/>
        <v>-9.3132257461547854E-12</v>
      </c>
      <c r="AF37" s="44">
        <f t="shared" si="12"/>
        <v>-9.3132257461547854E-12</v>
      </c>
      <c r="AG37" s="44">
        <f t="shared" si="12"/>
        <v>-9.3132257461547854E-12</v>
      </c>
      <c r="AH37" s="44">
        <f t="shared" si="12"/>
        <v>-9.3132257461547854E-12</v>
      </c>
      <c r="AI37" s="44">
        <f t="shared" si="12"/>
        <v>-9.3132257461547854E-12</v>
      </c>
      <c r="AJ37" s="44">
        <f t="shared" si="12"/>
        <v>-9.3132257461547854E-12</v>
      </c>
      <c r="AK37" s="44">
        <f t="shared" si="12"/>
        <v>-9.3132257461547854E-12</v>
      </c>
      <c r="AL37" s="44">
        <f t="shared" si="12"/>
        <v>-9.3132257461547854E-12</v>
      </c>
      <c r="AM37" s="44">
        <f t="shared" si="12"/>
        <v>-9.3132257461547854E-12</v>
      </c>
      <c r="AN37" s="44">
        <f t="shared" si="12"/>
        <v>-9.3132257461547854E-12</v>
      </c>
      <c r="AO37" s="44">
        <f t="shared" si="12"/>
        <v>-9.3132257461547854E-12</v>
      </c>
      <c r="AP37" s="44">
        <f t="shared" ref="AP37:AQ37" si="13">AP36 * -1</f>
        <v>-9.3132257461547854E-12</v>
      </c>
      <c r="AQ37" s="44">
        <f t="shared" si="13"/>
        <v>-9.3132257461547854E-12</v>
      </c>
    </row>
    <row r="38" spans="1:45" s="19" customFormat="1">
      <c r="A38"/>
      <c r="B38"/>
      <c r="C38"/>
      <c r="D38"/>
      <c r="E38"/>
      <c r="F38"/>
      <c r="G38"/>
      <c r="H38"/>
      <c r="I38"/>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row>
    <row r="39" spans="1:45" s="19" customFormat="1">
      <c r="A39"/>
      <c r="B39"/>
      <c r="C39"/>
      <c r="D39"/>
      <c r="E39" t="str">
        <f>Flags!E13</f>
        <v>Final period of concession</v>
      </c>
      <c r="F39"/>
      <c r="G39"/>
      <c r="H39"/>
      <c r="I39"/>
      <c r="J39" s="44">
        <f>Flags!J13</f>
        <v>0</v>
      </c>
      <c r="K39" s="44">
        <f>Flags!K13</f>
        <v>0</v>
      </c>
      <c r="L39" s="44">
        <f>Flags!L13</f>
        <v>0</v>
      </c>
      <c r="M39" s="44">
        <f>Flags!M13</f>
        <v>0</v>
      </c>
      <c r="N39" s="44">
        <f>Flags!N13</f>
        <v>0</v>
      </c>
      <c r="O39" s="44">
        <f>Flags!O13</f>
        <v>0</v>
      </c>
      <c r="P39" s="44">
        <f>Flags!P13</f>
        <v>0</v>
      </c>
      <c r="Q39" s="44">
        <f>Flags!Q13</f>
        <v>0</v>
      </c>
      <c r="R39" s="44">
        <f>Flags!R13</f>
        <v>0</v>
      </c>
      <c r="S39" s="44">
        <f>Flags!S13</f>
        <v>0</v>
      </c>
      <c r="T39" s="44">
        <f>Flags!T13</f>
        <v>0</v>
      </c>
      <c r="U39" s="44">
        <f>Flags!U13</f>
        <v>0</v>
      </c>
      <c r="V39" s="44">
        <f>Flags!V13</f>
        <v>0</v>
      </c>
      <c r="W39" s="44">
        <f>Flags!W13</f>
        <v>0</v>
      </c>
      <c r="X39" s="44">
        <f>Flags!X13</f>
        <v>0</v>
      </c>
      <c r="Y39" s="44">
        <f>Flags!Y13</f>
        <v>0</v>
      </c>
      <c r="Z39" s="44">
        <f>Flags!Z13</f>
        <v>0</v>
      </c>
      <c r="AA39" s="44">
        <f>Flags!AA13</f>
        <v>0</v>
      </c>
      <c r="AB39" s="44">
        <f>Flags!AB13</f>
        <v>0</v>
      </c>
      <c r="AC39" s="44">
        <f>Flags!AC13</f>
        <v>0</v>
      </c>
      <c r="AD39" s="44">
        <f>Flags!AD13</f>
        <v>0</v>
      </c>
      <c r="AE39" s="44">
        <f>Flags!AE13</f>
        <v>0</v>
      </c>
      <c r="AF39" s="44">
        <f>Flags!AF13</f>
        <v>0</v>
      </c>
      <c r="AG39" s="44">
        <f>Flags!AG13</f>
        <v>0</v>
      </c>
      <c r="AH39" s="44">
        <f>Flags!AH13</f>
        <v>1</v>
      </c>
      <c r="AI39" s="44">
        <f>Flags!AI13</f>
        <v>0</v>
      </c>
      <c r="AJ39" s="44">
        <f>Flags!AJ13</f>
        <v>0</v>
      </c>
      <c r="AK39" s="44">
        <f>Flags!AK13</f>
        <v>0</v>
      </c>
      <c r="AL39" s="44">
        <f>Flags!AL13</f>
        <v>0</v>
      </c>
      <c r="AM39" s="44">
        <f>Flags!AM13</f>
        <v>0</v>
      </c>
      <c r="AN39" s="44">
        <f>Flags!AN13</f>
        <v>0</v>
      </c>
      <c r="AO39" s="44">
        <f>Flags!AO13</f>
        <v>0</v>
      </c>
      <c r="AP39" s="44">
        <f>Flags!AP13</f>
        <v>0</v>
      </c>
      <c r="AQ39" s="44">
        <f>Flags!AQ13</f>
        <v>0</v>
      </c>
    </row>
    <row r="40" spans="1:45" s="19" customFormat="1">
      <c r="A40"/>
      <c r="B40"/>
      <c r="C40"/>
      <c r="D40"/>
      <c r="E40" t="s">
        <v>193</v>
      </c>
      <c r="F40"/>
      <c r="G40"/>
      <c r="H40" s="101">
        <f>SUM(J40:AQ40)</f>
        <v>2.3283064365386963E-10</v>
      </c>
      <c r="I40"/>
      <c r="J40" s="44">
        <f>J34 * J39</f>
        <v>0</v>
      </c>
      <c r="K40" s="44">
        <f t="shared" ref="K40:AP40" si="14">K34 * K39</f>
        <v>0</v>
      </c>
      <c r="L40" s="44">
        <f t="shared" si="14"/>
        <v>0</v>
      </c>
      <c r="M40" s="44">
        <f t="shared" si="14"/>
        <v>0</v>
      </c>
      <c r="N40" s="44">
        <f t="shared" si="14"/>
        <v>0</v>
      </c>
      <c r="O40" s="44">
        <f t="shared" si="14"/>
        <v>0</v>
      </c>
      <c r="P40" s="44">
        <f t="shared" si="14"/>
        <v>0</v>
      </c>
      <c r="Q40" s="44">
        <f t="shared" si="14"/>
        <v>0</v>
      </c>
      <c r="R40" s="44">
        <f t="shared" si="14"/>
        <v>0</v>
      </c>
      <c r="S40" s="44">
        <f t="shared" si="14"/>
        <v>0</v>
      </c>
      <c r="T40" s="44">
        <f t="shared" si="14"/>
        <v>0</v>
      </c>
      <c r="U40" s="44">
        <f t="shared" si="14"/>
        <v>0</v>
      </c>
      <c r="V40" s="44">
        <f t="shared" si="14"/>
        <v>0</v>
      </c>
      <c r="W40" s="44">
        <f t="shared" si="14"/>
        <v>0</v>
      </c>
      <c r="X40" s="44">
        <f t="shared" si="14"/>
        <v>0</v>
      </c>
      <c r="Y40" s="44">
        <f t="shared" si="14"/>
        <v>0</v>
      </c>
      <c r="Z40" s="44">
        <f t="shared" si="14"/>
        <v>0</v>
      </c>
      <c r="AA40" s="44">
        <f t="shared" si="14"/>
        <v>0</v>
      </c>
      <c r="AB40" s="44">
        <f t="shared" si="14"/>
        <v>0</v>
      </c>
      <c r="AC40" s="44">
        <f t="shared" si="14"/>
        <v>0</v>
      </c>
      <c r="AD40" s="44">
        <f t="shared" si="14"/>
        <v>0</v>
      </c>
      <c r="AE40" s="44">
        <f t="shared" si="14"/>
        <v>0</v>
      </c>
      <c r="AF40" s="44">
        <f t="shared" si="14"/>
        <v>0</v>
      </c>
      <c r="AG40" s="44">
        <f t="shared" si="14"/>
        <v>0</v>
      </c>
      <c r="AH40" s="44">
        <f t="shared" si="14"/>
        <v>2.3283064365386963E-10</v>
      </c>
      <c r="AI40" s="44">
        <f t="shared" si="14"/>
        <v>0</v>
      </c>
      <c r="AJ40" s="44">
        <f t="shared" si="14"/>
        <v>0</v>
      </c>
      <c r="AK40" s="44">
        <f t="shared" si="14"/>
        <v>0</v>
      </c>
      <c r="AL40" s="44">
        <f t="shared" si="14"/>
        <v>0</v>
      </c>
      <c r="AM40" s="44">
        <f t="shared" si="14"/>
        <v>0</v>
      </c>
      <c r="AN40" s="44">
        <f t="shared" si="14"/>
        <v>0</v>
      </c>
      <c r="AO40" s="44">
        <f t="shared" si="14"/>
        <v>0</v>
      </c>
      <c r="AP40" s="44">
        <f t="shared" si="14"/>
        <v>0</v>
      </c>
      <c r="AQ40" s="44">
        <f t="shared" ref="AQ40" si="15">AQ34 * AQ39</f>
        <v>0</v>
      </c>
      <c r="AR40" s="44"/>
      <c r="AS40" s="44"/>
    </row>
    <row r="41" spans="1:45">
      <c r="E41" s="18"/>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row>
    <row r="42" spans="1:45">
      <c r="C42" s="11" t="s">
        <v>176</v>
      </c>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row>
    <row r="43" spans="1:45">
      <c r="E43" t="s">
        <v>179</v>
      </c>
      <c r="F43" s="44">
        <f>H18</f>
        <v>693617.54177521251</v>
      </c>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row>
    <row r="44" spans="1:45">
      <c r="E44" t="str">
        <f>'Input Constants'!E42</f>
        <v>Tranche B Term Length</v>
      </c>
      <c r="F44" s="44">
        <f>'Input Constants'!F42</f>
        <v>10</v>
      </c>
      <c r="G44" t="str">
        <f>'Input Constants'!G42</f>
        <v>years</v>
      </c>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row>
    <row r="45" spans="1:45">
      <c r="E45" t="str">
        <f>'Input Constants'!E43</f>
        <v>Tranche B Interest Rate</v>
      </c>
      <c r="F45" s="21">
        <f>'Input Constants'!F43</f>
        <v>0.06</v>
      </c>
      <c r="G45" t="str">
        <f>'Input Constants'!G43</f>
        <v>p.a.</v>
      </c>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row>
    <row r="46" spans="1:45">
      <c r="E46" t="s">
        <v>180</v>
      </c>
      <c r="F46" s="44"/>
      <c r="J46" s="44">
        <f>IF(J49=1, PPMT($F45,1,J50,SUM(J52:J53)), 0) * IF($F$11='Input Constants'!$E$54, 1, 0)</f>
        <v>0</v>
      </c>
      <c r="K46" s="44">
        <f>IF(K49=1, PPMT($F45,1,K50,SUM(K52:K53)), 0) * IF($F$11='Input Constants'!$E$54, 1, 0)</f>
        <v>0</v>
      </c>
      <c r="L46" s="44">
        <f>IF(L49=1, PPMT($F45,1,L50,SUM(L52:L53)), 0) * IF($F$11='Input Constants'!$E$54, 1, 0)</f>
        <v>0</v>
      </c>
      <c r="M46" s="44">
        <f>IF(M49=1, PPMT($F45,1,M50,SUM(M52:M53)), 0) * IF($F$11='Input Constants'!$E$54, 1, 0)</f>
        <v>-52623.346680327079</v>
      </c>
      <c r="N46" s="44">
        <f>IF(N49=1, PPMT($F45,1,N50,SUM(N52:N53)), 0) * IF($F$11='Input Constants'!$E$54, 1, 0)</f>
        <v>-55780.747481146718</v>
      </c>
      <c r="O46" s="44">
        <f>IF(O49=1, PPMT($F45,1,O50,SUM(O52:O53)), 0) * IF($F$11='Input Constants'!$E$54, 1, 0)</f>
        <v>-59127.592330015512</v>
      </c>
      <c r="P46" s="44">
        <f>IF(P49=1, PPMT($F45,1,P50,SUM(P52:P53)), 0) * IF($F$11='Input Constants'!$E$54, 1, 0)</f>
        <v>-62675.247869816434</v>
      </c>
      <c r="Q46" s="44">
        <f>IF(Q49=1, PPMT($F45,1,Q50,SUM(Q52:Q53)), 0) * IF($F$11='Input Constants'!$E$54, 1, 0)</f>
        <v>-66435.762742005478</v>
      </c>
      <c r="R46" s="44">
        <f>IF(R49=1, PPMT($F45,1,R50,SUM(R52:R53)), 0) * IF($F$11='Input Constants'!$E$54, 1, 0)</f>
        <v>-70421.908506525797</v>
      </c>
      <c r="S46" s="44">
        <f>IF(S49=1, PPMT($F45,1,S50,SUM(S52:S53)), 0) * IF($F$11='Input Constants'!$E$54, 1, 0)</f>
        <v>-74647.223016917385</v>
      </c>
      <c r="T46" s="44">
        <f>IF(T49=1, PPMT($F45,1,T50,SUM(T52:T53)), 0) * IF($F$11='Input Constants'!$E$54, 1, 0)</f>
        <v>-79126.056397932465</v>
      </c>
      <c r="U46" s="44">
        <f>IF(U49=1, PPMT($F45,1,U50,SUM(U52:U53)), 0) * IF($F$11='Input Constants'!$E$54, 1, 0)</f>
        <v>-83873.619781808462</v>
      </c>
      <c r="V46" s="44">
        <f>IF(V49=1, PPMT($F45,1,V50,SUM(V52:V53)), 0) * IF($F$11='Input Constants'!$E$54, 1, 0)</f>
        <v>-88906.036968717119</v>
      </c>
      <c r="W46" s="44">
        <f>IF(W49=1, PPMT($F45,1,W50,SUM(W52:W53)), 0) * IF($F$11='Input Constants'!$E$54, 1, 0)</f>
        <v>0</v>
      </c>
      <c r="X46" s="44">
        <f>IF(X49=1, PPMT($F45,1,X50,SUM(X52:X53)), 0) * IF($F$11='Input Constants'!$E$54, 1, 0)</f>
        <v>0</v>
      </c>
      <c r="Y46" s="44">
        <f>IF(Y49=1, PPMT($F45,1,Y50,SUM(Y52:Y53)), 0) * IF($F$11='Input Constants'!$E$54, 1, 0)</f>
        <v>0</v>
      </c>
      <c r="Z46" s="44">
        <f>IF(Z49=1, PPMT($F45,1,Z50,SUM(Z52:Z53)), 0) * IF($F$11='Input Constants'!$E$54, 1, 0)</f>
        <v>0</v>
      </c>
      <c r="AA46" s="44">
        <f>IF(AA49=1, PPMT($F45,1,AA50,SUM(AA52:AA53)), 0) * IF($F$11='Input Constants'!$E$54, 1, 0)</f>
        <v>0</v>
      </c>
      <c r="AB46" s="44">
        <f>IF(AB49=1, PPMT($F45,1,AB50,SUM(AB52:AB53)), 0) * IF($F$11='Input Constants'!$E$54, 1, 0)</f>
        <v>0</v>
      </c>
      <c r="AC46" s="44">
        <f>IF(AC49=1, PPMT($F45,1,AC50,SUM(AC52:AC53)), 0) * IF($F$11='Input Constants'!$E$54, 1, 0)</f>
        <v>0</v>
      </c>
      <c r="AD46" s="44">
        <f>IF(AD49=1, PPMT($F45,1,AD50,SUM(AD52:AD53)), 0) * IF($F$11='Input Constants'!$E$54, 1, 0)</f>
        <v>0</v>
      </c>
      <c r="AE46" s="44">
        <f>IF(AE49=1, PPMT($F45,1,AE50,SUM(AE52:AE53)), 0) * IF($F$11='Input Constants'!$E$54, 1, 0)</f>
        <v>0</v>
      </c>
      <c r="AF46" s="44">
        <f>IF(AF49=1, PPMT($F45,1,AF50,SUM(AF52:AF53)), 0) * IF($F$11='Input Constants'!$E$54, 1, 0)</f>
        <v>0</v>
      </c>
      <c r="AG46" s="44">
        <f>IF(AG49=1, PPMT($F45,1,AG50,SUM(AG52:AG53)), 0) * IF($F$11='Input Constants'!$E$54, 1, 0)</f>
        <v>0</v>
      </c>
      <c r="AH46" s="44">
        <f>IF(AH49=1, PPMT($F45,1,AH50,SUM(AH52:AH53)), 0) * IF($F$11='Input Constants'!$E$54, 1, 0)</f>
        <v>0</v>
      </c>
      <c r="AI46" s="44">
        <f>IF(AI49=1, PPMT($F45,1,AI50,SUM(AI52:AI53)), 0) * IF($F$11='Input Constants'!$E$54, 1, 0)</f>
        <v>0</v>
      </c>
      <c r="AJ46" s="44">
        <f>IF(AJ49=1, PPMT($F45,1,AJ50,SUM(AJ52:AJ53)), 0) * IF($F$11='Input Constants'!$E$54, 1, 0)</f>
        <v>0</v>
      </c>
      <c r="AK46" s="44">
        <f>IF(AK49=1, PPMT($F45,1,AK50,SUM(AK52:AK53)), 0) * IF($F$11='Input Constants'!$E$54, 1, 0)</f>
        <v>0</v>
      </c>
      <c r="AL46" s="44">
        <f>IF(AL49=1, PPMT($F45,1,AL50,SUM(AL52:AL53)), 0) * IF($F$11='Input Constants'!$E$54, 1, 0)</f>
        <v>0</v>
      </c>
      <c r="AM46" s="44">
        <f>IF(AM49=1, PPMT($F45,1,AM50,SUM(AM52:AM53)), 0) * IF($F$11='Input Constants'!$E$54, 1, 0)</f>
        <v>0</v>
      </c>
      <c r="AN46" s="44">
        <f>IF(AN49=1, PPMT($F45,1,AN50,SUM(AN52:AN53)), 0) * IF($F$11='Input Constants'!$E$54, 1, 0)</f>
        <v>0</v>
      </c>
      <c r="AO46" s="44">
        <f>IF(AO49=1, PPMT($F45,1,AO50,SUM(AO52:AO53)), 0) * IF($F$11='Input Constants'!$E$54, 1, 0)</f>
        <v>0</v>
      </c>
      <c r="AP46" s="44">
        <f>IF(AP49=1, PPMT($F45,1,AP50,SUM(AP52:AP53)), 0) * IF($F$11='Input Constants'!$E$54, 1, 0)</f>
        <v>0</v>
      </c>
      <c r="AQ46" s="44">
        <f>IF(AQ49=1, PPMT($F45,1,AQ50,SUM(AQ52:AQ53)), 0) * IF($F$11='Input Constants'!$E$54, 1, 0)</f>
        <v>0</v>
      </c>
      <c r="AS46" s="44"/>
    </row>
    <row r="47" spans="1:45">
      <c r="E47" t="s">
        <v>200</v>
      </c>
      <c r="F47" s="44">
        <f>(F43/F44) * IF($F$11='Input Constants'!$E$54, 0, 1)</f>
        <v>0</v>
      </c>
      <c r="G47" t="s">
        <v>38</v>
      </c>
      <c r="J47" s="44">
        <f>IF(J49=1,$F47, 0) * -1</f>
        <v>0</v>
      </c>
      <c r="K47" s="44">
        <f t="shared" ref="K47:AQ47" si="16">IF(K49=1,$F47, 0) * -1</f>
        <v>0</v>
      </c>
      <c r="L47" s="44">
        <f t="shared" si="16"/>
        <v>0</v>
      </c>
      <c r="M47" s="44">
        <f t="shared" si="16"/>
        <v>0</v>
      </c>
      <c r="N47" s="44">
        <f t="shared" si="16"/>
        <v>0</v>
      </c>
      <c r="O47" s="44">
        <f t="shared" si="16"/>
        <v>0</v>
      </c>
      <c r="P47" s="44">
        <f t="shared" si="16"/>
        <v>0</v>
      </c>
      <c r="Q47" s="44">
        <f t="shared" si="16"/>
        <v>0</v>
      </c>
      <c r="R47" s="44">
        <f t="shared" si="16"/>
        <v>0</v>
      </c>
      <c r="S47" s="44">
        <f t="shared" si="16"/>
        <v>0</v>
      </c>
      <c r="T47" s="44">
        <f t="shared" si="16"/>
        <v>0</v>
      </c>
      <c r="U47" s="44">
        <f t="shared" si="16"/>
        <v>0</v>
      </c>
      <c r="V47" s="44">
        <f t="shared" si="16"/>
        <v>0</v>
      </c>
      <c r="W47" s="44">
        <f t="shared" si="16"/>
        <v>0</v>
      </c>
      <c r="X47" s="44">
        <f t="shared" si="16"/>
        <v>0</v>
      </c>
      <c r="Y47" s="44">
        <f t="shared" si="16"/>
        <v>0</v>
      </c>
      <c r="Z47" s="44">
        <f t="shared" si="16"/>
        <v>0</v>
      </c>
      <c r="AA47" s="44">
        <f t="shared" si="16"/>
        <v>0</v>
      </c>
      <c r="AB47" s="44">
        <f t="shared" si="16"/>
        <v>0</v>
      </c>
      <c r="AC47" s="44">
        <f t="shared" si="16"/>
        <v>0</v>
      </c>
      <c r="AD47" s="44">
        <f t="shared" si="16"/>
        <v>0</v>
      </c>
      <c r="AE47" s="44">
        <f t="shared" si="16"/>
        <v>0</v>
      </c>
      <c r="AF47" s="44">
        <f t="shared" si="16"/>
        <v>0</v>
      </c>
      <c r="AG47" s="44">
        <f t="shared" si="16"/>
        <v>0</v>
      </c>
      <c r="AH47" s="44">
        <f t="shared" si="16"/>
        <v>0</v>
      </c>
      <c r="AI47" s="44">
        <f t="shared" si="16"/>
        <v>0</v>
      </c>
      <c r="AJ47" s="44">
        <f t="shared" si="16"/>
        <v>0</v>
      </c>
      <c r="AK47" s="44">
        <f t="shared" si="16"/>
        <v>0</v>
      </c>
      <c r="AL47" s="44">
        <f t="shared" si="16"/>
        <v>0</v>
      </c>
      <c r="AM47" s="44">
        <f t="shared" si="16"/>
        <v>0</v>
      </c>
      <c r="AN47" s="44">
        <f t="shared" si="16"/>
        <v>0</v>
      </c>
      <c r="AO47" s="44">
        <f t="shared" si="16"/>
        <v>0</v>
      </c>
      <c r="AP47" s="44">
        <f t="shared" si="16"/>
        <v>0</v>
      </c>
      <c r="AQ47" s="44">
        <f t="shared" si="16"/>
        <v>0</v>
      </c>
      <c r="AR47" s="44"/>
      <c r="AS47" s="44"/>
    </row>
    <row r="48" spans="1:45" s="19" customFormat="1">
      <c r="A48"/>
      <c r="B48"/>
      <c r="C48"/>
      <c r="D48"/>
      <c r="E48"/>
      <c r="F48"/>
      <c r="G48"/>
      <c r="H48"/>
      <c r="I48"/>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row>
    <row r="49" spans="3:45">
      <c r="E49" t="str">
        <f>Flags!E$24</f>
        <v>Tranche B Repayment Flag</v>
      </c>
      <c r="J49" s="44">
        <f>Flags!J$24</f>
        <v>0</v>
      </c>
      <c r="K49" s="44">
        <f>Flags!K$24</f>
        <v>0</v>
      </c>
      <c r="L49" s="44">
        <f>Flags!L$24</f>
        <v>0</v>
      </c>
      <c r="M49" s="44">
        <f>Flags!M$24</f>
        <v>1</v>
      </c>
      <c r="N49" s="44">
        <f>Flags!N$24</f>
        <v>1</v>
      </c>
      <c r="O49" s="44">
        <f>Flags!O$24</f>
        <v>1</v>
      </c>
      <c r="P49" s="44">
        <f>Flags!P$24</f>
        <v>1</v>
      </c>
      <c r="Q49" s="44">
        <f>Flags!Q$24</f>
        <v>1</v>
      </c>
      <c r="R49" s="44">
        <f>Flags!R$24</f>
        <v>1</v>
      </c>
      <c r="S49" s="44">
        <f>Flags!S$24</f>
        <v>1</v>
      </c>
      <c r="T49" s="44">
        <f>Flags!T$24</f>
        <v>1</v>
      </c>
      <c r="U49" s="44">
        <f>Flags!U$24</f>
        <v>1</v>
      </c>
      <c r="V49" s="44">
        <f>Flags!V$24</f>
        <v>1</v>
      </c>
      <c r="W49" s="44">
        <f>Flags!W$24</f>
        <v>0</v>
      </c>
      <c r="X49" s="44">
        <f>Flags!X$24</f>
        <v>0</v>
      </c>
      <c r="Y49" s="44">
        <f>Flags!Y$24</f>
        <v>0</v>
      </c>
      <c r="Z49" s="44">
        <f>Flags!Z$24</f>
        <v>0</v>
      </c>
      <c r="AA49" s="44">
        <f>Flags!AA$24</f>
        <v>0</v>
      </c>
      <c r="AB49" s="44">
        <f>Flags!AB$24</f>
        <v>0</v>
      </c>
      <c r="AC49" s="44">
        <f>Flags!AC$24</f>
        <v>0</v>
      </c>
      <c r="AD49" s="44">
        <f>Flags!AD$24</f>
        <v>0</v>
      </c>
      <c r="AE49" s="44">
        <f>Flags!AE$24</f>
        <v>0</v>
      </c>
      <c r="AF49" s="44">
        <f>Flags!AF$24</f>
        <v>0</v>
      </c>
      <c r="AG49" s="44">
        <f>Flags!AG$24</f>
        <v>0</v>
      </c>
      <c r="AH49" s="44">
        <f>Flags!AH$24</f>
        <v>0</v>
      </c>
      <c r="AI49" s="44">
        <f>Flags!AI$24</f>
        <v>0</v>
      </c>
      <c r="AJ49" s="44">
        <f>Flags!AJ$24</f>
        <v>0</v>
      </c>
      <c r="AK49" s="44">
        <f>Flags!AK$24</f>
        <v>0</v>
      </c>
      <c r="AL49" s="44">
        <f>Flags!AL$24</f>
        <v>0</v>
      </c>
      <c r="AM49" s="44">
        <f>Flags!AM$24</f>
        <v>0</v>
      </c>
      <c r="AN49" s="44">
        <f>Flags!AN$24</f>
        <v>0</v>
      </c>
      <c r="AO49" s="44">
        <f>Flags!AO$24</f>
        <v>0</v>
      </c>
      <c r="AP49" s="44">
        <f>Flags!AP$24</f>
        <v>0</v>
      </c>
      <c r="AQ49" s="44">
        <f>Flags!AQ$24</f>
        <v>0</v>
      </c>
    </row>
    <row r="50" spans="3:45">
      <c r="C50" s="11"/>
      <c r="E50" t="s">
        <v>181</v>
      </c>
      <c r="J50" s="44">
        <f>SUM(J49:$AQ49)</f>
        <v>10</v>
      </c>
      <c r="K50" s="44">
        <f>SUM(K49:$AQ49)</f>
        <v>10</v>
      </c>
      <c r="L50" s="44">
        <f>SUM(L49:$AQ49)</f>
        <v>10</v>
      </c>
      <c r="M50" s="44">
        <f>SUM(M49:$AQ49)</f>
        <v>10</v>
      </c>
      <c r="N50" s="44">
        <f>SUM(N49:$AQ49)</f>
        <v>9</v>
      </c>
      <c r="O50" s="44">
        <f>SUM(O49:$AQ49)</f>
        <v>8</v>
      </c>
      <c r="P50" s="44">
        <f>SUM(P49:$AQ49)</f>
        <v>7</v>
      </c>
      <c r="Q50" s="44">
        <f>SUM(Q49:$AQ49)</f>
        <v>6</v>
      </c>
      <c r="R50" s="44">
        <f>SUM(R49:$AQ49)</f>
        <v>5</v>
      </c>
      <c r="S50" s="44">
        <f>SUM(S49:$AQ49)</f>
        <v>4</v>
      </c>
      <c r="T50" s="44">
        <f>SUM(T49:$AQ49)</f>
        <v>3</v>
      </c>
      <c r="U50" s="44">
        <f>SUM(U49:$AQ49)</f>
        <v>2</v>
      </c>
      <c r="V50" s="44">
        <f>SUM(V49:$AQ49)</f>
        <v>1</v>
      </c>
      <c r="W50" s="44">
        <f>SUM(W49:$AQ49)</f>
        <v>0</v>
      </c>
      <c r="X50" s="44">
        <f>SUM(X49:$AQ49)</f>
        <v>0</v>
      </c>
      <c r="Y50" s="44">
        <f>SUM(Y49:$AQ49)</f>
        <v>0</v>
      </c>
      <c r="Z50" s="44">
        <f>SUM(Z49:$AQ49)</f>
        <v>0</v>
      </c>
      <c r="AA50" s="44">
        <f>SUM(AA49:$AQ49)</f>
        <v>0</v>
      </c>
      <c r="AB50" s="44">
        <f>SUM(AB49:$AQ49)</f>
        <v>0</v>
      </c>
      <c r="AC50" s="44">
        <f>SUM(AC49:$AQ49)</f>
        <v>0</v>
      </c>
      <c r="AD50" s="44">
        <f>SUM(AD49:$AQ49)</f>
        <v>0</v>
      </c>
      <c r="AE50" s="44">
        <f>SUM(AE49:$AQ49)</f>
        <v>0</v>
      </c>
      <c r="AF50" s="44">
        <f>SUM(AF49:$AQ49)</f>
        <v>0</v>
      </c>
      <c r="AG50" s="44">
        <f>SUM(AG49:$AQ49)</f>
        <v>0</v>
      </c>
      <c r="AH50" s="44">
        <f>SUM(AH49:$AQ49)</f>
        <v>0</v>
      </c>
      <c r="AI50" s="44">
        <f>SUM(AI49:$AQ49)</f>
        <v>0</v>
      </c>
      <c r="AJ50" s="44">
        <f>SUM(AJ49:$AQ49)</f>
        <v>0</v>
      </c>
      <c r="AK50" s="44">
        <f>SUM(AK49:$AQ49)</f>
        <v>0</v>
      </c>
      <c r="AL50" s="44">
        <f>SUM(AL49:$AQ49)</f>
        <v>0</v>
      </c>
      <c r="AM50" s="44">
        <f>SUM(AM49:$AQ49)</f>
        <v>0</v>
      </c>
      <c r="AN50" s="44">
        <f>SUM(AN49:$AQ49)</f>
        <v>0</v>
      </c>
      <c r="AO50" s="44">
        <f>SUM(AO49:$AQ49)</f>
        <v>0</v>
      </c>
      <c r="AP50" s="44">
        <f>SUM(AP49:$AQ49)</f>
        <v>0</v>
      </c>
      <c r="AQ50" s="44">
        <f>SUM(AQ49:$AQ49)</f>
        <v>0</v>
      </c>
      <c r="AR50" s="44"/>
      <c r="AS50" s="44"/>
    </row>
    <row r="51" spans="3:45">
      <c r="C51" s="11"/>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row>
    <row r="52" spans="3:45">
      <c r="E52" s="6" t="s">
        <v>182</v>
      </c>
      <c r="J52" s="44">
        <f t="shared" ref="J52:AO52" si="17">I55</f>
        <v>0</v>
      </c>
      <c r="K52" s="44">
        <f t="shared" si="17"/>
        <v>0</v>
      </c>
      <c r="L52" s="44">
        <f t="shared" si="17"/>
        <v>0</v>
      </c>
      <c r="M52" s="44">
        <f t="shared" si="17"/>
        <v>0</v>
      </c>
      <c r="N52" s="44">
        <f t="shared" si="17"/>
        <v>640994.19509488542</v>
      </c>
      <c r="O52" s="44">
        <f t="shared" si="17"/>
        <v>585213.44761373871</v>
      </c>
      <c r="P52" s="44">
        <f t="shared" si="17"/>
        <v>526085.85528372321</v>
      </c>
      <c r="Q52" s="44">
        <f t="shared" si="17"/>
        <v>463410.60741390678</v>
      </c>
      <c r="R52" s="44">
        <f t="shared" si="17"/>
        <v>396974.84467190132</v>
      </c>
      <c r="S52" s="44">
        <f t="shared" si="17"/>
        <v>326552.93616537552</v>
      </c>
      <c r="T52" s="44">
        <f t="shared" si="17"/>
        <v>251905.71314845813</v>
      </c>
      <c r="U52" s="44">
        <f t="shared" si="17"/>
        <v>172779.65675052567</v>
      </c>
      <c r="V52" s="44">
        <f t="shared" si="17"/>
        <v>88906.036968717206</v>
      </c>
      <c r="W52" s="44">
        <f t="shared" si="17"/>
        <v>0</v>
      </c>
      <c r="X52" s="44">
        <f t="shared" si="17"/>
        <v>0</v>
      </c>
      <c r="Y52" s="44">
        <f t="shared" si="17"/>
        <v>0</v>
      </c>
      <c r="Z52" s="44">
        <f t="shared" si="17"/>
        <v>0</v>
      </c>
      <c r="AA52" s="44">
        <f t="shared" si="17"/>
        <v>0</v>
      </c>
      <c r="AB52" s="44">
        <f t="shared" si="17"/>
        <v>0</v>
      </c>
      <c r="AC52" s="44">
        <f t="shared" si="17"/>
        <v>0</v>
      </c>
      <c r="AD52" s="44">
        <f t="shared" si="17"/>
        <v>0</v>
      </c>
      <c r="AE52" s="44">
        <f t="shared" si="17"/>
        <v>0</v>
      </c>
      <c r="AF52" s="44">
        <f t="shared" si="17"/>
        <v>0</v>
      </c>
      <c r="AG52" s="44">
        <f t="shared" si="17"/>
        <v>0</v>
      </c>
      <c r="AH52" s="44">
        <f t="shared" si="17"/>
        <v>0</v>
      </c>
      <c r="AI52" s="44">
        <f t="shared" si="17"/>
        <v>0</v>
      </c>
      <c r="AJ52" s="44">
        <f t="shared" si="17"/>
        <v>0</v>
      </c>
      <c r="AK52" s="44">
        <f t="shared" si="17"/>
        <v>0</v>
      </c>
      <c r="AL52" s="44">
        <f t="shared" si="17"/>
        <v>0</v>
      </c>
      <c r="AM52" s="44">
        <f t="shared" si="17"/>
        <v>0</v>
      </c>
      <c r="AN52" s="44">
        <f t="shared" si="17"/>
        <v>0</v>
      </c>
      <c r="AO52" s="44">
        <f t="shared" si="17"/>
        <v>0</v>
      </c>
      <c r="AP52" s="44">
        <f t="shared" ref="AP52:AQ52" si="18">AO55</f>
        <v>0</v>
      </c>
      <c r="AQ52" s="44">
        <f t="shared" si="18"/>
        <v>0</v>
      </c>
    </row>
    <row r="53" spans="3:45">
      <c r="E53" s="6" t="str">
        <f>E$18</f>
        <v>Tranche B Drawdown</v>
      </c>
      <c r="F53" s="17"/>
      <c r="G53" s="6"/>
      <c r="H53" s="101">
        <f>SUM(J53:AQ53)</f>
        <v>693617.54177521251</v>
      </c>
      <c r="J53" s="45">
        <f t="shared" ref="J53:AQ53" si="19">J$18</f>
        <v>0</v>
      </c>
      <c r="K53" s="45">
        <f t="shared" si="19"/>
        <v>0</v>
      </c>
      <c r="L53" s="45">
        <f t="shared" si="19"/>
        <v>0</v>
      </c>
      <c r="M53" s="45">
        <f t="shared" si="19"/>
        <v>693617.54177521251</v>
      </c>
      <c r="N53" s="45">
        <f t="shared" si="19"/>
        <v>0</v>
      </c>
      <c r="O53" s="45">
        <f t="shared" si="19"/>
        <v>0</v>
      </c>
      <c r="P53" s="45">
        <f t="shared" si="19"/>
        <v>0</v>
      </c>
      <c r="Q53" s="45">
        <f t="shared" si="19"/>
        <v>0</v>
      </c>
      <c r="R53" s="45">
        <f t="shared" si="19"/>
        <v>0</v>
      </c>
      <c r="S53" s="45">
        <f t="shared" si="19"/>
        <v>0</v>
      </c>
      <c r="T53" s="45">
        <f t="shared" si="19"/>
        <v>0</v>
      </c>
      <c r="U53" s="45">
        <f t="shared" si="19"/>
        <v>0</v>
      </c>
      <c r="V53" s="45">
        <f t="shared" si="19"/>
        <v>0</v>
      </c>
      <c r="W53" s="45">
        <f t="shared" si="19"/>
        <v>0</v>
      </c>
      <c r="X53" s="45">
        <f t="shared" si="19"/>
        <v>0</v>
      </c>
      <c r="Y53" s="45">
        <f t="shared" si="19"/>
        <v>0</v>
      </c>
      <c r="Z53" s="45">
        <f t="shared" si="19"/>
        <v>0</v>
      </c>
      <c r="AA53" s="45">
        <f t="shared" si="19"/>
        <v>0</v>
      </c>
      <c r="AB53" s="45">
        <f t="shared" si="19"/>
        <v>0</v>
      </c>
      <c r="AC53" s="45">
        <f t="shared" si="19"/>
        <v>0</v>
      </c>
      <c r="AD53" s="45">
        <f t="shared" si="19"/>
        <v>0</v>
      </c>
      <c r="AE53" s="45">
        <f t="shared" si="19"/>
        <v>0</v>
      </c>
      <c r="AF53" s="45">
        <f t="shared" si="19"/>
        <v>0</v>
      </c>
      <c r="AG53" s="45">
        <f t="shared" si="19"/>
        <v>0</v>
      </c>
      <c r="AH53" s="45">
        <f t="shared" si="19"/>
        <v>0</v>
      </c>
      <c r="AI53" s="45">
        <f t="shared" si="19"/>
        <v>0</v>
      </c>
      <c r="AJ53" s="45">
        <f t="shared" si="19"/>
        <v>0</v>
      </c>
      <c r="AK53" s="45">
        <f t="shared" si="19"/>
        <v>0</v>
      </c>
      <c r="AL53" s="45">
        <f t="shared" si="19"/>
        <v>0</v>
      </c>
      <c r="AM53" s="45">
        <f t="shared" si="19"/>
        <v>0</v>
      </c>
      <c r="AN53" s="45">
        <f t="shared" si="19"/>
        <v>0</v>
      </c>
      <c r="AO53" s="45">
        <f t="shared" si="19"/>
        <v>0</v>
      </c>
      <c r="AP53" s="45">
        <f t="shared" si="19"/>
        <v>0</v>
      </c>
      <c r="AQ53" s="45">
        <f t="shared" si="19"/>
        <v>0</v>
      </c>
    </row>
    <row r="54" spans="3:45">
      <c r="E54" s="6" t="str">
        <f>"Tranche B Principal - "&amp;$F$11&amp;" Repayment"</f>
        <v>Tranche B Principal - Annuity Repayment</v>
      </c>
      <c r="G54" s="15"/>
      <c r="H54" s="101">
        <f>SUM(J54:AQ54)</f>
        <v>-693617.54177521239</v>
      </c>
      <c r="J54" s="44">
        <f>(J46 + J47) * J49</f>
        <v>0</v>
      </c>
      <c r="K54" s="44">
        <f t="shared" ref="K54:AQ54" si="20">(K46 + K47) * K49</f>
        <v>0</v>
      </c>
      <c r="L54" s="44">
        <f t="shared" si="20"/>
        <v>0</v>
      </c>
      <c r="M54" s="44">
        <f t="shared" si="20"/>
        <v>-52623.346680327079</v>
      </c>
      <c r="N54" s="44">
        <f t="shared" si="20"/>
        <v>-55780.747481146718</v>
      </c>
      <c r="O54" s="44">
        <f t="shared" si="20"/>
        <v>-59127.592330015512</v>
      </c>
      <c r="P54" s="44">
        <f t="shared" si="20"/>
        <v>-62675.247869816434</v>
      </c>
      <c r="Q54" s="44">
        <f t="shared" si="20"/>
        <v>-66435.762742005478</v>
      </c>
      <c r="R54" s="44">
        <f t="shared" si="20"/>
        <v>-70421.908506525797</v>
      </c>
      <c r="S54" s="44">
        <f t="shared" si="20"/>
        <v>-74647.223016917385</v>
      </c>
      <c r="T54" s="44">
        <f t="shared" si="20"/>
        <v>-79126.056397932465</v>
      </c>
      <c r="U54" s="44">
        <f t="shared" si="20"/>
        <v>-83873.619781808462</v>
      </c>
      <c r="V54" s="44">
        <f t="shared" si="20"/>
        <v>-88906.036968717119</v>
      </c>
      <c r="W54" s="44">
        <f t="shared" si="20"/>
        <v>0</v>
      </c>
      <c r="X54" s="44">
        <f t="shared" si="20"/>
        <v>0</v>
      </c>
      <c r="Y54" s="44">
        <f t="shared" si="20"/>
        <v>0</v>
      </c>
      <c r="Z54" s="44">
        <f t="shared" si="20"/>
        <v>0</v>
      </c>
      <c r="AA54" s="44">
        <f t="shared" si="20"/>
        <v>0</v>
      </c>
      <c r="AB54" s="44">
        <f t="shared" si="20"/>
        <v>0</v>
      </c>
      <c r="AC54" s="44">
        <f t="shared" si="20"/>
        <v>0</v>
      </c>
      <c r="AD54" s="44">
        <f t="shared" si="20"/>
        <v>0</v>
      </c>
      <c r="AE54" s="44">
        <f t="shared" si="20"/>
        <v>0</v>
      </c>
      <c r="AF54" s="44">
        <f t="shared" si="20"/>
        <v>0</v>
      </c>
      <c r="AG54" s="44">
        <f t="shared" si="20"/>
        <v>0</v>
      </c>
      <c r="AH54" s="44">
        <f t="shared" si="20"/>
        <v>0</v>
      </c>
      <c r="AI54" s="44">
        <f t="shared" si="20"/>
        <v>0</v>
      </c>
      <c r="AJ54" s="44">
        <f t="shared" si="20"/>
        <v>0</v>
      </c>
      <c r="AK54" s="44">
        <f t="shared" si="20"/>
        <v>0</v>
      </c>
      <c r="AL54" s="44">
        <f t="shared" si="20"/>
        <v>0</v>
      </c>
      <c r="AM54" s="44">
        <f t="shared" si="20"/>
        <v>0</v>
      </c>
      <c r="AN54" s="44">
        <f t="shared" si="20"/>
        <v>0</v>
      </c>
      <c r="AO54" s="44">
        <f t="shared" si="20"/>
        <v>0</v>
      </c>
      <c r="AP54" s="44">
        <f t="shared" si="20"/>
        <v>0</v>
      </c>
      <c r="AQ54" s="44">
        <f t="shared" si="20"/>
        <v>0</v>
      </c>
    </row>
    <row r="55" spans="3:45">
      <c r="E55" s="6" t="s">
        <v>183</v>
      </c>
      <c r="H55" s="6"/>
      <c r="J55" s="111">
        <f t="shared" ref="J55:AO55" si="21">SUM(J52:J54)</f>
        <v>0</v>
      </c>
      <c r="K55" s="111">
        <f t="shared" si="21"/>
        <v>0</v>
      </c>
      <c r="L55" s="111">
        <f t="shared" si="21"/>
        <v>0</v>
      </c>
      <c r="M55" s="111">
        <f t="shared" si="21"/>
        <v>640994.19509488542</v>
      </c>
      <c r="N55" s="111">
        <f t="shared" si="21"/>
        <v>585213.44761373871</v>
      </c>
      <c r="O55" s="111">
        <f t="shared" si="21"/>
        <v>526085.85528372321</v>
      </c>
      <c r="P55" s="111">
        <f t="shared" si="21"/>
        <v>463410.60741390678</v>
      </c>
      <c r="Q55" s="111">
        <f t="shared" si="21"/>
        <v>396974.84467190132</v>
      </c>
      <c r="R55" s="111">
        <f t="shared" si="21"/>
        <v>326552.93616537552</v>
      </c>
      <c r="S55" s="111">
        <f t="shared" si="21"/>
        <v>251905.71314845813</v>
      </c>
      <c r="T55" s="111">
        <f t="shared" si="21"/>
        <v>172779.65675052567</v>
      </c>
      <c r="U55" s="111">
        <f t="shared" si="21"/>
        <v>88906.036968717206</v>
      </c>
      <c r="V55" s="111">
        <f t="shared" si="21"/>
        <v>0</v>
      </c>
      <c r="W55" s="111">
        <f t="shared" si="21"/>
        <v>0</v>
      </c>
      <c r="X55" s="111">
        <f t="shared" si="21"/>
        <v>0</v>
      </c>
      <c r="Y55" s="111">
        <f t="shared" si="21"/>
        <v>0</v>
      </c>
      <c r="Z55" s="111">
        <f t="shared" si="21"/>
        <v>0</v>
      </c>
      <c r="AA55" s="111">
        <f t="shared" si="21"/>
        <v>0</v>
      </c>
      <c r="AB55" s="111">
        <f t="shared" si="21"/>
        <v>0</v>
      </c>
      <c r="AC55" s="111">
        <f t="shared" si="21"/>
        <v>0</v>
      </c>
      <c r="AD55" s="111">
        <f t="shared" si="21"/>
        <v>0</v>
      </c>
      <c r="AE55" s="111">
        <f t="shared" si="21"/>
        <v>0</v>
      </c>
      <c r="AF55" s="111">
        <f t="shared" si="21"/>
        <v>0</v>
      </c>
      <c r="AG55" s="111">
        <f t="shared" si="21"/>
        <v>0</v>
      </c>
      <c r="AH55" s="111">
        <f t="shared" si="21"/>
        <v>0</v>
      </c>
      <c r="AI55" s="111">
        <f t="shared" si="21"/>
        <v>0</v>
      </c>
      <c r="AJ55" s="111">
        <f t="shared" si="21"/>
        <v>0</v>
      </c>
      <c r="AK55" s="111">
        <f t="shared" si="21"/>
        <v>0</v>
      </c>
      <c r="AL55" s="111">
        <f t="shared" si="21"/>
        <v>0</v>
      </c>
      <c r="AM55" s="111">
        <f t="shared" si="21"/>
        <v>0</v>
      </c>
      <c r="AN55" s="111">
        <f t="shared" si="21"/>
        <v>0</v>
      </c>
      <c r="AO55" s="111">
        <f t="shared" si="21"/>
        <v>0</v>
      </c>
      <c r="AP55" s="111">
        <f t="shared" ref="AP55:AQ55" si="22">SUM(AP52:AP54)</f>
        <v>0</v>
      </c>
      <c r="AQ55" s="111">
        <f t="shared" si="22"/>
        <v>0</v>
      </c>
    </row>
    <row r="56" spans="3:45">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row>
    <row r="57" spans="3:45">
      <c r="E57" t="s">
        <v>184</v>
      </c>
      <c r="G57" t="s">
        <v>42</v>
      </c>
      <c r="H57" s="101">
        <f>SUM(J57:AQ57)</f>
        <v>248786.45009318666</v>
      </c>
      <c r="J57" s="44">
        <f>SUM(J52:J53) * $F45</f>
        <v>0</v>
      </c>
      <c r="K57" s="44">
        <f t="shared" ref="K57:AQ57" si="23">SUM(K52:K53) * $F45</f>
        <v>0</v>
      </c>
      <c r="L57" s="44">
        <f t="shared" si="23"/>
        <v>0</v>
      </c>
      <c r="M57" s="44">
        <f t="shared" si="23"/>
        <v>41617.052506512751</v>
      </c>
      <c r="N57" s="44">
        <f t="shared" si="23"/>
        <v>38459.651705693126</v>
      </c>
      <c r="O57" s="44">
        <f t="shared" si="23"/>
        <v>35112.806856824318</v>
      </c>
      <c r="P57" s="44">
        <f t="shared" si="23"/>
        <v>31565.151317023392</v>
      </c>
      <c r="Q57" s="44">
        <f t="shared" si="23"/>
        <v>27804.636444834407</v>
      </c>
      <c r="R57" s="44">
        <f t="shared" si="23"/>
        <v>23818.490680314077</v>
      </c>
      <c r="S57" s="44">
        <f t="shared" si="23"/>
        <v>19593.176169922532</v>
      </c>
      <c r="T57" s="44">
        <f t="shared" si="23"/>
        <v>15114.342788907488</v>
      </c>
      <c r="U57" s="44">
        <f t="shared" si="23"/>
        <v>10366.779405031541</v>
      </c>
      <c r="V57" s="44">
        <f t="shared" si="23"/>
        <v>5334.3622181230321</v>
      </c>
      <c r="W57" s="44">
        <f t="shared" si="23"/>
        <v>0</v>
      </c>
      <c r="X57" s="44">
        <f t="shared" si="23"/>
        <v>0</v>
      </c>
      <c r="Y57" s="44">
        <f t="shared" si="23"/>
        <v>0</v>
      </c>
      <c r="Z57" s="44">
        <f t="shared" si="23"/>
        <v>0</v>
      </c>
      <c r="AA57" s="44">
        <f t="shared" si="23"/>
        <v>0</v>
      </c>
      <c r="AB57" s="44">
        <f t="shared" si="23"/>
        <v>0</v>
      </c>
      <c r="AC57" s="44">
        <f t="shared" si="23"/>
        <v>0</v>
      </c>
      <c r="AD57" s="44">
        <f t="shared" si="23"/>
        <v>0</v>
      </c>
      <c r="AE57" s="44">
        <f t="shared" si="23"/>
        <v>0</v>
      </c>
      <c r="AF57" s="44">
        <f t="shared" si="23"/>
        <v>0</v>
      </c>
      <c r="AG57" s="44">
        <f t="shared" si="23"/>
        <v>0</v>
      </c>
      <c r="AH57" s="44">
        <f t="shared" si="23"/>
        <v>0</v>
      </c>
      <c r="AI57" s="44">
        <f t="shared" si="23"/>
        <v>0</v>
      </c>
      <c r="AJ57" s="44">
        <f t="shared" si="23"/>
        <v>0</v>
      </c>
      <c r="AK57" s="44">
        <f t="shared" si="23"/>
        <v>0</v>
      </c>
      <c r="AL57" s="44">
        <f t="shared" si="23"/>
        <v>0</v>
      </c>
      <c r="AM57" s="44">
        <f t="shared" si="23"/>
        <v>0</v>
      </c>
      <c r="AN57" s="44">
        <f t="shared" si="23"/>
        <v>0</v>
      </c>
      <c r="AO57" s="44">
        <f t="shared" si="23"/>
        <v>0</v>
      </c>
      <c r="AP57" s="44">
        <f t="shared" si="23"/>
        <v>0</v>
      </c>
      <c r="AQ57" s="44">
        <f t="shared" si="23"/>
        <v>0</v>
      </c>
    </row>
    <row r="58" spans="3:45">
      <c r="E58" s="18" t="str">
        <f xml:space="preserve"> LEFT(E57, LEN(E57) - 4)</f>
        <v>Tranche B Interest</v>
      </c>
      <c r="G58" s="15"/>
      <c r="H58" s="101">
        <f>SUM(J58:AQ58)</f>
        <v>-248786.45009318666</v>
      </c>
      <c r="J58" s="44">
        <f t="shared" ref="J58:AO58" si="24">J57 * -1</f>
        <v>0</v>
      </c>
      <c r="K58" s="44">
        <f t="shared" si="24"/>
        <v>0</v>
      </c>
      <c r="L58" s="44">
        <f t="shared" si="24"/>
        <v>0</v>
      </c>
      <c r="M58" s="44">
        <f t="shared" si="24"/>
        <v>-41617.052506512751</v>
      </c>
      <c r="N58" s="44">
        <f t="shared" si="24"/>
        <v>-38459.651705693126</v>
      </c>
      <c r="O58" s="44">
        <f t="shared" si="24"/>
        <v>-35112.806856824318</v>
      </c>
      <c r="P58" s="44">
        <f t="shared" si="24"/>
        <v>-31565.151317023392</v>
      </c>
      <c r="Q58" s="44">
        <f t="shared" si="24"/>
        <v>-27804.636444834407</v>
      </c>
      <c r="R58" s="44">
        <f t="shared" si="24"/>
        <v>-23818.490680314077</v>
      </c>
      <c r="S58" s="44">
        <f t="shared" si="24"/>
        <v>-19593.176169922532</v>
      </c>
      <c r="T58" s="44">
        <f t="shared" si="24"/>
        <v>-15114.342788907488</v>
      </c>
      <c r="U58" s="44">
        <f t="shared" si="24"/>
        <v>-10366.779405031541</v>
      </c>
      <c r="V58" s="44">
        <f t="shared" si="24"/>
        <v>-5334.3622181230321</v>
      </c>
      <c r="W58" s="44">
        <f t="shared" si="24"/>
        <v>0</v>
      </c>
      <c r="X58" s="44">
        <f t="shared" si="24"/>
        <v>0</v>
      </c>
      <c r="Y58" s="44">
        <f t="shared" si="24"/>
        <v>0</v>
      </c>
      <c r="Z58" s="44">
        <f t="shared" si="24"/>
        <v>0</v>
      </c>
      <c r="AA58" s="44">
        <f t="shared" si="24"/>
        <v>0</v>
      </c>
      <c r="AB58" s="44">
        <f t="shared" si="24"/>
        <v>0</v>
      </c>
      <c r="AC58" s="44">
        <f t="shared" si="24"/>
        <v>0</v>
      </c>
      <c r="AD58" s="44">
        <f t="shared" si="24"/>
        <v>0</v>
      </c>
      <c r="AE58" s="44">
        <f t="shared" si="24"/>
        <v>0</v>
      </c>
      <c r="AF58" s="44">
        <f t="shared" si="24"/>
        <v>0</v>
      </c>
      <c r="AG58" s="44">
        <f t="shared" si="24"/>
        <v>0</v>
      </c>
      <c r="AH58" s="44">
        <f t="shared" si="24"/>
        <v>0</v>
      </c>
      <c r="AI58" s="44">
        <f t="shared" si="24"/>
        <v>0</v>
      </c>
      <c r="AJ58" s="44">
        <f t="shared" si="24"/>
        <v>0</v>
      </c>
      <c r="AK58" s="44">
        <f t="shared" si="24"/>
        <v>0</v>
      </c>
      <c r="AL58" s="44">
        <f t="shared" si="24"/>
        <v>0</v>
      </c>
      <c r="AM58" s="44">
        <f t="shared" si="24"/>
        <v>0</v>
      </c>
      <c r="AN58" s="44">
        <f t="shared" si="24"/>
        <v>0</v>
      </c>
      <c r="AO58" s="44">
        <f t="shared" si="24"/>
        <v>0</v>
      </c>
      <c r="AP58" s="44">
        <f t="shared" ref="AP58:AQ58" si="25">AP57 * -1</f>
        <v>0</v>
      </c>
      <c r="AQ58" s="44">
        <f t="shared" si="25"/>
        <v>0</v>
      </c>
    </row>
    <row r="59" spans="3:45">
      <c r="D59" s="1"/>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row>
    <row r="60" spans="3:45">
      <c r="D60" s="1"/>
      <c r="E60" t="str">
        <f>Flags!E13</f>
        <v>Final period of concession</v>
      </c>
      <c r="J60" s="44">
        <f>Flags!J13</f>
        <v>0</v>
      </c>
      <c r="K60" s="44">
        <f>Flags!K13</f>
        <v>0</v>
      </c>
      <c r="L60" s="44">
        <f>Flags!L13</f>
        <v>0</v>
      </c>
      <c r="M60" s="44">
        <f>Flags!M13</f>
        <v>0</v>
      </c>
      <c r="N60" s="44">
        <f>Flags!N13</f>
        <v>0</v>
      </c>
      <c r="O60" s="44">
        <f>Flags!O13</f>
        <v>0</v>
      </c>
      <c r="P60" s="44">
        <f>Flags!P13</f>
        <v>0</v>
      </c>
      <c r="Q60" s="44">
        <f>Flags!Q13</f>
        <v>0</v>
      </c>
      <c r="R60" s="44">
        <f>Flags!R13</f>
        <v>0</v>
      </c>
      <c r="S60" s="44">
        <f>Flags!S13</f>
        <v>0</v>
      </c>
      <c r="T60" s="44">
        <f>Flags!T13</f>
        <v>0</v>
      </c>
      <c r="U60" s="44">
        <f>Flags!U13</f>
        <v>0</v>
      </c>
      <c r="V60" s="44">
        <f>Flags!V13</f>
        <v>0</v>
      </c>
      <c r="W60" s="44">
        <f>Flags!W13</f>
        <v>0</v>
      </c>
      <c r="X60" s="44">
        <f>Flags!X13</f>
        <v>0</v>
      </c>
      <c r="Y60" s="44">
        <f>Flags!Y13</f>
        <v>0</v>
      </c>
      <c r="Z60" s="44">
        <f>Flags!Z13</f>
        <v>0</v>
      </c>
      <c r="AA60" s="44">
        <f>Flags!AA13</f>
        <v>0</v>
      </c>
      <c r="AB60" s="44">
        <f>Flags!AB13</f>
        <v>0</v>
      </c>
      <c r="AC60" s="44">
        <f>Flags!AC13</f>
        <v>0</v>
      </c>
      <c r="AD60" s="44">
        <f>Flags!AD13</f>
        <v>0</v>
      </c>
      <c r="AE60" s="44">
        <f>Flags!AE13</f>
        <v>0</v>
      </c>
      <c r="AF60" s="44">
        <f>Flags!AF13</f>
        <v>0</v>
      </c>
      <c r="AG60" s="44">
        <f>Flags!AG13</f>
        <v>0</v>
      </c>
      <c r="AH60" s="44">
        <f>Flags!AH13</f>
        <v>1</v>
      </c>
      <c r="AI60" s="44">
        <f>Flags!AI13</f>
        <v>0</v>
      </c>
      <c r="AJ60" s="44">
        <f>Flags!AJ13</f>
        <v>0</v>
      </c>
      <c r="AK60" s="44">
        <f>Flags!AK13</f>
        <v>0</v>
      </c>
      <c r="AL60" s="44">
        <f>Flags!AL13</f>
        <v>0</v>
      </c>
      <c r="AM60" s="44">
        <f>Flags!AM13</f>
        <v>0</v>
      </c>
      <c r="AN60" s="44">
        <f>Flags!AN13</f>
        <v>0</v>
      </c>
      <c r="AO60" s="44">
        <f>Flags!AO13</f>
        <v>0</v>
      </c>
      <c r="AP60" s="44">
        <f>Flags!AP13</f>
        <v>0</v>
      </c>
      <c r="AQ60" s="44">
        <f>Flags!AQ13</f>
        <v>0</v>
      </c>
    </row>
    <row r="61" spans="3:45">
      <c r="D61" s="1"/>
      <c r="E61" t="s">
        <v>185</v>
      </c>
      <c r="H61" s="101">
        <f>ROUND(SUM(J61:AQ61), 0)</f>
        <v>0</v>
      </c>
      <c r="J61" s="44">
        <f>J55 * J60</f>
        <v>0</v>
      </c>
      <c r="K61" s="44">
        <f t="shared" ref="K61:AQ61" si="26">K55 * K60</f>
        <v>0</v>
      </c>
      <c r="L61" s="44">
        <f t="shared" si="26"/>
        <v>0</v>
      </c>
      <c r="M61" s="44">
        <f t="shared" si="26"/>
        <v>0</v>
      </c>
      <c r="N61" s="44">
        <f t="shared" si="26"/>
        <v>0</v>
      </c>
      <c r="O61" s="44">
        <f t="shared" si="26"/>
        <v>0</v>
      </c>
      <c r="P61" s="44">
        <f t="shared" si="26"/>
        <v>0</v>
      </c>
      <c r="Q61" s="44">
        <f t="shared" si="26"/>
        <v>0</v>
      </c>
      <c r="R61" s="44">
        <f t="shared" si="26"/>
        <v>0</v>
      </c>
      <c r="S61" s="44">
        <f t="shared" si="26"/>
        <v>0</v>
      </c>
      <c r="T61" s="44">
        <f t="shared" si="26"/>
        <v>0</v>
      </c>
      <c r="U61" s="44">
        <f t="shared" si="26"/>
        <v>0</v>
      </c>
      <c r="V61" s="44">
        <f t="shared" si="26"/>
        <v>0</v>
      </c>
      <c r="W61" s="44">
        <f t="shared" si="26"/>
        <v>0</v>
      </c>
      <c r="X61" s="44">
        <f t="shared" si="26"/>
        <v>0</v>
      </c>
      <c r="Y61" s="44">
        <f t="shared" si="26"/>
        <v>0</v>
      </c>
      <c r="Z61" s="44">
        <f t="shared" si="26"/>
        <v>0</v>
      </c>
      <c r="AA61" s="44">
        <f t="shared" si="26"/>
        <v>0</v>
      </c>
      <c r="AB61" s="44">
        <f t="shared" si="26"/>
        <v>0</v>
      </c>
      <c r="AC61" s="44">
        <f t="shared" si="26"/>
        <v>0</v>
      </c>
      <c r="AD61" s="44">
        <f t="shared" si="26"/>
        <v>0</v>
      </c>
      <c r="AE61" s="44">
        <f t="shared" si="26"/>
        <v>0</v>
      </c>
      <c r="AF61" s="44">
        <f t="shared" si="26"/>
        <v>0</v>
      </c>
      <c r="AG61" s="44">
        <f t="shared" si="26"/>
        <v>0</v>
      </c>
      <c r="AH61" s="44">
        <f t="shared" si="26"/>
        <v>0</v>
      </c>
      <c r="AI61" s="44">
        <f t="shared" si="26"/>
        <v>0</v>
      </c>
      <c r="AJ61" s="44">
        <f t="shared" si="26"/>
        <v>0</v>
      </c>
      <c r="AK61" s="44">
        <f t="shared" si="26"/>
        <v>0</v>
      </c>
      <c r="AL61" s="44">
        <f t="shared" si="26"/>
        <v>0</v>
      </c>
      <c r="AM61" s="44">
        <f t="shared" si="26"/>
        <v>0</v>
      </c>
      <c r="AN61" s="44">
        <f t="shared" si="26"/>
        <v>0</v>
      </c>
      <c r="AO61" s="44">
        <f t="shared" si="26"/>
        <v>0</v>
      </c>
      <c r="AP61" s="44">
        <f t="shared" si="26"/>
        <v>0</v>
      </c>
      <c r="AQ61" s="44">
        <f t="shared" si="26"/>
        <v>0</v>
      </c>
      <c r="AR61" s="44"/>
      <c r="AS61" s="44"/>
    </row>
    <row r="62" spans="3:45">
      <c r="D62" s="1"/>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row>
    <row r="63" spans="3:45">
      <c r="C63" s="11" t="s">
        <v>177</v>
      </c>
      <c r="D63" s="1"/>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row>
    <row r="64" spans="3:45">
      <c r="E64" t="s">
        <v>195</v>
      </c>
      <c r="F64" s="44">
        <f>H19</f>
        <v>0</v>
      </c>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row>
    <row r="65" spans="3:45">
      <c r="E65" t="str">
        <f>'Input Constants'!E46</f>
        <v>Tranche C Term Length</v>
      </c>
      <c r="F65" s="44">
        <f>'Input Constants'!F46</f>
        <v>10</v>
      </c>
      <c r="G65" t="str">
        <f>'Input Constants'!G46</f>
        <v>years</v>
      </c>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row>
    <row r="66" spans="3:45">
      <c r="E66" t="str">
        <f>'Input Constants'!E47</f>
        <v>Tranche C Interest Rate</v>
      </c>
      <c r="F66" s="21">
        <f>'Input Constants'!F47</f>
        <v>0.05</v>
      </c>
      <c r="G66" t="str">
        <f>'Input Constants'!G47</f>
        <v>p.a.</v>
      </c>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row>
    <row r="67" spans="3:45">
      <c r="E67" t="s">
        <v>198</v>
      </c>
      <c r="F67" s="44"/>
      <c r="J67" s="44">
        <f>IF(J70=1, PPMT($F66,1,J71,SUM(J73:J74)), 0) * IF($F$11='Input Constants'!$E$54, 1, 0)</f>
        <v>0</v>
      </c>
      <c r="K67" s="44">
        <f>IF(K70=1, PPMT($F66,1,K71,SUM(K73:K74)), 0) * IF($F$11='Input Constants'!$E$54, 1, 0)</f>
        <v>0</v>
      </c>
      <c r="L67" s="44">
        <f>IF(L70=1, PPMT($F66,1,L71,SUM(L73:L74)), 0) * IF($F$11='Input Constants'!$E$54, 1, 0)</f>
        <v>0</v>
      </c>
      <c r="M67" s="44">
        <f>IF(M70=1, PPMT($F66,1,M71,SUM(M73:M74)), 0) * IF($F$11='Input Constants'!$E$54, 1, 0)</f>
        <v>0</v>
      </c>
      <c r="N67" s="44">
        <f>IF(N70=1, PPMT($F66,1,N71,SUM(N73:N74)), 0) * IF($F$11='Input Constants'!$E$54, 1, 0)</f>
        <v>0</v>
      </c>
      <c r="O67" s="44">
        <f>IF(O70=1, PPMT($F66,1,O71,SUM(O73:O74)), 0) * IF($F$11='Input Constants'!$E$54, 1, 0)</f>
        <v>0</v>
      </c>
      <c r="P67" s="44">
        <f>IF(P70=1, PPMT($F66,1,P71,SUM(P73:P74)), 0) * IF($F$11='Input Constants'!$E$54, 1, 0)</f>
        <v>0</v>
      </c>
      <c r="Q67" s="44">
        <f>IF(Q70=1, PPMT($F66,1,Q71,SUM(Q73:Q74)), 0) * IF($F$11='Input Constants'!$E$54, 1, 0)</f>
        <v>0</v>
      </c>
      <c r="R67" s="44">
        <f>IF(R70=1, PPMT($F66,1,R71,SUM(R73:R74)), 0) * IF($F$11='Input Constants'!$E$54, 1, 0)</f>
        <v>0</v>
      </c>
      <c r="S67" s="44">
        <f>IF(S70=1, PPMT($F66,1,S71,SUM(S73:S74)), 0) * IF($F$11='Input Constants'!$E$54, 1, 0)</f>
        <v>0</v>
      </c>
      <c r="T67" s="44">
        <f>IF(T70=1, PPMT($F66,1,T71,SUM(T73:T74)), 0) * IF($F$11='Input Constants'!$E$54, 1, 0)</f>
        <v>0</v>
      </c>
      <c r="U67" s="44">
        <f>IF(U70=1, PPMT($F66,1,U71,SUM(U73:U74)), 0) * IF($F$11='Input Constants'!$E$54, 1, 0)</f>
        <v>0</v>
      </c>
      <c r="V67" s="44">
        <f>IF(V70=1, PPMT($F66,1,V71,SUM(V73:V74)), 0) * IF($F$11='Input Constants'!$E$54, 1, 0)</f>
        <v>0</v>
      </c>
      <c r="W67" s="44">
        <f>IF(W70=1, PPMT($F66,1,W71,SUM(W73:W74)), 0) * IF($F$11='Input Constants'!$E$54, 1, 0)</f>
        <v>0</v>
      </c>
      <c r="X67" s="44">
        <f>IF(X70=1, PPMT($F66,1,X71,SUM(X73:X74)), 0) * IF($F$11='Input Constants'!$E$54, 1, 0)</f>
        <v>0</v>
      </c>
      <c r="Y67" s="44">
        <f>IF(Y70=1, PPMT($F66,1,Y71,SUM(Y73:Y74)), 0) * IF($F$11='Input Constants'!$E$54, 1, 0)</f>
        <v>0</v>
      </c>
      <c r="Z67" s="44">
        <f>IF(Z70=1, PPMT($F66,1,Z71,SUM(Z73:Z74)), 0) * IF($F$11='Input Constants'!$E$54, 1, 0)</f>
        <v>0</v>
      </c>
      <c r="AA67" s="44">
        <f>IF(AA70=1, PPMT($F66,1,AA71,SUM(AA73:AA74)), 0) * IF($F$11='Input Constants'!$E$54, 1, 0)</f>
        <v>0</v>
      </c>
      <c r="AB67" s="44">
        <f>IF(AB70=1, PPMT($F66,1,AB71,SUM(AB73:AB74)), 0) * IF($F$11='Input Constants'!$E$54, 1, 0)</f>
        <v>0</v>
      </c>
      <c r="AC67" s="44">
        <f>IF(AC70=1, PPMT($F66,1,AC71,SUM(AC73:AC74)), 0) * IF($F$11='Input Constants'!$E$54, 1, 0)</f>
        <v>0</v>
      </c>
      <c r="AD67" s="44">
        <f>IF(AD70=1, PPMT($F66,1,AD71,SUM(AD73:AD74)), 0) * IF($F$11='Input Constants'!$E$54, 1, 0)</f>
        <v>0</v>
      </c>
      <c r="AE67" s="44">
        <f>IF(AE70=1, PPMT($F66,1,AE71,SUM(AE73:AE74)), 0) * IF($F$11='Input Constants'!$E$54, 1, 0)</f>
        <v>0</v>
      </c>
      <c r="AF67" s="44">
        <f>IF(AF70=1, PPMT($F66,1,AF71,SUM(AF73:AF74)), 0) * IF($F$11='Input Constants'!$E$54, 1, 0)</f>
        <v>0</v>
      </c>
      <c r="AG67" s="44">
        <f>IF(AG70=1, PPMT($F66,1,AG71,SUM(AG73:AG74)), 0) * IF($F$11='Input Constants'!$E$54, 1, 0)</f>
        <v>0</v>
      </c>
      <c r="AH67" s="44">
        <f>IF(AH70=1, PPMT($F66,1,AH71,SUM(AH73:AH74)), 0) * IF($F$11='Input Constants'!$E$54, 1, 0)</f>
        <v>0</v>
      </c>
      <c r="AI67" s="44">
        <f>IF(AI70=1, PPMT($F66,1,AI71,SUM(AI73:AI74)), 0) * IF($F$11='Input Constants'!$E$54, 1, 0)</f>
        <v>0</v>
      </c>
      <c r="AJ67" s="44">
        <f>IF(AJ70=1, PPMT($F66,1,AJ71,SUM(AJ73:AJ74)), 0) * IF($F$11='Input Constants'!$E$54, 1, 0)</f>
        <v>0</v>
      </c>
      <c r="AK67" s="44">
        <f>IF(AK70=1, PPMT($F66,1,AK71,SUM(AK73:AK74)), 0) * IF($F$11='Input Constants'!$E$54, 1, 0)</f>
        <v>0</v>
      </c>
      <c r="AL67" s="44">
        <f>IF(AL70=1, PPMT($F66,1,AL71,SUM(AL73:AL74)), 0) * IF($F$11='Input Constants'!$E$54, 1, 0)</f>
        <v>0</v>
      </c>
      <c r="AM67" s="44">
        <f>IF(AM70=1, PPMT($F66,1,AM71,SUM(AM73:AM74)), 0) * IF($F$11='Input Constants'!$E$54, 1, 0)</f>
        <v>0</v>
      </c>
      <c r="AN67" s="44">
        <f>IF(AN70=1, PPMT($F66,1,AN71,SUM(AN73:AN74)), 0) * IF($F$11='Input Constants'!$E$54, 1, 0)</f>
        <v>0</v>
      </c>
      <c r="AO67" s="44">
        <f>IF(AO70=1, PPMT($F66,1,AO71,SUM(AO73:AO74)), 0) * IF($F$11='Input Constants'!$E$54, 1, 0)</f>
        <v>0</v>
      </c>
      <c r="AP67" s="44">
        <f>IF(AP70=1, PPMT($F66,1,AP71,SUM(AP73:AP74)), 0) * IF($F$11='Input Constants'!$E$54, 1, 0)</f>
        <v>0</v>
      </c>
      <c r="AQ67" s="44">
        <f>IF(AQ70=1, PPMT($F66,1,AQ71,SUM(AQ73:AQ74)), 0) * IF($F$11='Input Constants'!$E$54, 1, 0)</f>
        <v>0</v>
      </c>
      <c r="AS67" s="44"/>
    </row>
    <row r="68" spans="3:45">
      <c r="E68" t="s">
        <v>201</v>
      </c>
      <c r="F68" s="44">
        <f>(F64/F65) * IF($F$11='Input Constants'!$E$54, 0, 1)</f>
        <v>0</v>
      </c>
      <c r="G68" t="s">
        <v>38</v>
      </c>
      <c r="J68" s="44">
        <f>IF(J70=1,$F68, 0) * -1</f>
        <v>0</v>
      </c>
      <c r="K68" s="44">
        <f t="shared" ref="K68:AQ68" si="27">IF(K70=1,$F68, 0) * -1</f>
        <v>0</v>
      </c>
      <c r="L68" s="44">
        <f t="shared" si="27"/>
        <v>0</v>
      </c>
      <c r="M68" s="44">
        <f t="shared" si="27"/>
        <v>0</v>
      </c>
      <c r="N68" s="44">
        <f t="shared" si="27"/>
        <v>0</v>
      </c>
      <c r="O68" s="44">
        <f t="shared" si="27"/>
        <v>0</v>
      </c>
      <c r="P68" s="44">
        <f t="shared" si="27"/>
        <v>0</v>
      </c>
      <c r="Q68" s="44">
        <f t="shared" si="27"/>
        <v>0</v>
      </c>
      <c r="R68" s="44">
        <f t="shared" si="27"/>
        <v>0</v>
      </c>
      <c r="S68" s="44">
        <f t="shared" si="27"/>
        <v>0</v>
      </c>
      <c r="T68" s="44">
        <f t="shared" si="27"/>
        <v>0</v>
      </c>
      <c r="U68" s="44">
        <f t="shared" si="27"/>
        <v>0</v>
      </c>
      <c r="V68" s="44">
        <f t="shared" si="27"/>
        <v>0</v>
      </c>
      <c r="W68" s="44">
        <f t="shared" si="27"/>
        <v>0</v>
      </c>
      <c r="X68" s="44">
        <f t="shared" si="27"/>
        <v>0</v>
      </c>
      <c r="Y68" s="44">
        <f t="shared" si="27"/>
        <v>0</v>
      </c>
      <c r="Z68" s="44">
        <f t="shared" si="27"/>
        <v>0</v>
      </c>
      <c r="AA68" s="44">
        <f t="shared" si="27"/>
        <v>0</v>
      </c>
      <c r="AB68" s="44">
        <f t="shared" si="27"/>
        <v>0</v>
      </c>
      <c r="AC68" s="44">
        <f t="shared" si="27"/>
        <v>0</v>
      </c>
      <c r="AD68" s="44">
        <f t="shared" si="27"/>
        <v>0</v>
      </c>
      <c r="AE68" s="44">
        <f t="shared" si="27"/>
        <v>0</v>
      </c>
      <c r="AF68" s="44">
        <f t="shared" si="27"/>
        <v>0</v>
      </c>
      <c r="AG68" s="44">
        <f t="shared" si="27"/>
        <v>0</v>
      </c>
      <c r="AH68" s="44">
        <f t="shared" si="27"/>
        <v>0</v>
      </c>
      <c r="AI68" s="44">
        <f t="shared" si="27"/>
        <v>0</v>
      </c>
      <c r="AJ68" s="44">
        <f t="shared" si="27"/>
        <v>0</v>
      </c>
      <c r="AK68" s="44">
        <f t="shared" si="27"/>
        <v>0</v>
      </c>
      <c r="AL68" s="44">
        <f t="shared" si="27"/>
        <v>0</v>
      </c>
      <c r="AM68" s="44">
        <f t="shared" si="27"/>
        <v>0</v>
      </c>
      <c r="AN68" s="44">
        <f t="shared" si="27"/>
        <v>0</v>
      </c>
      <c r="AO68" s="44">
        <f t="shared" si="27"/>
        <v>0</v>
      </c>
      <c r="AP68" s="44">
        <f t="shared" si="27"/>
        <v>0</v>
      </c>
      <c r="AQ68" s="44">
        <f t="shared" si="27"/>
        <v>0</v>
      </c>
      <c r="AR68" s="44"/>
      <c r="AS68" s="44"/>
    </row>
    <row r="69" spans="3:45">
      <c r="C69" s="11"/>
      <c r="D69" s="1"/>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row>
    <row r="70" spans="3:45">
      <c r="E70" t="str">
        <f>Flags!E$29</f>
        <v>Tranche C Repayment Flag</v>
      </c>
      <c r="J70" s="44">
        <f>Flags!J$29</f>
        <v>0</v>
      </c>
      <c r="K70" s="44">
        <f>Flags!K$29</f>
        <v>0</v>
      </c>
      <c r="L70" s="44">
        <f>Flags!L$29</f>
        <v>0</v>
      </c>
      <c r="M70" s="44">
        <f>Flags!M$29</f>
        <v>1</v>
      </c>
      <c r="N70" s="44">
        <f>Flags!N$29</f>
        <v>1</v>
      </c>
      <c r="O70" s="44">
        <f>Flags!O$29</f>
        <v>1</v>
      </c>
      <c r="P70" s="44">
        <f>Flags!P$29</f>
        <v>1</v>
      </c>
      <c r="Q70" s="44">
        <f>Flags!Q$29</f>
        <v>1</v>
      </c>
      <c r="R70" s="44">
        <f>Flags!R$29</f>
        <v>1</v>
      </c>
      <c r="S70" s="44">
        <f>Flags!S$29</f>
        <v>1</v>
      </c>
      <c r="T70" s="44">
        <f>Flags!T$29</f>
        <v>1</v>
      </c>
      <c r="U70" s="44">
        <f>Flags!U$29</f>
        <v>1</v>
      </c>
      <c r="V70" s="44">
        <f>Flags!V$29</f>
        <v>1</v>
      </c>
      <c r="W70" s="44">
        <f>Flags!W$29</f>
        <v>0</v>
      </c>
      <c r="X70" s="44">
        <f>Flags!X$29</f>
        <v>0</v>
      </c>
      <c r="Y70" s="44">
        <f>Flags!Y$29</f>
        <v>0</v>
      </c>
      <c r="Z70" s="44">
        <f>Flags!Z$29</f>
        <v>0</v>
      </c>
      <c r="AA70" s="44">
        <f>Flags!AA$29</f>
        <v>0</v>
      </c>
      <c r="AB70" s="44">
        <f>Flags!AB$29</f>
        <v>0</v>
      </c>
      <c r="AC70" s="44">
        <f>Flags!AC$29</f>
        <v>0</v>
      </c>
      <c r="AD70" s="44">
        <f>Flags!AD$29</f>
        <v>0</v>
      </c>
      <c r="AE70" s="44">
        <f>Flags!AE$29</f>
        <v>0</v>
      </c>
      <c r="AF70" s="44">
        <f>Flags!AF$29</f>
        <v>0</v>
      </c>
      <c r="AG70" s="44">
        <f>Flags!AG$29</f>
        <v>0</v>
      </c>
      <c r="AH70" s="44">
        <f>Flags!AH$29</f>
        <v>0</v>
      </c>
      <c r="AI70" s="44">
        <f>Flags!AI$29</f>
        <v>0</v>
      </c>
      <c r="AJ70" s="44">
        <f>Flags!AJ$29</f>
        <v>0</v>
      </c>
      <c r="AK70" s="44">
        <f>Flags!AK$29</f>
        <v>0</v>
      </c>
      <c r="AL70" s="44">
        <f>Flags!AL$29</f>
        <v>0</v>
      </c>
      <c r="AM70" s="44">
        <f>Flags!AM$29</f>
        <v>0</v>
      </c>
      <c r="AN70" s="44">
        <f>Flags!AN$29</f>
        <v>0</v>
      </c>
      <c r="AO70" s="44">
        <f>Flags!AO$29</f>
        <v>0</v>
      </c>
      <c r="AP70" s="44">
        <f>Flags!AP$29</f>
        <v>0</v>
      </c>
      <c r="AQ70" s="44">
        <f>Flags!AQ$29</f>
        <v>0</v>
      </c>
    </row>
    <row r="71" spans="3:45">
      <c r="C71" s="11"/>
      <c r="D71" s="1"/>
      <c r="E71" t="s">
        <v>196</v>
      </c>
      <c r="J71" s="44">
        <f>SUM(J70:$AQ70)</f>
        <v>10</v>
      </c>
      <c r="K71" s="44">
        <f>SUM(K70:$AQ70)</f>
        <v>10</v>
      </c>
      <c r="L71" s="44">
        <f>SUM(L70:$AQ70)</f>
        <v>10</v>
      </c>
      <c r="M71" s="44">
        <f>SUM(M70:$AQ70)</f>
        <v>10</v>
      </c>
      <c r="N71" s="44">
        <f>SUM(N70:$AQ70)</f>
        <v>9</v>
      </c>
      <c r="O71" s="44">
        <f>SUM(O70:$AQ70)</f>
        <v>8</v>
      </c>
      <c r="P71" s="44">
        <f>SUM(P70:$AQ70)</f>
        <v>7</v>
      </c>
      <c r="Q71" s="44">
        <f>SUM(Q70:$AQ70)</f>
        <v>6</v>
      </c>
      <c r="R71" s="44">
        <f>SUM(R70:$AQ70)</f>
        <v>5</v>
      </c>
      <c r="S71" s="44">
        <f>SUM(S70:$AQ70)</f>
        <v>4</v>
      </c>
      <c r="T71" s="44">
        <f>SUM(T70:$AQ70)</f>
        <v>3</v>
      </c>
      <c r="U71" s="44">
        <f>SUM(U70:$AQ70)</f>
        <v>2</v>
      </c>
      <c r="V71" s="44">
        <f>SUM(V70:$AQ70)</f>
        <v>1</v>
      </c>
      <c r="W71" s="44">
        <f>SUM(W70:$AQ70)</f>
        <v>0</v>
      </c>
      <c r="X71" s="44">
        <f>SUM(X70:$AQ70)</f>
        <v>0</v>
      </c>
      <c r="Y71" s="44">
        <f>SUM(Y70:$AQ70)</f>
        <v>0</v>
      </c>
      <c r="Z71" s="44">
        <f>SUM(Z70:$AQ70)</f>
        <v>0</v>
      </c>
      <c r="AA71" s="44">
        <f>SUM(AA70:$AQ70)</f>
        <v>0</v>
      </c>
      <c r="AB71" s="44">
        <f>SUM(AB70:$AQ70)</f>
        <v>0</v>
      </c>
      <c r="AC71" s="44">
        <f>SUM(AC70:$AQ70)</f>
        <v>0</v>
      </c>
      <c r="AD71" s="44">
        <f>SUM(AD70:$AQ70)</f>
        <v>0</v>
      </c>
      <c r="AE71" s="44">
        <f>SUM(AE70:$AQ70)</f>
        <v>0</v>
      </c>
      <c r="AF71" s="44">
        <f>SUM(AF70:$AQ70)</f>
        <v>0</v>
      </c>
      <c r="AG71" s="44">
        <f>SUM(AG70:$AQ70)</f>
        <v>0</v>
      </c>
      <c r="AH71" s="44">
        <f>SUM(AH70:$AQ70)</f>
        <v>0</v>
      </c>
      <c r="AI71" s="44">
        <f>SUM(AI70:$AQ70)</f>
        <v>0</v>
      </c>
      <c r="AJ71" s="44">
        <f>SUM(AJ70:$AQ70)</f>
        <v>0</v>
      </c>
      <c r="AK71" s="44">
        <f>SUM(AK70:$AQ70)</f>
        <v>0</v>
      </c>
      <c r="AL71" s="44">
        <f>SUM(AL70:$AQ70)</f>
        <v>0</v>
      </c>
      <c r="AM71" s="44">
        <f>SUM(AM70:$AQ70)</f>
        <v>0</v>
      </c>
      <c r="AN71" s="44">
        <f>SUM(AN70:$AQ70)</f>
        <v>0</v>
      </c>
      <c r="AO71" s="44">
        <f>SUM(AO70:$AQ70)</f>
        <v>0</v>
      </c>
      <c r="AP71" s="44">
        <f>SUM(AP70:$AQ70)</f>
        <v>0</v>
      </c>
      <c r="AQ71" s="44">
        <f>SUM(AQ70:$AQ70)</f>
        <v>0</v>
      </c>
      <c r="AR71" s="44"/>
      <c r="AS71" s="44"/>
    </row>
    <row r="72" spans="3:45">
      <c r="C72" s="11"/>
      <c r="D72" s="1"/>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row>
    <row r="73" spans="3:45">
      <c r="D73" s="1"/>
      <c r="E73" s="6" t="s">
        <v>197</v>
      </c>
      <c r="H73" s="101"/>
      <c r="J73" s="44">
        <f t="shared" ref="J73:AO73" si="28">I76</f>
        <v>0</v>
      </c>
      <c r="K73" s="44">
        <f t="shared" si="28"/>
        <v>0</v>
      </c>
      <c r="L73" s="44">
        <f t="shared" si="28"/>
        <v>0</v>
      </c>
      <c r="M73" s="44">
        <f t="shared" si="28"/>
        <v>0</v>
      </c>
      <c r="N73" s="44">
        <f t="shared" si="28"/>
        <v>0</v>
      </c>
      <c r="O73" s="44">
        <f t="shared" si="28"/>
        <v>0</v>
      </c>
      <c r="P73" s="44">
        <f t="shared" si="28"/>
        <v>0</v>
      </c>
      <c r="Q73" s="44">
        <f t="shared" si="28"/>
        <v>0</v>
      </c>
      <c r="R73" s="44">
        <f t="shared" si="28"/>
        <v>0</v>
      </c>
      <c r="S73" s="44">
        <f t="shared" si="28"/>
        <v>0</v>
      </c>
      <c r="T73" s="44">
        <f t="shared" si="28"/>
        <v>0</v>
      </c>
      <c r="U73" s="44">
        <f t="shared" si="28"/>
        <v>0</v>
      </c>
      <c r="V73" s="44">
        <f t="shared" si="28"/>
        <v>0</v>
      </c>
      <c r="W73" s="44">
        <f t="shared" si="28"/>
        <v>0</v>
      </c>
      <c r="X73" s="44">
        <f t="shared" si="28"/>
        <v>0</v>
      </c>
      <c r="Y73" s="44">
        <f t="shared" si="28"/>
        <v>0</v>
      </c>
      <c r="Z73" s="44">
        <f t="shared" si="28"/>
        <v>0</v>
      </c>
      <c r="AA73" s="44">
        <f t="shared" si="28"/>
        <v>0</v>
      </c>
      <c r="AB73" s="44">
        <f t="shared" si="28"/>
        <v>0</v>
      </c>
      <c r="AC73" s="44">
        <f t="shared" si="28"/>
        <v>0</v>
      </c>
      <c r="AD73" s="44">
        <f t="shared" si="28"/>
        <v>0</v>
      </c>
      <c r="AE73" s="44">
        <f t="shared" si="28"/>
        <v>0</v>
      </c>
      <c r="AF73" s="44">
        <f t="shared" si="28"/>
        <v>0</v>
      </c>
      <c r="AG73" s="44">
        <f t="shared" si="28"/>
        <v>0</v>
      </c>
      <c r="AH73" s="44">
        <f t="shared" si="28"/>
        <v>0</v>
      </c>
      <c r="AI73" s="44">
        <f t="shared" si="28"/>
        <v>0</v>
      </c>
      <c r="AJ73" s="44">
        <f t="shared" si="28"/>
        <v>0</v>
      </c>
      <c r="AK73" s="44">
        <f t="shared" si="28"/>
        <v>0</v>
      </c>
      <c r="AL73" s="44">
        <f t="shared" si="28"/>
        <v>0</v>
      </c>
      <c r="AM73" s="44">
        <f t="shared" si="28"/>
        <v>0</v>
      </c>
      <c r="AN73" s="44">
        <f t="shared" si="28"/>
        <v>0</v>
      </c>
      <c r="AO73" s="44">
        <f t="shared" si="28"/>
        <v>0</v>
      </c>
      <c r="AP73" s="44">
        <f t="shared" ref="AP73:AQ73" si="29">AO76</f>
        <v>0</v>
      </c>
      <c r="AQ73" s="44">
        <f t="shared" si="29"/>
        <v>0</v>
      </c>
    </row>
    <row r="74" spans="3:45">
      <c r="D74" s="1"/>
      <c r="E74" s="6" t="str">
        <f>E$19</f>
        <v>Tranche C Drawdown</v>
      </c>
      <c r="H74" s="101">
        <f>SUM(J74:AQ74)</f>
        <v>0</v>
      </c>
      <c r="J74" s="45">
        <f>J$19</f>
        <v>0</v>
      </c>
      <c r="K74" s="45">
        <f t="shared" ref="K74:AQ74" si="30">K$19</f>
        <v>0</v>
      </c>
      <c r="L74" s="45">
        <f t="shared" si="30"/>
        <v>0</v>
      </c>
      <c r="M74" s="45">
        <f t="shared" si="30"/>
        <v>0</v>
      </c>
      <c r="N74" s="45">
        <f t="shared" si="30"/>
        <v>0</v>
      </c>
      <c r="O74" s="45">
        <f t="shared" si="30"/>
        <v>0</v>
      </c>
      <c r="P74" s="45">
        <f t="shared" si="30"/>
        <v>0</v>
      </c>
      <c r="Q74" s="45">
        <f t="shared" si="30"/>
        <v>0</v>
      </c>
      <c r="R74" s="45">
        <f t="shared" si="30"/>
        <v>0</v>
      </c>
      <c r="S74" s="45">
        <f t="shared" si="30"/>
        <v>0</v>
      </c>
      <c r="T74" s="45">
        <f t="shared" si="30"/>
        <v>0</v>
      </c>
      <c r="U74" s="45">
        <f t="shared" si="30"/>
        <v>0</v>
      </c>
      <c r="V74" s="45">
        <f t="shared" si="30"/>
        <v>0</v>
      </c>
      <c r="W74" s="45">
        <f t="shared" si="30"/>
        <v>0</v>
      </c>
      <c r="X74" s="45">
        <f t="shared" si="30"/>
        <v>0</v>
      </c>
      <c r="Y74" s="45">
        <f t="shared" si="30"/>
        <v>0</v>
      </c>
      <c r="Z74" s="45">
        <f t="shared" si="30"/>
        <v>0</v>
      </c>
      <c r="AA74" s="45">
        <f t="shared" si="30"/>
        <v>0</v>
      </c>
      <c r="AB74" s="45">
        <f t="shared" si="30"/>
        <v>0</v>
      </c>
      <c r="AC74" s="45">
        <f t="shared" si="30"/>
        <v>0</v>
      </c>
      <c r="AD74" s="45">
        <f t="shared" si="30"/>
        <v>0</v>
      </c>
      <c r="AE74" s="45">
        <f t="shared" si="30"/>
        <v>0</v>
      </c>
      <c r="AF74" s="45">
        <f t="shared" si="30"/>
        <v>0</v>
      </c>
      <c r="AG74" s="45">
        <f t="shared" si="30"/>
        <v>0</v>
      </c>
      <c r="AH74" s="45">
        <f t="shared" si="30"/>
        <v>0</v>
      </c>
      <c r="AI74" s="45">
        <f t="shared" si="30"/>
        <v>0</v>
      </c>
      <c r="AJ74" s="45">
        <f t="shared" si="30"/>
        <v>0</v>
      </c>
      <c r="AK74" s="45">
        <f t="shared" si="30"/>
        <v>0</v>
      </c>
      <c r="AL74" s="45">
        <f t="shared" si="30"/>
        <v>0</v>
      </c>
      <c r="AM74" s="45">
        <f t="shared" si="30"/>
        <v>0</v>
      </c>
      <c r="AN74" s="45">
        <f t="shared" si="30"/>
        <v>0</v>
      </c>
      <c r="AO74" s="45">
        <f t="shared" si="30"/>
        <v>0</v>
      </c>
      <c r="AP74" s="45">
        <f t="shared" si="30"/>
        <v>0</v>
      </c>
      <c r="AQ74" s="45">
        <f t="shared" si="30"/>
        <v>0</v>
      </c>
    </row>
    <row r="75" spans="3:45">
      <c r="D75" s="1"/>
      <c r="E75" s="6" t="str">
        <f>"Tranche C Principal - "&amp;$F$11&amp;" Repayment"</f>
        <v>Tranche C Principal - Annuity Repayment</v>
      </c>
      <c r="H75" s="101">
        <f>SUM(J75:AQ75)</f>
        <v>0</v>
      </c>
      <c r="J75" s="44">
        <f>(J67 + J68) * J70</f>
        <v>0</v>
      </c>
      <c r="K75" s="44">
        <f t="shared" ref="K75:AQ75" si="31">(K67 + K68) * K70</f>
        <v>0</v>
      </c>
      <c r="L75" s="44">
        <f t="shared" si="31"/>
        <v>0</v>
      </c>
      <c r="M75" s="44">
        <f t="shared" si="31"/>
        <v>0</v>
      </c>
      <c r="N75" s="44">
        <f t="shared" si="31"/>
        <v>0</v>
      </c>
      <c r="O75" s="44">
        <f t="shared" si="31"/>
        <v>0</v>
      </c>
      <c r="P75" s="44">
        <f t="shared" si="31"/>
        <v>0</v>
      </c>
      <c r="Q75" s="44">
        <f t="shared" si="31"/>
        <v>0</v>
      </c>
      <c r="R75" s="44">
        <f t="shared" si="31"/>
        <v>0</v>
      </c>
      <c r="S75" s="44">
        <f t="shared" si="31"/>
        <v>0</v>
      </c>
      <c r="T75" s="44">
        <f t="shared" si="31"/>
        <v>0</v>
      </c>
      <c r="U75" s="44">
        <f t="shared" si="31"/>
        <v>0</v>
      </c>
      <c r="V75" s="44">
        <f t="shared" si="31"/>
        <v>0</v>
      </c>
      <c r="W75" s="44">
        <f t="shared" si="31"/>
        <v>0</v>
      </c>
      <c r="X75" s="44">
        <f t="shared" si="31"/>
        <v>0</v>
      </c>
      <c r="Y75" s="44">
        <f t="shared" si="31"/>
        <v>0</v>
      </c>
      <c r="Z75" s="44">
        <f t="shared" si="31"/>
        <v>0</v>
      </c>
      <c r="AA75" s="44">
        <f t="shared" si="31"/>
        <v>0</v>
      </c>
      <c r="AB75" s="44">
        <f t="shared" si="31"/>
        <v>0</v>
      </c>
      <c r="AC75" s="44">
        <f t="shared" si="31"/>
        <v>0</v>
      </c>
      <c r="AD75" s="44">
        <f t="shared" si="31"/>
        <v>0</v>
      </c>
      <c r="AE75" s="44">
        <f t="shared" si="31"/>
        <v>0</v>
      </c>
      <c r="AF75" s="44">
        <f t="shared" si="31"/>
        <v>0</v>
      </c>
      <c r="AG75" s="44">
        <f t="shared" si="31"/>
        <v>0</v>
      </c>
      <c r="AH75" s="44">
        <f t="shared" si="31"/>
        <v>0</v>
      </c>
      <c r="AI75" s="44">
        <f t="shared" si="31"/>
        <v>0</v>
      </c>
      <c r="AJ75" s="44">
        <f t="shared" si="31"/>
        <v>0</v>
      </c>
      <c r="AK75" s="44">
        <f t="shared" si="31"/>
        <v>0</v>
      </c>
      <c r="AL75" s="44">
        <f t="shared" si="31"/>
        <v>0</v>
      </c>
      <c r="AM75" s="44">
        <f t="shared" si="31"/>
        <v>0</v>
      </c>
      <c r="AN75" s="44">
        <f t="shared" si="31"/>
        <v>0</v>
      </c>
      <c r="AO75" s="44">
        <f t="shared" si="31"/>
        <v>0</v>
      </c>
      <c r="AP75" s="44">
        <f t="shared" si="31"/>
        <v>0</v>
      </c>
      <c r="AQ75" s="44">
        <f t="shared" si="31"/>
        <v>0</v>
      </c>
    </row>
    <row r="76" spans="3:45">
      <c r="D76" s="1"/>
      <c r="E76" s="6" t="s">
        <v>202</v>
      </c>
      <c r="J76" s="111">
        <f t="shared" ref="J76:AQ76" si="32">SUM(J73:J75)</f>
        <v>0</v>
      </c>
      <c r="K76" s="111">
        <f t="shared" si="32"/>
        <v>0</v>
      </c>
      <c r="L76" s="111">
        <f t="shared" si="32"/>
        <v>0</v>
      </c>
      <c r="M76" s="111">
        <f t="shared" si="32"/>
        <v>0</v>
      </c>
      <c r="N76" s="111">
        <f t="shared" si="32"/>
        <v>0</v>
      </c>
      <c r="O76" s="111">
        <f t="shared" si="32"/>
        <v>0</v>
      </c>
      <c r="P76" s="111">
        <f t="shared" si="32"/>
        <v>0</v>
      </c>
      <c r="Q76" s="111">
        <f t="shared" si="32"/>
        <v>0</v>
      </c>
      <c r="R76" s="111">
        <f t="shared" si="32"/>
        <v>0</v>
      </c>
      <c r="S76" s="111">
        <f t="shared" si="32"/>
        <v>0</v>
      </c>
      <c r="T76" s="111">
        <f t="shared" si="32"/>
        <v>0</v>
      </c>
      <c r="U76" s="111">
        <f t="shared" si="32"/>
        <v>0</v>
      </c>
      <c r="V76" s="111">
        <f t="shared" si="32"/>
        <v>0</v>
      </c>
      <c r="W76" s="111">
        <f t="shared" si="32"/>
        <v>0</v>
      </c>
      <c r="X76" s="111">
        <f t="shared" si="32"/>
        <v>0</v>
      </c>
      <c r="Y76" s="111">
        <f t="shared" si="32"/>
        <v>0</v>
      </c>
      <c r="Z76" s="111">
        <f t="shared" si="32"/>
        <v>0</v>
      </c>
      <c r="AA76" s="111">
        <f t="shared" si="32"/>
        <v>0</v>
      </c>
      <c r="AB76" s="111">
        <f t="shared" si="32"/>
        <v>0</v>
      </c>
      <c r="AC76" s="111">
        <f t="shared" si="32"/>
        <v>0</v>
      </c>
      <c r="AD76" s="111">
        <f t="shared" si="32"/>
        <v>0</v>
      </c>
      <c r="AE76" s="111">
        <f t="shared" si="32"/>
        <v>0</v>
      </c>
      <c r="AF76" s="111">
        <f t="shared" si="32"/>
        <v>0</v>
      </c>
      <c r="AG76" s="111">
        <f t="shared" si="32"/>
        <v>0</v>
      </c>
      <c r="AH76" s="111">
        <f t="shared" si="32"/>
        <v>0</v>
      </c>
      <c r="AI76" s="111">
        <f t="shared" si="32"/>
        <v>0</v>
      </c>
      <c r="AJ76" s="111">
        <f t="shared" si="32"/>
        <v>0</v>
      </c>
      <c r="AK76" s="111">
        <f t="shared" si="32"/>
        <v>0</v>
      </c>
      <c r="AL76" s="111">
        <f t="shared" si="32"/>
        <v>0</v>
      </c>
      <c r="AM76" s="111">
        <f t="shared" si="32"/>
        <v>0</v>
      </c>
      <c r="AN76" s="111">
        <f t="shared" si="32"/>
        <v>0</v>
      </c>
      <c r="AO76" s="111">
        <f t="shared" si="32"/>
        <v>0</v>
      </c>
      <c r="AP76" s="111">
        <f t="shared" si="32"/>
        <v>0</v>
      </c>
      <c r="AQ76" s="111">
        <f t="shared" si="32"/>
        <v>0</v>
      </c>
    </row>
    <row r="77" spans="3:45">
      <c r="D77" s="1"/>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row>
    <row r="78" spans="3:45">
      <c r="E78" t="s">
        <v>203</v>
      </c>
      <c r="H78" s="101">
        <f>SUM(J78:AQ78)</f>
        <v>0</v>
      </c>
      <c r="J78" s="44">
        <f>SUM(J73:J74) * $F66</f>
        <v>0</v>
      </c>
      <c r="K78" s="44">
        <f t="shared" ref="K78:AQ78" si="33">SUM(K73:K74) * $F66</f>
        <v>0</v>
      </c>
      <c r="L78" s="44">
        <f t="shared" si="33"/>
        <v>0</v>
      </c>
      <c r="M78" s="44">
        <f t="shared" si="33"/>
        <v>0</v>
      </c>
      <c r="N78" s="44">
        <f t="shared" si="33"/>
        <v>0</v>
      </c>
      <c r="O78" s="44">
        <f t="shared" si="33"/>
        <v>0</v>
      </c>
      <c r="P78" s="44">
        <f t="shared" si="33"/>
        <v>0</v>
      </c>
      <c r="Q78" s="44">
        <f t="shared" si="33"/>
        <v>0</v>
      </c>
      <c r="R78" s="44">
        <f t="shared" si="33"/>
        <v>0</v>
      </c>
      <c r="S78" s="44">
        <f t="shared" si="33"/>
        <v>0</v>
      </c>
      <c r="T78" s="44">
        <f t="shared" si="33"/>
        <v>0</v>
      </c>
      <c r="U78" s="44">
        <f t="shared" si="33"/>
        <v>0</v>
      </c>
      <c r="V78" s="44">
        <f t="shared" si="33"/>
        <v>0</v>
      </c>
      <c r="W78" s="44">
        <f t="shared" si="33"/>
        <v>0</v>
      </c>
      <c r="X78" s="44">
        <f t="shared" si="33"/>
        <v>0</v>
      </c>
      <c r="Y78" s="44">
        <f t="shared" si="33"/>
        <v>0</v>
      </c>
      <c r="Z78" s="44">
        <f t="shared" si="33"/>
        <v>0</v>
      </c>
      <c r="AA78" s="44">
        <f t="shared" si="33"/>
        <v>0</v>
      </c>
      <c r="AB78" s="44">
        <f t="shared" si="33"/>
        <v>0</v>
      </c>
      <c r="AC78" s="44">
        <f t="shared" si="33"/>
        <v>0</v>
      </c>
      <c r="AD78" s="44">
        <f t="shared" si="33"/>
        <v>0</v>
      </c>
      <c r="AE78" s="44">
        <f t="shared" si="33"/>
        <v>0</v>
      </c>
      <c r="AF78" s="44">
        <f t="shared" si="33"/>
        <v>0</v>
      </c>
      <c r="AG78" s="44">
        <f t="shared" si="33"/>
        <v>0</v>
      </c>
      <c r="AH78" s="44">
        <f t="shared" si="33"/>
        <v>0</v>
      </c>
      <c r="AI78" s="44">
        <f t="shared" si="33"/>
        <v>0</v>
      </c>
      <c r="AJ78" s="44">
        <f t="shared" si="33"/>
        <v>0</v>
      </c>
      <c r="AK78" s="44">
        <f t="shared" si="33"/>
        <v>0</v>
      </c>
      <c r="AL78" s="44">
        <f t="shared" si="33"/>
        <v>0</v>
      </c>
      <c r="AM78" s="44">
        <f t="shared" si="33"/>
        <v>0</v>
      </c>
      <c r="AN78" s="44">
        <f t="shared" si="33"/>
        <v>0</v>
      </c>
      <c r="AO78" s="44">
        <f t="shared" si="33"/>
        <v>0</v>
      </c>
      <c r="AP78" s="44">
        <f t="shared" si="33"/>
        <v>0</v>
      </c>
      <c r="AQ78" s="44">
        <f t="shared" si="33"/>
        <v>0</v>
      </c>
    </row>
    <row r="79" spans="3:45">
      <c r="E79" s="18" t="str">
        <f xml:space="preserve"> LEFT(E78, LEN(E78) - 4)</f>
        <v>Tranche C Interest</v>
      </c>
      <c r="H79" s="101">
        <f>SUM(J79:AQ79)</f>
        <v>0</v>
      </c>
      <c r="J79" s="44">
        <f t="shared" ref="J79:AQ79" si="34">J78 * -1</f>
        <v>0</v>
      </c>
      <c r="K79" s="44">
        <f t="shared" si="34"/>
        <v>0</v>
      </c>
      <c r="L79" s="44">
        <f t="shared" si="34"/>
        <v>0</v>
      </c>
      <c r="M79" s="44">
        <f t="shared" si="34"/>
        <v>0</v>
      </c>
      <c r="N79" s="44">
        <f t="shared" si="34"/>
        <v>0</v>
      </c>
      <c r="O79" s="44">
        <f t="shared" si="34"/>
        <v>0</v>
      </c>
      <c r="P79" s="44">
        <f t="shared" si="34"/>
        <v>0</v>
      </c>
      <c r="Q79" s="44">
        <f t="shared" si="34"/>
        <v>0</v>
      </c>
      <c r="R79" s="44">
        <f t="shared" si="34"/>
        <v>0</v>
      </c>
      <c r="S79" s="44">
        <f t="shared" si="34"/>
        <v>0</v>
      </c>
      <c r="T79" s="44">
        <f t="shared" si="34"/>
        <v>0</v>
      </c>
      <c r="U79" s="44">
        <f t="shared" si="34"/>
        <v>0</v>
      </c>
      <c r="V79" s="44">
        <f t="shared" si="34"/>
        <v>0</v>
      </c>
      <c r="W79" s="44">
        <f t="shared" si="34"/>
        <v>0</v>
      </c>
      <c r="X79" s="44">
        <f t="shared" si="34"/>
        <v>0</v>
      </c>
      <c r="Y79" s="44">
        <f t="shared" si="34"/>
        <v>0</v>
      </c>
      <c r="Z79" s="44">
        <f t="shared" si="34"/>
        <v>0</v>
      </c>
      <c r="AA79" s="44">
        <f t="shared" si="34"/>
        <v>0</v>
      </c>
      <c r="AB79" s="44">
        <f t="shared" si="34"/>
        <v>0</v>
      </c>
      <c r="AC79" s="44">
        <f t="shared" si="34"/>
        <v>0</v>
      </c>
      <c r="AD79" s="44">
        <f t="shared" si="34"/>
        <v>0</v>
      </c>
      <c r="AE79" s="44">
        <f t="shared" si="34"/>
        <v>0</v>
      </c>
      <c r="AF79" s="44">
        <f t="shared" si="34"/>
        <v>0</v>
      </c>
      <c r="AG79" s="44">
        <f t="shared" si="34"/>
        <v>0</v>
      </c>
      <c r="AH79" s="44">
        <f t="shared" si="34"/>
        <v>0</v>
      </c>
      <c r="AI79" s="44">
        <f t="shared" si="34"/>
        <v>0</v>
      </c>
      <c r="AJ79" s="44">
        <f t="shared" si="34"/>
        <v>0</v>
      </c>
      <c r="AK79" s="44">
        <f t="shared" si="34"/>
        <v>0</v>
      </c>
      <c r="AL79" s="44">
        <f t="shared" si="34"/>
        <v>0</v>
      </c>
      <c r="AM79" s="44">
        <f t="shared" si="34"/>
        <v>0</v>
      </c>
      <c r="AN79" s="44">
        <f t="shared" si="34"/>
        <v>0</v>
      </c>
      <c r="AO79" s="44">
        <f t="shared" si="34"/>
        <v>0</v>
      </c>
      <c r="AP79" s="44">
        <f t="shared" si="34"/>
        <v>0</v>
      </c>
      <c r="AQ79" s="44">
        <f t="shared" si="34"/>
        <v>0</v>
      </c>
    </row>
    <row r="80" spans="3:45">
      <c r="E80" s="18"/>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row>
    <row r="81" spans="4:45">
      <c r="D81" s="1"/>
      <c r="E81" t="str">
        <f>Flags!E13</f>
        <v>Final period of concession</v>
      </c>
      <c r="J81" s="44">
        <f>Flags!J13</f>
        <v>0</v>
      </c>
      <c r="K81" s="44">
        <f>Flags!K13</f>
        <v>0</v>
      </c>
      <c r="L81" s="44">
        <f>Flags!L13</f>
        <v>0</v>
      </c>
      <c r="M81" s="44">
        <f>Flags!M13</f>
        <v>0</v>
      </c>
      <c r="N81" s="44">
        <f>Flags!N13</f>
        <v>0</v>
      </c>
      <c r="O81" s="44">
        <f>Flags!O13</f>
        <v>0</v>
      </c>
      <c r="P81" s="44">
        <f>Flags!P13</f>
        <v>0</v>
      </c>
      <c r="Q81" s="44">
        <f>Flags!Q13</f>
        <v>0</v>
      </c>
      <c r="R81" s="44">
        <f>Flags!R13</f>
        <v>0</v>
      </c>
      <c r="S81" s="44">
        <f>Flags!S13</f>
        <v>0</v>
      </c>
      <c r="T81" s="44">
        <f>Flags!T13</f>
        <v>0</v>
      </c>
      <c r="U81" s="44">
        <f>Flags!U13</f>
        <v>0</v>
      </c>
      <c r="V81" s="44">
        <f>Flags!V13</f>
        <v>0</v>
      </c>
      <c r="W81" s="44">
        <f>Flags!W13</f>
        <v>0</v>
      </c>
      <c r="X81" s="44">
        <f>Flags!X13</f>
        <v>0</v>
      </c>
      <c r="Y81" s="44">
        <f>Flags!Y13</f>
        <v>0</v>
      </c>
      <c r="Z81" s="44">
        <f>Flags!Z13</f>
        <v>0</v>
      </c>
      <c r="AA81" s="44">
        <f>Flags!AA13</f>
        <v>0</v>
      </c>
      <c r="AB81" s="44">
        <f>Flags!AB13</f>
        <v>0</v>
      </c>
      <c r="AC81" s="44">
        <f>Flags!AC13</f>
        <v>0</v>
      </c>
      <c r="AD81" s="44">
        <f>Flags!AD13</f>
        <v>0</v>
      </c>
      <c r="AE81" s="44">
        <f>Flags!AE13</f>
        <v>0</v>
      </c>
      <c r="AF81" s="44">
        <f>Flags!AF13</f>
        <v>0</v>
      </c>
      <c r="AG81" s="44">
        <f>Flags!AG13</f>
        <v>0</v>
      </c>
      <c r="AH81" s="44">
        <f>Flags!AH13</f>
        <v>1</v>
      </c>
      <c r="AI81" s="44">
        <f>Flags!AI13</f>
        <v>0</v>
      </c>
      <c r="AJ81" s="44">
        <f>Flags!AJ13</f>
        <v>0</v>
      </c>
      <c r="AK81" s="44">
        <f>Flags!AK13</f>
        <v>0</v>
      </c>
      <c r="AL81" s="44">
        <f>Flags!AL13</f>
        <v>0</v>
      </c>
      <c r="AM81" s="44">
        <f>Flags!AM13</f>
        <v>0</v>
      </c>
      <c r="AN81" s="44">
        <f>Flags!AN13</f>
        <v>0</v>
      </c>
      <c r="AO81" s="44">
        <f>Flags!AO13</f>
        <v>0</v>
      </c>
      <c r="AP81" s="44">
        <f>Flags!AP13</f>
        <v>0</v>
      </c>
      <c r="AQ81" s="44">
        <f>Flags!AQ13</f>
        <v>0</v>
      </c>
    </row>
    <row r="82" spans="4:45">
      <c r="D82" s="1"/>
      <c r="E82" t="s">
        <v>204</v>
      </c>
      <c r="H82" s="101">
        <f>ROUND(SUM(J82:AQ82), 0)</f>
        <v>0</v>
      </c>
      <c r="J82" s="44">
        <f>J76 * J81</f>
        <v>0</v>
      </c>
      <c r="K82" s="44">
        <f t="shared" ref="K82" si="35">K76 * K81</f>
        <v>0</v>
      </c>
      <c r="L82" s="44">
        <f t="shared" ref="L82" si="36">L76 * L81</f>
        <v>0</v>
      </c>
      <c r="M82" s="44">
        <f t="shared" ref="M82" si="37">M76 * M81</f>
        <v>0</v>
      </c>
      <c r="N82" s="44">
        <f t="shared" ref="N82" si="38">N76 * N81</f>
        <v>0</v>
      </c>
      <c r="O82" s="44">
        <f t="shared" ref="O82" si="39">O76 * O81</f>
        <v>0</v>
      </c>
      <c r="P82" s="44">
        <f t="shared" ref="P82" si="40">P76 * P81</f>
        <v>0</v>
      </c>
      <c r="Q82" s="44">
        <f t="shared" ref="Q82" si="41">Q76 * Q81</f>
        <v>0</v>
      </c>
      <c r="R82" s="44">
        <f t="shared" ref="R82" si="42">R76 * R81</f>
        <v>0</v>
      </c>
      <c r="S82" s="44">
        <f t="shared" ref="S82" si="43">S76 * S81</f>
        <v>0</v>
      </c>
      <c r="T82" s="44">
        <f t="shared" ref="T82" si="44">T76 * T81</f>
        <v>0</v>
      </c>
      <c r="U82" s="44">
        <f t="shared" ref="U82" si="45">U76 * U81</f>
        <v>0</v>
      </c>
      <c r="V82" s="44">
        <f t="shared" ref="V82" si="46">V76 * V81</f>
        <v>0</v>
      </c>
      <c r="W82" s="44">
        <f t="shared" ref="W82" si="47">W76 * W81</f>
        <v>0</v>
      </c>
      <c r="X82" s="44">
        <f t="shared" ref="X82" si="48">X76 * X81</f>
        <v>0</v>
      </c>
      <c r="Y82" s="44">
        <f t="shared" ref="Y82" si="49">Y76 * Y81</f>
        <v>0</v>
      </c>
      <c r="Z82" s="44">
        <f t="shared" ref="Z82" si="50">Z76 * Z81</f>
        <v>0</v>
      </c>
      <c r="AA82" s="44">
        <f t="shared" ref="AA82" si="51">AA76 * AA81</f>
        <v>0</v>
      </c>
      <c r="AB82" s="44">
        <f t="shared" ref="AB82" si="52">AB76 * AB81</f>
        <v>0</v>
      </c>
      <c r="AC82" s="44">
        <f t="shared" ref="AC82" si="53">AC76 * AC81</f>
        <v>0</v>
      </c>
      <c r="AD82" s="44">
        <f t="shared" ref="AD82" si="54">AD76 * AD81</f>
        <v>0</v>
      </c>
      <c r="AE82" s="44">
        <f t="shared" ref="AE82" si="55">AE76 * AE81</f>
        <v>0</v>
      </c>
      <c r="AF82" s="44">
        <f t="shared" ref="AF82" si="56">AF76 * AF81</f>
        <v>0</v>
      </c>
      <c r="AG82" s="44">
        <f t="shared" ref="AG82" si="57">AG76 * AG81</f>
        <v>0</v>
      </c>
      <c r="AH82" s="44">
        <f t="shared" ref="AH82" si="58">AH76 * AH81</f>
        <v>0</v>
      </c>
      <c r="AI82" s="44">
        <f t="shared" ref="AI82" si="59">AI76 * AI81</f>
        <v>0</v>
      </c>
      <c r="AJ82" s="44">
        <f t="shared" ref="AJ82" si="60">AJ76 * AJ81</f>
        <v>0</v>
      </c>
      <c r="AK82" s="44">
        <f t="shared" ref="AK82" si="61">AK76 * AK81</f>
        <v>0</v>
      </c>
      <c r="AL82" s="44">
        <f t="shared" ref="AL82" si="62">AL76 * AL81</f>
        <v>0</v>
      </c>
      <c r="AM82" s="44">
        <f t="shared" ref="AM82" si="63">AM76 * AM81</f>
        <v>0</v>
      </c>
      <c r="AN82" s="44">
        <f t="shared" ref="AN82" si="64">AN76 * AN81</f>
        <v>0</v>
      </c>
      <c r="AO82" s="44">
        <f t="shared" ref="AO82" si="65">AO76 * AO81</f>
        <v>0</v>
      </c>
      <c r="AP82" s="44">
        <f t="shared" ref="AP82" si="66">AP76 * AP81</f>
        <v>0</v>
      </c>
      <c r="AQ82" s="44">
        <f t="shared" ref="AQ82" si="67">AQ76 * AQ81</f>
        <v>0</v>
      </c>
      <c r="AR82" s="44"/>
      <c r="AS82" s="44"/>
    </row>
    <row r="83" spans="4:45">
      <c r="D83" s="1"/>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row>
  </sheetData>
  <sheetProtection password="D033" sheet="1" objects="1" scenarios="1"/>
  <phoneticPr fontId="6" type="noConversion"/>
  <pageMargins left="0.74803149606299213" right="0.74803149606299213" top="0.98425196850393704" bottom="0.98425196850393704" header="0.51181102362204722" footer="0.51181102362204722"/>
  <pageSetup paperSize="9" scale="41" fitToWidth="4" fitToHeight="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BU125"/>
  <sheetViews>
    <sheetView showGridLines="0" zoomScale="85" zoomScaleNormal="85" workbookViewId="0">
      <pane xSplit="9" ySplit="5" topLeftCell="J6" activePane="bottomRight" state="frozen"/>
      <selection activeCell="AT1" sqref="AT1"/>
      <selection pane="topRight" activeCell="AT1" sqref="AT1"/>
      <selection pane="bottomLeft" activeCell="AT1" sqref="AT1"/>
      <selection pane="bottomRight" activeCell="J6" sqref="J6"/>
    </sheetView>
  </sheetViews>
  <sheetFormatPr defaultColWidth="0" defaultRowHeight="12.75"/>
  <cols>
    <col min="1" max="4" width="0.85546875" customWidth="1"/>
    <col min="5" max="5" width="45.7109375" customWidth="1"/>
    <col min="6" max="7" width="11.7109375" customWidth="1"/>
    <col min="8" max="8" width="13.85546875" customWidth="1"/>
    <col min="9" max="9" width="1.42578125" customWidth="1"/>
    <col min="10" max="43" width="13.7109375" customWidth="1"/>
    <col min="44" max="44" width="15" bestFit="1" customWidth="1"/>
    <col min="45" max="49" width="15" hidden="1" customWidth="1"/>
    <col min="50" max="68" width="0" hidden="1" customWidth="1"/>
    <col min="69" max="73" width="15" hidden="1" customWidth="1"/>
    <col min="74" max="16384" width="9.140625" hidden="1"/>
  </cols>
  <sheetData>
    <row r="1" spans="1:49" ht="15">
      <c r="A1" s="61" t="str">
        <f>'Input Constants'!$A$1</f>
        <v>Scottish Futures Trust Model</v>
      </c>
      <c r="B1" s="61"/>
      <c r="C1" s="60"/>
      <c r="D1" s="60"/>
      <c r="E1" s="60"/>
      <c r="F1" s="6" t="s">
        <v>0</v>
      </c>
      <c r="J1" s="2">
        <f>Flags!J1</f>
        <v>41000</v>
      </c>
      <c r="K1" s="2">
        <f>Flags!K1</f>
        <v>41365</v>
      </c>
      <c r="L1" s="2">
        <f>Flags!L1</f>
        <v>41730</v>
      </c>
      <c r="M1" s="2">
        <f>Flags!M1</f>
        <v>42095</v>
      </c>
      <c r="N1" s="2">
        <f>Flags!N1</f>
        <v>42461</v>
      </c>
      <c r="O1" s="2">
        <f>Flags!O1</f>
        <v>42826</v>
      </c>
      <c r="P1" s="2">
        <f>Flags!P1</f>
        <v>43191</v>
      </c>
      <c r="Q1" s="2">
        <f>Flags!Q1</f>
        <v>43556</v>
      </c>
      <c r="R1" s="2">
        <f>Flags!R1</f>
        <v>43922</v>
      </c>
      <c r="S1" s="2">
        <f>Flags!S1</f>
        <v>44287</v>
      </c>
      <c r="T1" s="2">
        <f>Flags!T1</f>
        <v>44652</v>
      </c>
      <c r="U1" s="2">
        <f>Flags!U1</f>
        <v>45017</v>
      </c>
      <c r="V1" s="2">
        <f>Flags!V1</f>
        <v>45383</v>
      </c>
      <c r="W1" s="2">
        <f>Flags!W1</f>
        <v>45748</v>
      </c>
      <c r="X1" s="2">
        <f>Flags!X1</f>
        <v>46113</v>
      </c>
      <c r="Y1" s="2">
        <f>Flags!Y1</f>
        <v>46478</v>
      </c>
      <c r="Z1" s="2">
        <f>Flags!Z1</f>
        <v>46844</v>
      </c>
      <c r="AA1" s="2">
        <f>Flags!AA1</f>
        <v>47209</v>
      </c>
      <c r="AB1" s="2">
        <f>Flags!AB1</f>
        <v>47574</v>
      </c>
      <c r="AC1" s="2">
        <f>Flags!AC1</f>
        <v>47939</v>
      </c>
      <c r="AD1" s="2">
        <f>Flags!AD1</f>
        <v>48305</v>
      </c>
      <c r="AE1" s="2">
        <f>Flags!AE1</f>
        <v>48670</v>
      </c>
      <c r="AF1" s="2">
        <f>Flags!AF1</f>
        <v>49035</v>
      </c>
      <c r="AG1" s="2">
        <f>Flags!AG1</f>
        <v>49400</v>
      </c>
      <c r="AH1" s="2">
        <f>Flags!AH1</f>
        <v>49766</v>
      </c>
      <c r="AI1" s="2">
        <f>Flags!AI1</f>
        <v>50131</v>
      </c>
      <c r="AJ1" s="2">
        <f>Flags!AJ1</f>
        <v>50496</v>
      </c>
      <c r="AK1" s="2">
        <f>Flags!AK1</f>
        <v>50861</v>
      </c>
      <c r="AL1" s="2">
        <f>Flags!AL1</f>
        <v>51227</v>
      </c>
      <c r="AM1" s="2">
        <f>Flags!AM1</f>
        <v>51592</v>
      </c>
      <c r="AN1" s="2">
        <f>Flags!AN1</f>
        <v>51957</v>
      </c>
      <c r="AO1" s="2">
        <f>Flags!AO1</f>
        <v>52322</v>
      </c>
      <c r="AP1" s="2">
        <f>Flags!AP1</f>
        <v>52688</v>
      </c>
      <c r="AQ1" s="2">
        <f>Flags!AQ1</f>
        <v>53053</v>
      </c>
      <c r="AR1" s="3"/>
      <c r="AS1" s="3"/>
      <c r="AT1" s="3"/>
      <c r="AU1" s="3"/>
      <c r="AV1" s="3"/>
      <c r="AW1" s="3"/>
    </row>
    <row r="2" spans="1:49" ht="15">
      <c r="A2" s="61" t="str">
        <f>'Input Constants'!$A$2</f>
        <v>Scenario: Base</v>
      </c>
      <c r="B2" s="61"/>
      <c r="C2" s="60"/>
      <c r="D2" s="60"/>
      <c r="E2" s="60"/>
      <c r="F2" s="6" t="s">
        <v>1</v>
      </c>
      <c r="J2" s="2">
        <f>Flags!J2</f>
        <v>41364</v>
      </c>
      <c r="K2" s="2">
        <f>Flags!K2</f>
        <v>41729</v>
      </c>
      <c r="L2" s="2">
        <f>Flags!L2</f>
        <v>42094</v>
      </c>
      <c r="M2" s="2">
        <f>Flags!M2</f>
        <v>42460</v>
      </c>
      <c r="N2" s="2">
        <f>Flags!N2</f>
        <v>42825</v>
      </c>
      <c r="O2" s="2">
        <f>Flags!O2</f>
        <v>43190</v>
      </c>
      <c r="P2" s="2">
        <f>Flags!P2</f>
        <v>43555</v>
      </c>
      <c r="Q2" s="2">
        <f>Flags!Q2</f>
        <v>43921</v>
      </c>
      <c r="R2" s="2">
        <f>Flags!R2</f>
        <v>44286</v>
      </c>
      <c r="S2" s="2">
        <f>Flags!S2</f>
        <v>44651</v>
      </c>
      <c r="T2" s="2">
        <f>Flags!T2</f>
        <v>45016</v>
      </c>
      <c r="U2" s="2">
        <f>Flags!U2</f>
        <v>45382</v>
      </c>
      <c r="V2" s="2">
        <f>Flags!V2</f>
        <v>45747</v>
      </c>
      <c r="W2" s="2">
        <f>Flags!W2</f>
        <v>46112</v>
      </c>
      <c r="X2" s="2">
        <f>Flags!X2</f>
        <v>46477</v>
      </c>
      <c r="Y2" s="2">
        <f>Flags!Y2</f>
        <v>46843</v>
      </c>
      <c r="Z2" s="2">
        <f>Flags!Z2</f>
        <v>47208</v>
      </c>
      <c r="AA2" s="2">
        <f>Flags!AA2</f>
        <v>47573</v>
      </c>
      <c r="AB2" s="2">
        <f>Flags!AB2</f>
        <v>47938</v>
      </c>
      <c r="AC2" s="2">
        <f>Flags!AC2</f>
        <v>48304</v>
      </c>
      <c r="AD2" s="2">
        <f>Flags!AD2</f>
        <v>48669</v>
      </c>
      <c r="AE2" s="2">
        <f>Flags!AE2</f>
        <v>49034</v>
      </c>
      <c r="AF2" s="2">
        <f>Flags!AF2</f>
        <v>49399</v>
      </c>
      <c r="AG2" s="2">
        <f>Flags!AG2</f>
        <v>49765</v>
      </c>
      <c r="AH2" s="2">
        <f>Flags!AH2</f>
        <v>50130</v>
      </c>
      <c r="AI2" s="2">
        <f>Flags!AI2</f>
        <v>50495</v>
      </c>
      <c r="AJ2" s="2">
        <f>Flags!AJ2</f>
        <v>50860</v>
      </c>
      <c r="AK2" s="2">
        <f>Flags!AK2</f>
        <v>51226</v>
      </c>
      <c r="AL2" s="2">
        <f>Flags!AL2</f>
        <v>51591</v>
      </c>
      <c r="AM2" s="2">
        <f>Flags!AM2</f>
        <v>51956</v>
      </c>
      <c r="AN2" s="2">
        <f>Flags!AN2</f>
        <v>52321</v>
      </c>
      <c r="AO2" s="2">
        <f>Flags!AO2</f>
        <v>52687</v>
      </c>
      <c r="AP2" s="2">
        <f>Flags!AP2</f>
        <v>53052</v>
      </c>
      <c r="AQ2" s="2">
        <f>Flags!AQ2</f>
        <v>53417</v>
      </c>
      <c r="AR2" s="3"/>
      <c r="AS2" s="3"/>
      <c r="AT2" s="3"/>
      <c r="AU2" s="3"/>
      <c r="AV2" s="3"/>
      <c r="AW2" s="3"/>
    </row>
    <row r="3" spans="1:49">
      <c r="F3" t="str">
        <f>Flags!F3</f>
        <v>Year</v>
      </c>
      <c r="J3">
        <f>Flags!J3</f>
        <v>2012</v>
      </c>
      <c r="K3">
        <f>Flags!K3</f>
        <v>2013</v>
      </c>
      <c r="L3">
        <f>Flags!L3</f>
        <v>2014</v>
      </c>
      <c r="M3">
        <f>Flags!M3</f>
        <v>2015</v>
      </c>
      <c r="N3">
        <f>Flags!N3</f>
        <v>2016</v>
      </c>
      <c r="O3">
        <f>Flags!O3</f>
        <v>2017</v>
      </c>
      <c r="P3">
        <f>Flags!P3</f>
        <v>2018</v>
      </c>
      <c r="Q3">
        <f>Flags!Q3</f>
        <v>2019</v>
      </c>
      <c r="R3">
        <f>Flags!R3</f>
        <v>2020</v>
      </c>
      <c r="S3">
        <f>Flags!S3</f>
        <v>2021</v>
      </c>
      <c r="T3">
        <f>Flags!T3</f>
        <v>2022</v>
      </c>
      <c r="U3">
        <f>Flags!U3</f>
        <v>2023</v>
      </c>
      <c r="V3">
        <f>Flags!V3</f>
        <v>2024</v>
      </c>
      <c r="W3">
        <f>Flags!W3</f>
        <v>2025</v>
      </c>
      <c r="X3">
        <f>Flags!X3</f>
        <v>2026</v>
      </c>
      <c r="Y3">
        <f>Flags!Y3</f>
        <v>2027</v>
      </c>
      <c r="Z3">
        <f>Flags!Z3</f>
        <v>2028</v>
      </c>
      <c r="AA3">
        <f>Flags!AA3</f>
        <v>2029</v>
      </c>
      <c r="AB3">
        <f>Flags!AB3</f>
        <v>2030</v>
      </c>
      <c r="AC3">
        <f>Flags!AC3</f>
        <v>2031</v>
      </c>
      <c r="AD3">
        <f>Flags!AD3</f>
        <v>2032</v>
      </c>
      <c r="AE3">
        <f>Flags!AE3</f>
        <v>2033</v>
      </c>
      <c r="AF3">
        <f>Flags!AF3</f>
        <v>2034</v>
      </c>
      <c r="AG3">
        <f>Flags!AG3</f>
        <v>2035</v>
      </c>
      <c r="AH3">
        <f>Flags!AH3</f>
        <v>2036</v>
      </c>
      <c r="AI3">
        <f>Flags!AI3</f>
        <v>2037</v>
      </c>
      <c r="AJ3">
        <f>Flags!AJ3</f>
        <v>2038</v>
      </c>
      <c r="AK3">
        <f>Flags!AK3</f>
        <v>2039</v>
      </c>
      <c r="AL3">
        <f>Flags!AL3</f>
        <v>2040</v>
      </c>
      <c r="AM3">
        <f>Flags!AM3</f>
        <v>2041</v>
      </c>
      <c r="AN3">
        <f>Flags!AN3</f>
        <v>2042</v>
      </c>
      <c r="AO3">
        <f>Flags!AO3</f>
        <v>2043</v>
      </c>
      <c r="AP3">
        <f>Flags!AP3</f>
        <v>2044</v>
      </c>
      <c r="AQ3">
        <f>Flags!AQ3</f>
        <v>2045</v>
      </c>
      <c r="AS3" s="3"/>
      <c r="AT3" s="3"/>
      <c r="AU3" s="3"/>
      <c r="AV3" s="3"/>
      <c r="AW3" s="3"/>
    </row>
    <row r="4" spans="1:49">
      <c r="F4" s="6"/>
      <c r="J4" s="50"/>
      <c r="K4" s="50"/>
      <c r="L4" s="50"/>
      <c r="M4" s="132"/>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3"/>
      <c r="AS4" s="3"/>
      <c r="AT4" s="3"/>
      <c r="AU4" s="3"/>
      <c r="AV4" s="3"/>
      <c r="AW4" s="3"/>
    </row>
    <row r="5" spans="1:49" s="18" customFormat="1">
      <c r="E5" s="1" t="s">
        <v>131</v>
      </c>
      <c r="G5" s="73" t="s">
        <v>23</v>
      </c>
      <c r="H5" s="73" t="s">
        <v>24</v>
      </c>
      <c r="M5" s="132"/>
    </row>
    <row r="6" spans="1:49" s="18" customFormat="1"/>
    <row r="7" spans="1:49" s="18" customFormat="1">
      <c r="E7" s="18" t="s">
        <v>89</v>
      </c>
      <c r="G7" s="18" t="s">
        <v>42</v>
      </c>
      <c r="H7" s="47">
        <f>SUM(J7:AQ7)</f>
        <v>26176732.28622805</v>
      </c>
      <c r="I7" s="47"/>
      <c r="J7" s="113">
        <f>Workings!J$44</f>
        <v>673780.85745238094</v>
      </c>
      <c r="K7" s="113">
        <f>Workings!K$44</f>
        <v>703602.09516369039</v>
      </c>
      <c r="L7" s="113">
        <f>Workings!L$44</f>
        <v>745188.96720039379</v>
      </c>
      <c r="M7" s="113">
        <f>Workings!M$44</f>
        <v>761960.72618597024</v>
      </c>
      <c r="N7" s="113">
        <f>Workings!N$44</f>
        <v>790307.30426389223</v>
      </c>
      <c r="O7" s="113">
        <f>Workings!O$44</f>
        <v>815963.25292232912</v>
      </c>
      <c r="P7" s="113">
        <f>Workings!P$44</f>
        <v>833144.26253799582</v>
      </c>
      <c r="Q7" s="113">
        <f>Workings!Q$44</f>
        <v>865551.49109936086</v>
      </c>
      <c r="R7" s="113">
        <f>Workings!R$44</f>
        <v>908586.62055102596</v>
      </c>
      <c r="S7" s="113">
        <f>Workings!S$44</f>
        <v>956079.80671224766</v>
      </c>
      <c r="T7" s="113">
        <f>Workings!T$44</f>
        <v>989397.23382793751</v>
      </c>
      <c r="U7" s="113">
        <f>Workings!U$44</f>
        <v>1018176.8387725635</v>
      </c>
      <c r="V7" s="113">
        <f>Workings!V$44</f>
        <v>1068965.057981486</v>
      </c>
      <c r="W7" s="113">
        <f>Workings!W$44</f>
        <v>1112460.636354275</v>
      </c>
      <c r="X7" s="113">
        <f>Workings!X$44</f>
        <v>1144735.2909025932</v>
      </c>
      <c r="Y7" s="113">
        <f>Workings!Y$44</f>
        <v>1190494.6443663288</v>
      </c>
      <c r="Z7" s="113">
        <f>Workings!Z$44</f>
        <v>1156021.4116516192</v>
      </c>
      <c r="AA7" s="113">
        <f>Workings!AA$44</f>
        <v>1186489.4941011218</v>
      </c>
      <c r="AB7" s="113">
        <f>Workings!AB$44</f>
        <v>1226257.5278922732</v>
      </c>
      <c r="AC7" s="113">
        <f>Workings!AC$44</f>
        <v>1256999.0004442986</v>
      </c>
      <c r="AD7" s="113">
        <f>Workings!AD$44</f>
        <v>1288423.9754554061</v>
      </c>
      <c r="AE7" s="113">
        <f>Workings!AE$44</f>
        <v>1320634.5748417911</v>
      </c>
      <c r="AF7" s="113">
        <f>Workings!AF$44</f>
        <v>1353650.4392128359</v>
      </c>
      <c r="AG7" s="113">
        <f>Workings!AG$44</f>
        <v>1387585.5685601148</v>
      </c>
      <c r="AH7" s="113">
        <f>Workings!AH$44</f>
        <v>1422275.2077741174</v>
      </c>
      <c r="AI7" s="113">
        <f>Workings!AI$44</f>
        <v>0</v>
      </c>
      <c r="AJ7" s="113">
        <f>Workings!AJ$44</f>
        <v>0</v>
      </c>
      <c r="AK7" s="113">
        <f>Workings!AK$44</f>
        <v>0</v>
      </c>
      <c r="AL7" s="113">
        <f>Workings!AL$44</f>
        <v>0</v>
      </c>
      <c r="AM7" s="113">
        <f>Workings!AM$44</f>
        <v>0</v>
      </c>
      <c r="AN7" s="113">
        <f>Workings!AN$44</f>
        <v>0</v>
      </c>
      <c r="AO7" s="113">
        <f>Workings!AO$44</f>
        <v>0</v>
      </c>
      <c r="AP7" s="113">
        <f>Workings!AP$44</f>
        <v>0</v>
      </c>
      <c r="AQ7" s="113">
        <f>Workings!AQ$44</f>
        <v>0</v>
      </c>
    </row>
    <row r="8" spans="1:49" s="18" customFormat="1">
      <c r="E8" s="18" t="s">
        <v>90</v>
      </c>
      <c r="G8" s="18" t="s">
        <v>42</v>
      </c>
      <c r="H8" s="47">
        <f>SUM(J8:AQ8)</f>
        <v>741626.42920000013</v>
      </c>
      <c r="I8" s="47"/>
      <c r="J8" s="47">
        <f>Workings!J74</f>
        <v>24621.927599999999</v>
      </c>
      <c r="K8" s="113">
        <f>Workings!K74</f>
        <v>24098.056800000002</v>
      </c>
      <c r="L8" s="47">
        <f>Workings!L74</f>
        <v>30035.2592</v>
      </c>
      <c r="M8" s="47">
        <f>Workings!M74</f>
        <v>30035.2592</v>
      </c>
      <c r="N8" s="47">
        <f>Workings!N74</f>
        <v>28638.270400000001</v>
      </c>
      <c r="O8" s="47">
        <f>Workings!O74</f>
        <v>27939.776000000002</v>
      </c>
      <c r="P8" s="47">
        <f>Workings!P74</f>
        <v>34051.601999999999</v>
      </c>
      <c r="Q8" s="47">
        <f>Workings!Q74</f>
        <v>32305.366000000002</v>
      </c>
      <c r="R8" s="47">
        <f>Workings!R74</f>
        <v>36016.1175</v>
      </c>
      <c r="S8" s="47">
        <f>Workings!S74</f>
        <v>33833.322500000002</v>
      </c>
      <c r="T8" s="47">
        <f>Workings!T74</f>
        <v>39290.31</v>
      </c>
      <c r="U8" s="47">
        <f>Workings!U74</f>
        <v>35361.27900000001</v>
      </c>
      <c r="V8" s="47">
        <f>Workings!V74</f>
        <v>35361.27900000001</v>
      </c>
      <c r="W8" s="47">
        <f>Workings!W74</f>
        <v>35361.27900000001</v>
      </c>
      <c r="X8" s="47">
        <f>Workings!X74</f>
        <v>32741.925000000003</v>
      </c>
      <c r="Y8" s="47">
        <f>Workings!Y74</f>
        <v>31432.247999999996</v>
      </c>
      <c r="Z8" s="47">
        <f>Workings!Z74</f>
        <v>28812.894</v>
      </c>
      <c r="AA8" s="47">
        <f>Workings!AA74</f>
        <v>27503.217000000001</v>
      </c>
      <c r="AB8" s="47">
        <f>Workings!AB74</f>
        <v>24883.862999999998</v>
      </c>
      <c r="AC8" s="47">
        <f>Workings!AC74</f>
        <v>24883.862999999998</v>
      </c>
      <c r="AD8" s="47">
        <f>Workings!AD74</f>
        <v>24883.862999999998</v>
      </c>
      <c r="AE8" s="47">
        <f>Workings!AE74</f>
        <v>24883.862999999998</v>
      </c>
      <c r="AF8" s="47">
        <f>Workings!AF74</f>
        <v>24883.862999999998</v>
      </c>
      <c r="AG8" s="47">
        <f>Workings!AG74</f>
        <v>24883.862999999998</v>
      </c>
      <c r="AH8" s="47">
        <f>Workings!AH74</f>
        <v>24883.862999999998</v>
      </c>
      <c r="AI8" s="47">
        <f>Workings!AI74</f>
        <v>0</v>
      </c>
      <c r="AJ8" s="47">
        <f>Workings!AJ74</f>
        <v>0</v>
      </c>
      <c r="AK8" s="47">
        <f>Workings!AK74</f>
        <v>0</v>
      </c>
      <c r="AL8" s="47">
        <f>Workings!AL74</f>
        <v>0</v>
      </c>
      <c r="AM8" s="47">
        <f>Workings!AM74</f>
        <v>0</v>
      </c>
      <c r="AN8" s="47">
        <f>Workings!AN74</f>
        <v>0</v>
      </c>
      <c r="AO8" s="47">
        <f>Workings!AO74</f>
        <v>0</v>
      </c>
      <c r="AP8" s="47">
        <f>Workings!AP74</f>
        <v>0</v>
      </c>
      <c r="AQ8" s="47">
        <f>Workings!AQ74</f>
        <v>0</v>
      </c>
    </row>
    <row r="9" spans="1:49" s="18" customFormat="1">
      <c r="G9" s="1"/>
      <c r="H9" s="47"/>
      <c r="I9" s="47"/>
      <c r="J9" s="47"/>
      <c r="K9" s="113"/>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row>
    <row r="10" spans="1:49" s="18" customFormat="1">
      <c r="E10" s="18" t="s">
        <v>117</v>
      </c>
      <c r="G10" s="18" t="s">
        <v>42</v>
      </c>
      <c r="H10" s="47">
        <f>SUM(J10:AQ10)</f>
        <v>-14245861.924146289</v>
      </c>
      <c r="I10" s="47"/>
      <c r="J10" s="113">
        <f>Workings!J62 * -1</f>
        <v>-673780.85745238094</v>
      </c>
      <c r="K10" s="113">
        <f>Workings!K62 * -1</f>
        <v>-703602.09516369039</v>
      </c>
      <c r="L10" s="113">
        <f>Workings!L62 * -1</f>
        <v>-745188.96720039379</v>
      </c>
      <c r="M10" s="113">
        <f>Workings!M62 * -1</f>
        <v>-352065.81764128001</v>
      </c>
      <c r="N10" s="113">
        <f>Workings!N62 * -1</f>
        <v>-365750.34884260432</v>
      </c>
      <c r="O10" s="113">
        <f>Workings!O62 * -1</f>
        <v>-377991.75464017293</v>
      </c>
      <c r="P10" s="113">
        <f>Workings!P62 * -1</f>
        <v>-385751.48394673417</v>
      </c>
      <c r="Q10" s="113">
        <f>Workings!Q62 * -1</f>
        <v>-401472.53137261618</v>
      </c>
      <c r="R10" s="113">
        <f>Workings!R62 * -1</f>
        <v>-422011.29852018174</v>
      </c>
      <c r="S10" s="113">
        <f>Workings!S62 * -1</f>
        <v>-445574.74644046591</v>
      </c>
      <c r="T10" s="113">
        <f>Workings!T62 * -1</f>
        <v>-461658.9048059507</v>
      </c>
      <c r="U10" s="113">
        <f>Workings!U62 * -1</f>
        <v>-515152.50116347271</v>
      </c>
      <c r="V10" s="113">
        <f>Workings!V62 * -1</f>
        <v>-541336.09943195118</v>
      </c>
      <c r="W10" s="113">
        <f>Workings!W62 * -1</f>
        <v>-563677.52084435965</v>
      </c>
      <c r="X10" s="113">
        <f>Workings!X62 * -1</f>
        <v>-580113.40677101363</v>
      </c>
      <c r="Y10" s="113">
        <f>Workings!Y62 * -1</f>
        <v>-603616.86309260584</v>
      </c>
      <c r="Z10" s="113">
        <f>Workings!Z62 * -1</f>
        <v>-619004.89728399576</v>
      </c>
      <c r="AA10" s="113">
        <f>Workings!AA62 * -1</f>
        <v>-635303.26299288939</v>
      </c>
      <c r="AB10" s="113">
        <f>Workings!AB62 * -1</f>
        <v>-656493.19939347066</v>
      </c>
      <c r="AC10" s="113">
        <f>Workings!AC62 * -1</f>
        <v>-656917.49776118482</v>
      </c>
      <c r="AD10" s="113">
        <f>Workings!AD62 * -1</f>
        <v>-673340.43520521442</v>
      </c>
      <c r="AE10" s="113">
        <f>Workings!AE62 * -1</f>
        <v>-690173.94608534453</v>
      </c>
      <c r="AF10" s="113">
        <f>Workings!AF62 * -1</f>
        <v>-707428.29473747825</v>
      </c>
      <c r="AG10" s="113">
        <f>Workings!AG62 * -1</f>
        <v>-725163.05844782107</v>
      </c>
      <c r="AH10" s="113">
        <f>Workings!AH62 * -1</f>
        <v>-743292.13490901631</v>
      </c>
      <c r="AI10" s="113">
        <f>Workings!AI62 * -1</f>
        <v>0</v>
      </c>
      <c r="AJ10" s="113">
        <f>Workings!AJ62 * -1</f>
        <v>0</v>
      </c>
      <c r="AK10" s="113">
        <f>Workings!AK62 * -1</f>
        <v>0</v>
      </c>
      <c r="AL10" s="113">
        <f>Workings!AL62 * -1</f>
        <v>0</v>
      </c>
      <c r="AM10" s="113">
        <f>Workings!AM62 * -1</f>
        <v>0</v>
      </c>
      <c r="AN10" s="113">
        <f>Workings!AN62 * -1</f>
        <v>0</v>
      </c>
      <c r="AO10" s="113">
        <f>Workings!AO62 * -1</f>
        <v>0</v>
      </c>
      <c r="AP10" s="113">
        <f>Workings!AP62 * -1</f>
        <v>0</v>
      </c>
      <c r="AQ10" s="113">
        <f>Workings!AQ62 * -1</f>
        <v>0</v>
      </c>
    </row>
    <row r="11" spans="1:49" s="18" customFormat="1">
      <c r="E11" s="18" t="s">
        <v>118</v>
      </c>
      <c r="G11" s="18" t="s">
        <v>42</v>
      </c>
      <c r="H11" s="47">
        <f>SUM(J11:AQ11)</f>
        <v>-426881.45088288002</v>
      </c>
      <c r="I11" s="47"/>
      <c r="J11" s="47">
        <f>-Workings!J81</f>
        <v>-24621.927599999999</v>
      </c>
      <c r="K11" s="113">
        <f>-Workings!K81</f>
        <v>-24098.056800000002</v>
      </c>
      <c r="L11" s="47">
        <f>-Workings!L81</f>
        <v>-30035.2592</v>
      </c>
      <c r="M11" s="47">
        <f>-Workings!M81</f>
        <v>-15773.89558816</v>
      </c>
      <c r="N11" s="47">
        <f>-Workings!N81</f>
        <v>-15040.226025920001</v>
      </c>
      <c r="O11" s="47">
        <f>-Workings!O81</f>
        <v>-14673.391244800001</v>
      </c>
      <c r="P11" s="47">
        <f>-Workings!P81</f>
        <v>-17883.1955796</v>
      </c>
      <c r="Q11" s="47">
        <f>-Workings!Q81</f>
        <v>-16966.1086268</v>
      </c>
      <c r="R11" s="47">
        <f>-Workings!R81</f>
        <v>-18914.918401500003</v>
      </c>
      <c r="S11" s="47">
        <f>-Workings!S81</f>
        <v>-17768.559710500002</v>
      </c>
      <c r="T11" s="47">
        <f>-Workings!T81</f>
        <v>-20634.456438000005</v>
      </c>
      <c r="U11" s="47">
        <f>-Workings!U81</f>
        <v>-18571.010794200003</v>
      </c>
      <c r="V11" s="47">
        <f>-Workings!V81</f>
        <v>-18571.010794200003</v>
      </c>
      <c r="W11" s="47">
        <f>-Workings!W81</f>
        <v>-18571.010794200003</v>
      </c>
      <c r="X11" s="47">
        <f>-Workings!X81</f>
        <v>-17195.380365000001</v>
      </c>
      <c r="Y11" s="47">
        <f>-Workings!Y81</f>
        <v>-16507.565150400002</v>
      </c>
      <c r="Z11" s="47">
        <f>-Workings!Z81</f>
        <v>-15131.934721199999</v>
      </c>
      <c r="AA11" s="47">
        <f>-Workings!AA81</f>
        <v>-14444.119506600002</v>
      </c>
      <c r="AB11" s="47">
        <f>-Workings!AB81</f>
        <v>-13068.489077400003</v>
      </c>
      <c r="AC11" s="47">
        <f>-Workings!AC81</f>
        <v>-13068.489077400003</v>
      </c>
      <c r="AD11" s="47">
        <f>-Workings!AD81</f>
        <v>-13068.489077400003</v>
      </c>
      <c r="AE11" s="47">
        <f>-Workings!AE81</f>
        <v>-13068.489077400003</v>
      </c>
      <c r="AF11" s="47">
        <f>-Workings!AF81</f>
        <v>-13068.489077400003</v>
      </c>
      <c r="AG11" s="47">
        <f>-Workings!AG81</f>
        <v>-13068.489077400003</v>
      </c>
      <c r="AH11" s="47">
        <f>-Workings!AH81</f>
        <v>-13068.489077400003</v>
      </c>
      <c r="AI11" s="47">
        <f>-Workings!AI81</f>
        <v>0</v>
      </c>
      <c r="AJ11" s="47">
        <f>-Workings!AJ81</f>
        <v>0</v>
      </c>
      <c r="AK11" s="47">
        <f>-Workings!AK81</f>
        <v>0</v>
      </c>
      <c r="AL11" s="47">
        <f>-Workings!AL81</f>
        <v>0</v>
      </c>
      <c r="AM11" s="47">
        <f>-Workings!AM81</f>
        <v>0</v>
      </c>
      <c r="AN11" s="47">
        <f>-Workings!AN81</f>
        <v>0</v>
      </c>
      <c r="AO11" s="47">
        <f>-Workings!AO81</f>
        <v>0</v>
      </c>
      <c r="AP11" s="47">
        <f>-Workings!AP81</f>
        <v>0</v>
      </c>
      <c r="AQ11" s="47">
        <f>-Workings!AQ81</f>
        <v>0</v>
      </c>
    </row>
    <row r="12" spans="1:49" s="18" customFormat="1">
      <c r="H12" s="47"/>
      <c r="I12" s="47"/>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row>
    <row r="13" spans="1:49" s="18" customFormat="1">
      <c r="E13" s="1" t="s">
        <v>76</v>
      </c>
      <c r="G13" s="18" t="s">
        <v>42</v>
      </c>
      <c r="H13" s="48">
        <f>SUM(J13:AQ13)</f>
        <v>12245615.340398878</v>
      </c>
      <c r="I13" s="47"/>
      <c r="J13" s="48">
        <f t="shared" ref="J13:AO13" si="0">SUM(J7:J11)</f>
        <v>5.4569682106375694E-11</v>
      </c>
      <c r="K13" s="48">
        <f t="shared" si="0"/>
        <v>0</v>
      </c>
      <c r="L13" s="48">
        <f t="shared" si="0"/>
        <v>-2.9103830456733704E-11</v>
      </c>
      <c r="M13" s="131">
        <f t="shared" si="0"/>
        <v>424156.27215653018</v>
      </c>
      <c r="N13" s="48">
        <f t="shared" si="0"/>
        <v>438154.99979536794</v>
      </c>
      <c r="O13" s="48">
        <f t="shared" si="0"/>
        <v>451237.88303735614</v>
      </c>
      <c r="P13" s="48">
        <f t="shared" si="0"/>
        <v>463561.18501166161</v>
      </c>
      <c r="Q13" s="48">
        <f t="shared" si="0"/>
        <v>479418.21709994471</v>
      </c>
      <c r="R13" s="48">
        <f t="shared" si="0"/>
        <v>503676.5211293443</v>
      </c>
      <c r="S13" s="48">
        <f t="shared" si="0"/>
        <v>526569.82306128182</v>
      </c>
      <c r="T13" s="48">
        <f t="shared" si="0"/>
        <v>546394.18258398678</v>
      </c>
      <c r="U13" s="48">
        <f t="shared" si="0"/>
        <v>519814.60581489094</v>
      </c>
      <c r="V13" s="48">
        <f t="shared" si="0"/>
        <v>544419.22675533488</v>
      </c>
      <c r="W13" s="48">
        <f t="shared" si="0"/>
        <v>565573.38371571549</v>
      </c>
      <c r="X13" s="48">
        <f t="shared" si="0"/>
        <v>580168.4287665796</v>
      </c>
      <c r="Y13" s="48">
        <f t="shared" si="0"/>
        <v>601802.46412332286</v>
      </c>
      <c r="Z13" s="48">
        <f t="shared" si="0"/>
        <v>550697.47364642355</v>
      </c>
      <c r="AA13" s="48">
        <f t="shared" si="0"/>
        <v>564245.32860163238</v>
      </c>
      <c r="AB13" s="48">
        <f t="shared" si="0"/>
        <v>581579.70242140244</v>
      </c>
      <c r="AC13" s="48">
        <f t="shared" si="0"/>
        <v>611896.87660571374</v>
      </c>
      <c r="AD13" s="48">
        <f t="shared" si="0"/>
        <v>626898.91417279164</v>
      </c>
      <c r="AE13" s="48">
        <f t="shared" si="0"/>
        <v>642276.00267904648</v>
      </c>
      <c r="AF13" s="48">
        <f t="shared" si="0"/>
        <v>658037.51839795755</v>
      </c>
      <c r="AG13" s="48">
        <f t="shared" si="0"/>
        <v>674237.88403489371</v>
      </c>
      <c r="AH13" s="48">
        <f t="shared" si="0"/>
        <v>690798.44678770099</v>
      </c>
      <c r="AI13" s="48">
        <f t="shared" si="0"/>
        <v>0</v>
      </c>
      <c r="AJ13" s="48">
        <f t="shared" si="0"/>
        <v>0</v>
      </c>
      <c r="AK13" s="48">
        <f t="shared" si="0"/>
        <v>0</v>
      </c>
      <c r="AL13" s="48">
        <f t="shared" si="0"/>
        <v>0</v>
      </c>
      <c r="AM13" s="48">
        <f t="shared" si="0"/>
        <v>0</v>
      </c>
      <c r="AN13" s="48">
        <f t="shared" si="0"/>
        <v>0</v>
      </c>
      <c r="AO13" s="48">
        <f t="shared" si="0"/>
        <v>0</v>
      </c>
      <c r="AP13" s="48">
        <f t="shared" ref="AP13:AQ13" si="1">SUM(AP7:AP11)</f>
        <v>0</v>
      </c>
      <c r="AQ13" s="48">
        <f t="shared" si="1"/>
        <v>0</v>
      </c>
    </row>
    <row r="14" spans="1:49" s="18" customFormat="1">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row>
    <row r="15" spans="1:49" s="18" customFormat="1">
      <c r="E15" s="18" t="s">
        <v>3</v>
      </c>
      <c r="G15" s="18" t="s">
        <v>42</v>
      </c>
      <c r="H15" s="47">
        <f>SUM(J15:AQ15)</f>
        <v>-3468087.7088760622</v>
      </c>
      <c r="I15" s="47"/>
      <c r="J15" s="47">
        <f>Workings!J$24</f>
        <v>0</v>
      </c>
      <c r="K15" s="47">
        <f>Workings!K$24</f>
        <v>0</v>
      </c>
      <c r="L15" s="47">
        <f>Workings!L$24</f>
        <v>0</v>
      </c>
      <c r="M15" s="47">
        <f>Workings!M$24</f>
        <v>-3468087.7088760622</v>
      </c>
      <c r="N15" s="47">
        <f>Workings!N$24</f>
        <v>0</v>
      </c>
      <c r="O15" s="47">
        <f>Workings!O$24</f>
        <v>0</v>
      </c>
      <c r="P15" s="47">
        <f>Workings!P$24</f>
        <v>0</v>
      </c>
      <c r="Q15" s="47">
        <f>Workings!Q$24</f>
        <v>0</v>
      </c>
      <c r="R15" s="47">
        <f>Workings!R$24</f>
        <v>0</v>
      </c>
      <c r="S15" s="47">
        <f>Workings!S$24</f>
        <v>0</v>
      </c>
      <c r="T15" s="47">
        <f>Workings!T$24</f>
        <v>0</v>
      </c>
      <c r="U15" s="47">
        <f>Workings!U$24</f>
        <v>0</v>
      </c>
      <c r="V15" s="47">
        <f>Workings!V$24</f>
        <v>0</v>
      </c>
      <c r="W15" s="47">
        <f>Workings!W$24</f>
        <v>0</v>
      </c>
      <c r="X15" s="47">
        <f>Workings!X$24</f>
        <v>0</v>
      </c>
      <c r="Y15" s="47">
        <f>Workings!Y$24</f>
        <v>0</v>
      </c>
      <c r="Z15" s="47">
        <f>Workings!Z$24</f>
        <v>0</v>
      </c>
      <c r="AA15" s="47">
        <f>Workings!AA$24</f>
        <v>0</v>
      </c>
      <c r="AB15" s="47">
        <f>Workings!AB$24</f>
        <v>0</v>
      </c>
      <c r="AC15" s="47">
        <f>Workings!AC$24</f>
        <v>0</v>
      </c>
      <c r="AD15" s="47">
        <f>Workings!AD$24</f>
        <v>0</v>
      </c>
      <c r="AE15" s="47">
        <f>Workings!AE$24</f>
        <v>0</v>
      </c>
      <c r="AF15" s="47">
        <f>Workings!AF$24</f>
        <v>0</v>
      </c>
      <c r="AG15" s="47">
        <f>Workings!AG$24</f>
        <v>0</v>
      </c>
      <c r="AH15" s="47">
        <f>Workings!AH$24</f>
        <v>0</v>
      </c>
      <c r="AI15" s="47">
        <f>Workings!AI$24</f>
        <v>0</v>
      </c>
      <c r="AJ15" s="47">
        <f>Workings!AJ$24</f>
        <v>0</v>
      </c>
      <c r="AK15" s="47">
        <f>Workings!AK$24</f>
        <v>0</v>
      </c>
      <c r="AL15" s="47">
        <f>Workings!AL$24</f>
        <v>0</v>
      </c>
      <c r="AM15" s="47">
        <f>Workings!AM$24</f>
        <v>0</v>
      </c>
      <c r="AN15" s="47">
        <f>Workings!AN$24</f>
        <v>0</v>
      </c>
      <c r="AO15" s="47">
        <f>Workings!AO$24</f>
        <v>0</v>
      </c>
      <c r="AP15" s="47">
        <f>Workings!AP$24</f>
        <v>0</v>
      </c>
      <c r="AQ15" s="47">
        <f>Workings!AQ$24</f>
        <v>0</v>
      </c>
    </row>
    <row r="16" spans="1:49" s="18" customFormat="1">
      <c r="E16" s="18" t="s">
        <v>4</v>
      </c>
      <c r="G16" s="18" t="s">
        <v>42</v>
      </c>
      <c r="H16" s="47">
        <f>SUM(J16:AQ16)</f>
        <v>0</v>
      </c>
      <c r="I16" s="47"/>
      <c r="J16" s="47">
        <f>Financing!J$8</f>
        <v>0</v>
      </c>
      <c r="K16" s="47">
        <f>Financing!K$8</f>
        <v>0</v>
      </c>
      <c r="L16" s="47">
        <f>Financing!L$8</f>
        <v>0</v>
      </c>
      <c r="M16" s="47">
        <f>Financing!M$8</f>
        <v>0</v>
      </c>
      <c r="N16" s="47">
        <f>Financing!N$8</f>
        <v>0</v>
      </c>
      <c r="O16" s="47">
        <f>Financing!O$8</f>
        <v>0</v>
      </c>
      <c r="P16" s="47">
        <f>Financing!P$8</f>
        <v>0</v>
      </c>
      <c r="Q16" s="47">
        <f>Financing!Q$8</f>
        <v>0</v>
      </c>
      <c r="R16" s="47">
        <f>Financing!R$8</f>
        <v>0</v>
      </c>
      <c r="S16" s="47">
        <f>Financing!S$8</f>
        <v>0</v>
      </c>
      <c r="T16" s="47">
        <f>Financing!T$8</f>
        <v>0</v>
      </c>
      <c r="U16" s="47">
        <f>Financing!U$8</f>
        <v>0</v>
      </c>
      <c r="V16" s="47">
        <f>Financing!V$8</f>
        <v>0</v>
      </c>
      <c r="W16" s="47">
        <f>Financing!W$8</f>
        <v>0</v>
      </c>
      <c r="X16" s="47">
        <f>Financing!X$8</f>
        <v>0</v>
      </c>
      <c r="Y16" s="47">
        <f>Financing!Y$8</f>
        <v>0</v>
      </c>
      <c r="Z16" s="47">
        <f>Financing!Z$8</f>
        <v>0</v>
      </c>
      <c r="AA16" s="47">
        <f>Financing!AA$8</f>
        <v>0</v>
      </c>
      <c r="AB16" s="47">
        <f>Financing!AB$8</f>
        <v>0</v>
      </c>
      <c r="AC16" s="47">
        <f>Financing!AC$8</f>
        <v>0</v>
      </c>
      <c r="AD16" s="47">
        <f>Financing!AD$8</f>
        <v>0</v>
      </c>
      <c r="AE16" s="47">
        <f>Financing!AE$8</f>
        <v>0</v>
      </c>
      <c r="AF16" s="47">
        <f>Financing!AF$8</f>
        <v>0</v>
      </c>
      <c r="AG16" s="47">
        <f>Financing!AG$8</f>
        <v>0</v>
      </c>
      <c r="AH16" s="47">
        <f>Financing!AH$8</f>
        <v>0</v>
      </c>
      <c r="AI16" s="47">
        <f>Financing!AI$8</f>
        <v>0</v>
      </c>
      <c r="AJ16" s="47">
        <f>Financing!AJ$8</f>
        <v>0</v>
      </c>
      <c r="AK16" s="47">
        <f>Financing!AK$8</f>
        <v>0</v>
      </c>
      <c r="AL16" s="47">
        <f>Financing!AL$8</f>
        <v>0</v>
      </c>
      <c r="AM16" s="47">
        <f>Financing!AM$8</f>
        <v>0</v>
      </c>
      <c r="AN16" s="47">
        <f>Financing!AN$8</f>
        <v>0</v>
      </c>
      <c r="AO16" s="47">
        <f>Financing!AO$8</f>
        <v>0</v>
      </c>
      <c r="AP16" s="47">
        <f>Financing!AP$8</f>
        <v>0</v>
      </c>
      <c r="AQ16" s="47">
        <f>Financing!AQ$8</f>
        <v>0</v>
      </c>
    </row>
    <row r="17" spans="5:43" s="18" customFormat="1">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row>
    <row r="18" spans="5:43" s="18" customFormat="1">
      <c r="E18" s="18" t="s">
        <v>186</v>
      </c>
      <c r="G18" s="18" t="s">
        <v>42</v>
      </c>
      <c r="H18" s="47">
        <f>SUM(J18:AQ18)</f>
        <v>2774470.16710085</v>
      </c>
      <c r="I18" s="47"/>
      <c r="J18" s="47">
        <f>Financing!J$17</f>
        <v>0</v>
      </c>
      <c r="K18" s="47">
        <f>Financing!K$17</f>
        <v>0</v>
      </c>
      <c r="L18" s="47">
        <f>Financing!L$17</f>
        <v>0</v>
      </c>
      <c r="M18" s="47">
        <f>Financing!M$17</f>
        <v>2774470.16710085</v>
      </c>
      <c r="N18" s="47">
        <f>Financing!N$17</f>
        <v>0</v>
      </c>
      <c r="O18" s="47">
        <f>Financing!O$17</f>
        <v>0</v>
      </c>
      <c r="P18" s="47">
        <f>Financing!P$17</f>
        <v>0</v>
      </c>
      <c r="Q18" s="47">
        <f>Financing!Q$17</f>
        <v>0</v>
      </c>
      <c r="R18" s="47">
        <f>Financing!R$17</f>
        <v>0</v>
      </c>
      <c r="S18" s="47">
        <f>Financing!S$17</f>
        <v>0</v>
      </c>
      <c r="T18" s="47">
        <f>Financing!T$17</f>
        <v>0</v>
      </c>
      <c r="U18" s="47">
        <f>Financing!U$17</f>
        <v>0</v>
      </c>
      <c r="V18" s="47">
        <f>Financing!V$17</f>
        <v>0</v>
      </c>
      <c r="W18" s="47">
        <f>Financing!W$17</f>
        <v>0</v>
      </c>
      <c r="X18" s="47">
        <f>Financing!X$17</f>
        <v>0</v>
      </c>
      <c r="Y18" s="47">
        <f>Financing!Y$17</f>
        <v>0</v>
      </c>
      <c r="Z18" s="47">
        <f>Financing!Z$17</f>
        <v>0</v>
      </c>
      <c r="AA18" s="47">
        <f>Financing!AA$17</f>
        <v>0</v>
      </c>
      <c r="AB18" s="47">
        <f>Financing!AB$17</f>
        <v>0</v>
      </c>
      <c r="AC18" s="47">
        <f>Financing!AC$17</f>
        <v>0</v>
      </c>
      <c r="AD18" s="47">
        <f>Financing!AD$17</f>
        <v>0</v>
      </c>
      <c r="AE18" s="47">
        <f>Financing!AE$17</f>
        <v>0</v>
      </c>
      <c r="AF18" s="47">
        <f>Financing!AF$17</f>
        <v>0</v>
      </c>
      <c r="AG18" s="47">
        <f>Financing!AG$17</f>
        <v>0</v>
      </c>
      <c r="AH18" s="47">
        <f>Financing!AH$17</f>
        <v>0</v>
      </c>
      <c r="AI18" s="47">
        <f>Financing!AI$17</f>
        <v>0</v>
      </c>
      <c r="AJ18" s="47">
        <f>Financing!AJ$17</f>
        <v>0</v>
      </c>
      <c r="AK18" s="47">
        <f>Financing!AK$17</f>
        <v>0</v>
      </c>
      <c r="AL18" s="47">
        <f>Financing!AL$17</f>
        <v>0</v>
      </c>
      <c r="AM18" s="47">
        <f>Financing!AM$17</f>
        <v>0</v>
      </c>
      <c r="AN18" s="47">
        <f>Financing!AN$17</f>
        <v>0</v>
      </c>
      <c r="AO18" s="47">
        <f>Financing!AO$17</f>
        <v>0</v>
      </c>
      <c r="AP18" s="47">
        <f>Financing!AP$17</f>
        <v>0</v>
      </c>
      <c r="AQ18" s="47">
        <f>Financing!AQ$17</f>
        <v>0</v>
      </c>
    </row>
    <row r="19" spans="5:43" s="18" customFormat="1">
      <c r="E19" s="18" t="s">
        <v>178</v>
      </c>
      <c r="G19" s="18" t="s">
        <v>42</v>
      </c>
      <c r="H19" s="47">
        <f>SUM(J19:AQ19)</f>
        <v>693617.54177521251</v>
      </c>
      <c r="I19" s="47"/>
      <c r="J19" s="47">
        <f>Financing!J$18</f>
        <v>0</v>
      </c>
      <c r="K19" s="47">
        <f>Financing!K$18</f>
        <v>0</v>
      </c>
      <c r="L19" s="47">
        <f>Financing!L$18</f>
        <v>0</v>
      </c>
      <c r="M19" s="47">
        <f>Financing!M$18</f>
        <v>693617.54177521251</v>
      </c>
      <c r="N19" s="47">
        <f>Financing!N$18</f>
        <v>0</v>
      </c>
      <c r="O19" s="47">
        <f>Financing!O$18</f>
        <v>0</v>
      </c>
      <c r="P19" s="47">
        <f>Financing!P$18</f>
        <v>0</v>
      </c>
      <c r="Q19" s="47">
        <f>Financing!Q$18</f>
        <v>0</v>
      </c>
      <c r="R19" s="47">
        <f>Financing!R$18</f>
        <v>0</v>
      </c>
      <c r="S19" s="47">
        <f>Financing!S$18</f>
        <v>0</v>
      </c>
      <c r="T19" s="47">
        <f>Financing!T$18</f>
        <v>0</v>
      </c>
      <c r="U19" s="47">
        <f>Financing!U$18</f>
        <v>0</v>
      </c>
      <c r="V19" s="47">
        <f>Financing!V$18</f>
        <v>0</v>
      </c>
      <c r="W19" s="47">
        <f>Financing!W$18</f>
        <v>0</v>
      </c>
      <c r="X19" s="47">
        <f>Financing!X$18</f>
        <v>0</v>
      </c>
      <c r="Y19" s="47">
        <f>Financing!Y$18</f>
        <v>0</v>
      </c>
      <c r="Z19" s="47">
        <f>Financing!Z$18</f>
        <v>0</v>
      </c>
      <c r="AA19" s="47">
        <f>Financing!AA$18</f>
        <v>0</v>
      </c>
      <c r="AB19" s="47">
        <f>Financing!AB$18</f>
        <v>0</v>
      </c>
      <c r="AC19" s="47">
        <f>Financing!AC$18</f>
        <v>0</v>
      </c>
      <c r="AD19" s="47">
        <f>Financing!AD$18</f>
        <v>0</v>
      </c>
      <c r="AE19" s="47">
        <f>Financing!AE$18</f>
        <v>0</v>
      </c>
      <c r="AF19" s="47">
        <f>Financing!AF$18</f>
        <v>0</v>
      </c>
      <c r="AG19" s="47">
        <f>Financing!AG$18</f>
        <v>0</v>
      </c>
      <c r="AH19" s="47">
        <f>Financing!AH$18</f>
        <v>0</v>
      </c>
      <c r="AI19" s="47">
        <f>Financing!AI$18</f>
        <v>0</v>
      </c>
      <c r="AJ19" s="47">
        <f>Financing!AJ$18</f>
        <v>0</v>
      </c>
      <c r="AK19" s="47">
        <f>Financing!AK$18</f>
        <v>0</v>
      </c>
      <c r="AL19" s="47">
        <f>Financing!AL$18</f>
        <v>0</v>
      </c>
      <c r="AM19" s="47">
        <f>Financing!AM$18</f>
        <v>0</v>
      </c>
      <c r="AN19" s="47">
        <f>Financing!AN$18</f>
        <v>0</v>
      </c>
      <c r="AO19" s="47">
        <f>Financing!AO$18</f>
        <v>0</v>
      </c>
      <c r="AP19" s="47">
        <f>Financing!AP$18</f>
        <v>0</v>
      </c>
      <c r="AQ19" s="47">
        <f>Financing!AQ$18</f>
        <v>0</v>
      </c>
    </row>
    <row r="20" spans="5:43" s="18" customFormat="1">
      <c r="E20" s="18" t="s">
        <v>194</v>
      </c>
      <c r="G20" s="18" t="s">
        <v>42</v>
      </c>
      <c r="H20" s="47">
        <f>SUM(J20:AQ20)</f>
        <v>0</v>
      </c>
      <c r="I20" s="47"/>
      <c r="J20" s="47">
        <f>Financing!J$19</f>
        <v>0</v>
      </c>
      <c r="K20" s="47">
        <f>Financing!K$19</f>
        <v>0</v>
      </c>
      <c r="L20" s="47">
        <f>Financing!L$19</f>
        <v>0</v>
      </c>
      <c r="M20" s="47">
        <f>Financing!M$19</f>
        <v>0</v>
      </c>
      <c r="N20" s="47">
        <f>Financing!N$19</f>
        <v>0</v>
      </c>
      <c r="O20" s="47">
        <f>Financing!O$19</f>
        <v>0</v>
      </c>
      <c r="P20" s="47">
        <f>Financing!P$19</f>
        <v>0</v>
      </c>
      <c r="Q20" s="47">
        <f>Financing!Q$19</f>
        <v>0</v>
      </c>
      <c r="R20" s="47">
        <f>Financing!R$19</f>
        <v>0</v>
      </c>
      <c r="S20" s="47">
        <f>Financing!S$19</f>
        <v>0</v>
      </c>
      <c r="T20" s="47">
        <f>Financing!T$19</f>
        <v>0</v>
      </c>
      <c r="U20" s="47">
        <f>Financing!U$19</f>
        <v>0</v>
      </c>
      <c r="V20" s="47">
        <f>Financing!V$19</f>
        <v>0</v>
      </c>
      <c r="W20" s="47">
        <f>Financing!W$19</f>
        <v>0</v>
      </c>
      <c r="X20" s="47">
        <f>Financing!X$19</f>
        <v>0</v>
      </c>
      <c r="Y20" s="47">
        <f>Financing!Y$19</f>
        <v>0</v>
      </c>
      <c r="Z20" s="47">
        <f>Financing!Z$19</f>
        <v>0</v>
      </c>
      <c r="AA20" s="47">
        <f>Financing!AA$19</f>
        <v>0</v>
      </c>
      <c r="AB20" s="47">
        <f>Financing!AB$19</f>
        <v>0</v>
      </c>
      <c r="AC20" s="47">
        <f>Financing!AC$19</f>
        <v>0</v>
      </c>
      <c r="AD20" s="47">
        <f>Financing!AD$19</f>
        <v>0</v>
      </c>
      <c r="AE20" s="47">
        <f>Financing!AE$19</f>
        <v>0</v>
      </c>
      <c r="AF20" s="47">
        <f>Financing!AF$19</f>
        <v>0</v>
      </c>
      <c r="AG20" s="47">
        <f>Financing!AG$19</f>
        <v>0</v>
      </c>
      <c r="AH20" s="47">
        <f>Financing!AH$19</f>
        <v>0</v>
      </c>
      <c r="AI20" s="47">
        <f>Financing!AI$19</f>
        <v>0</v>
      </c>
      <c r="AJ20" s="47">
        <f>Financing!AJ$19</f>
        <v>0</v>
      </c>
      <c r="AK20" s="47">
        <f>Financing!AK$19</f>
        <v>0</v>
      </c>
      <c r="AL20" s="47">
        <f>Financing!AL$19</f>
        <v>0</v>
      </c>
      <c r="AM20" s="47">
        <f>Financing!AM$19</f>
        <v>0</v>
      </c>
      <c r="AN20" s="47">
        <f>Financing!AN$19</f>
        <v>0</v>
      </c>
      <c r="AO20" s="47">
        <f>Financing!AO$19</f>
        <v>0</v>
      </c>
      <c r="AP20" s="47">
        <f>Financing!AP$19</f>
        <v>0</v>
      </c>
      <c r="AQ20" s="47">
        <f>Financing!AQ$19</f>
        <v>0</v>
      </c>
    </row>
    <row r="21" spans="5:43" s="18" customFormat="1">
      <c r="H21" s="47"/>
      <c r="I21" s="47"/>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row>
    <row r="22" spans="5:43" s="18" customFormat="1">
      <c r="E22" s="1" t="s">
        <v>74</v>
      </c>
      <c r="G22" s="18" t="s">
        <v>42</v>
      </c>
      <c r="H22" s="48">
        <f>SUM(J22:AQ22)</f>
        <v>12245615.340398878</v>
      </c>
      <c r="I22" s="47"/>
      <c r="J22" s="48">
        <f t="shared" ref="J22:AO22" si="2">SUM(J13:J20)</f>
        <v>5.4569682106375694E-11</v>
      </c>
      <c r="K22" s="48">
        <f t="shared" si="2"/>
        <v>0</v>
      </c>
      <c r="L22" s="48">
        <f t="shared" si="2"/>
        <v>-2.9103830456733704E-11</v>
      </c>
      <c r="M22" s="48">
        <f t="shared" si="2"/>
        <v>424156.27215653041</v>
      </c>
      <c r="N22" s="48">
        <f t="shared" si="2"/>
        <v>438154.99979536794</v>
      </c>
      <c r="O22" s="48">
        <f t="shared" si="2"/>
        <v>451237.88303735614</v>
      </c>
      <c r="P22" s="48">
        <f t="shared" si="2"/>
        <v>463561.18501166161</v>
      </c>
      <c r="Q22" s="48">
        <f t="shared" si="2"/>
        <v>479418.21709994471</v>
      </c>
      <c r="R22" s="48">
        <f t="shared" si="2"/>
        <v>503676.5211293443</v>
      </c>
      <c r="S22" s="48">
        <f t="shared" si="2"/>
        <v>526569.82306128182</v>
      </c>
      <c r="T22" s="48">
        <f t="shared" si="2"/>
        <v>546394.18258398678</v>
      </c>
      <c r="U22" s="48">
        <f t="shared" si="2"/>
        <v>519814.60581489094</v>
      </c>
      <c r="V22" s="48">
        <f t="shared" si="2"/>
        <v>544419.22675533488</v>
      </c>
      <c r="W22" s="48">
        <f t="shared" si="2"/>
        <v>565573.38371571549</v>
      </c>
      <c r="X22" s="48">
        <f t="shared" si="2"/>
        <v>580168.4287665796</v>
      </c>
      <c r="Y22" s="48">
        <f t="shared" si="2"/>
        <v>601802.46412332286</v>
      </c>
      <c r="Z22" s="48">
        <f t="shared" si="2"/>
        <v>550697.47364642355</v>
      </c>
      <c r="AA22" s="48">
        <f t="shared" si="2"/>
        <v>564245.32860163238</v>
      </c>
      <c r="AB22" s="48">
        <f t="shared" si="2"/>
        <v>581579.70242140244</v>
      </c>
      <c r="AC22" s="48">
        <f t="shared" si="2"/>
        <v>611896.87660571374</v>
      </c>
      <c r="AD22" s="48">
        <f t="shared" si="2"/>
        <v>626898.91417279164</v>
      </c>
      <c r="AE22" s="48">
        <f t="shared" si="2"/>
        <v>642276.00267904648</v>
      </c>
      <c r="AF22" s="48">
        <f t="shared" si="2"/>
        <v>658037.51839795755</v>
      </c>
      <c r="AG22" s="48">
        <f t="shared" si="2"/>
        <v>674237.88403489371</v>
      </c>
      <c r="AH22" s="48">
        <f t="shared" si="2"/>
        <v>690798.44678770099</v>
      </c>
      <c r="AI22" s="48">
        <f t="shared" si="2"/>
        <v>0</v>
      </c>
      <c r="AJ22" s="48">
        <f t="shared" si="2"/>
        <v>0</v>
      </c>
      <c r="AK22" s="48">
        <f t="shared" si="2"/>
        <v>0</v>
      </c>
      <c r="AL22" s="48">
        <f t="shared" si="2"/>
        <v>0</v>
      </c>
      <c r="AM22" s="48">
        <f t="shared" si="2"/>
        <v>0</v>
      </c>
      <c r="AN22" s="48">
        <f t="shared" si="2"/>
        <v>0</v>
      </c>
      <c r="AO22" s="48">
        <f t="shared" si="2"/>
        <v>0</v>
      </c>
      <c r="AP22" s="48">
        <f t="shared" ref="AP22:AQ22" si="3">SUM(AP13:AP20)</f>
        <v>0</v>
      </c>
      <c r="AQ22" s="48">
        <f t="shared" si="3"/>
        <v>0</v>
      </c>
    </row>
    <row r="23" spans="5:43" s="18" customFormat="1">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row>
    <row r="24" spans="5:43" s="18" customFormat="1">
      <c r="E24" s="18" t="s">
        <v>205</v>
      </c>
      <c r="G24" s="18" t="s">
        <v>42</v>
      </c>
      <c r="H24" s="47">
        <f>SUM(J24:AQ24)</f>
        <v>-968613.32953147555</v>
      </c>
      <c r="I24" s="47"/>
      <c r="J24" s="47">
        <f>Financing!J$37</f>
        <v>0</v>
      </c>
      <c r="K24" s="47">
        <f>Financing!K$37</f>
        <v>0</v>
      </c>
      <c r="L24" s="47">
        <f>Financing!L$37</f>
        <v>0</v>
      </c>
      <c r="M24" s="47">
        <f>Financing!M$37</f>
        <v>-110978.806684034</v>
      </c>
      <c r="N24" s="47">
        <f>Financing!N$37</f>
        <v>-105436.40296037585</v>
      </c>
      <c r="O24" s="47">
        <f>Financing!O$37</f>
        <v>-99672.303087771346</v>
      </c>
      <c r="P24" s="47">
        <f>Financing!P$37</f>
        <v>-93677.639220262674</v>
      </c>
      <c r="Q24" s="47">
        <f>Financing!Q$37</f>
        <v>-87443.188798053656</v>
      </c>
      <c r="R24" s="47">
        <f>Financing!R$37</f>
        <v>-80959.36035895627</v>
      </c>
      <c r="S24" s="47">
        <f>Financing!S$37</f>
        <v>-74216.178782294985</v>
      </c>
      <c r="T24" s="47">
        <f>Financing!T$37</f>
        <v>-67203.269942567262</v>
      </c>
      <c r="U24" s="47">
        <f>Financing!U$37</f>
        <v>-59909.844749250413</v>
      </c>
      <c r="V24" s="47">
        <f>Financing!V$37</f>
        <v>-52324.682548200901</v>
      </c>
      <c r="W24" s="47">
        <f>Financing!W$37</f>
        <v>-44436.113859109406</v>
      </c>
      <c r="X24" s="47">
        <f>Financing!X$37</f>
        <v>-36232.002422454243</v>
      </c>
      <c r="Y24" s="47">
        <f>Financing!Y$37</f>
        <v>-27699.726528332878</v>
      </c>
      <c r="Z24" s="47">
        <f>Financing!Z$37</f>
        <v>-18826.159598446648</v>
      </c>
      <c r="AA24" s="47">
        <f>Financing!AA$37</f>
        <v>-9597.6499913649714</v>
      </c>
      <c r="AB24" s="47">
        <f>Financing!AB$37</f>
        <v>-9.3132257461547854E-12</v>
      </c>
      <c r="AC24" s="47">
        <f>Financing!AC$37</f>
        <v>-9.3132257461547854E-12</v>
      </c>
      <c r="AD24" s="47">
        <f>Financing!AD$37</f>
        <v>-9.3132257461547854E-12</v>
      </c>
      <c r="AE24" s="47">
        <f>Financing!AE$37</f>
        <v>-9.3132257461547854E-12</v>
      </c>
      <c r="AF24" s="47">
        <f>Financing!AF$37</f>
        <v>-9.3132257461547854E-12</v>
      </c>
      <c r="AG24" s="47">
        <f>Financing!AG$37</f>
        <v>-9.3132257461547854E-12</v>
      </c>
      <c r="AH24" s="47">
        <f>Financing!AH$37</f>
        <v>-9.3132257461547854E-12</v>
      </c>
      <c r="AI24" s="47">
        <f>Financing!AI$37</f>
        <v>-9.3132257461547854E-12</v>
      </c>
      <c r="AJ24" s="47">
        <f>Financing!AJ$37</f>
        <v>-9.3132257461547854E-12</v>
      </c>
      <c r="AK24" s="47">
        <f>Financing!AK$37</f>
        <v>-9.3132257461547854E-12</v>
      </c>
      <c r="AL24" s="47">
        <f>Financing!AL$37</f>
        <v>-9.3132257461547854E-12</v>
      </c>
      <c r="AM24" s="47">
        <f>Financing!AM$37</f>
        <v>-9.3132257461547854E-12</v>
      </c>
      <c r="AN24" s="47">
        <f>Financing!AN$37</f>
        <v>-9.3132257461547854E-12</v>
      </c>
      <c r="AO24" s="47">
        <f>Financing!AO$37</f>
        <v>-9.3132257461547854E-12</v>
      </c>
      <c r="AP24" s="47">
        <f>Financing!AP$37</f>
        <v>-9.3132257461547854E-12</v>
      </c>
      <c r="AQ24" s="47">
        <f>Financing!AQ$37</f>
        <v>-9.3132257461547854E-12</v>
      </c>
    </row>
    <row r="25" spans="5:43" s="18" customFormat="1">
      <c r="E25" s="18" t="s">
        <v>206</v>
      </c>
      <c r="G25" s="18" t="s">
        <v>42</v>
      </c>
      <c r="H25" s="47">
        <f>SUM(J25:AQ25)</f>
        <v>-248786.45009318666</v>
      </c>
      <c r="I25" s="47"/>
      <c r="J25" s="47">
        <f>Financing!J$58</f>
        <v>0</v>
      </c>
      <c r="K25" s="47">
        <f>Financing!K$58</f>
        <v>0</v>
      </c>
      <c r="L25" s="47">
        <f>Financing!L$58</f>
        <v>0</v>
      </c>
      <c r="M25" s="47">
        <f>Financing!M$58</f>
        <v>-41617.052506512751</v>
      </c>
      <c r="N25" s="47">
        <f>Financing!N$58</f>
        <v>-38459.651705693126</v>
      </c>
      <c r="O25" s="47">
        <f>Financing!O$58</f>
        <v>-35112.806856824318</v>
      </c>
      <c r="P25" s="47">
        <f>Financing!P$58</f>
        <v>-31565.151317023392</v>
      </c>
      <c r="Q25" s="47">
        <f>Financing!Q$58</f>
        <v>-27804.636444834407</v>
      </c>
      <c r="R25" s="47">
        <f>Financing!R$58</f>
        <v>-23818.490680314077</v>
      </c>
      <c r="S25" s="47">
        <f>Financing!S$58</f>
        <v>-19593.176169922532</v>
      </c>
      <c r="T25" s="47">
        <f>Financing!T$58</f>
        <v>-15114.342788907488</v>
      </c>
      <c r="U25" s="47">
        <f>Financing!U$58</f>
        <v>-10366.779405031541</v>
      </c>
      <c r="V25" s="47">
        <f>Financing!V$58</f>
        <v>-5334.3622181230321</v>
      </c>
      <c r="W25" s="47">
        <f>Financing!W$58</f>
        <v>0</v>
      </c>
      <c r="X25" s="47">
        <f>Financing!X$58</f>
        <v>0</v>
      </c>
      <c r="Y25" s="47">
        <f>Financing!Y$58</f>
        <v>0</v>
      </c>
      <c r="Z25" s="47">
        <f>Financing!Z$58</f>
        <v>0</v>
      </c>
      <c r="AA25" s="47">
        <f>Financing!AA$58</f>
        <v>0</v>
      </c>
      <c r="AB25" s="47">
        <f>Financing!AB$58</f>
        <v>0</v>
      </c>
      <c r="AC25" s="47">
        <f>Financing!AC$58</f>
        <v>0</v>
      </c>
      <c r="AD25" s="47">
        <f>Financing!AD$58</f>
        <v>0</v>
      </c>
      <c r="AE25" s="47">
        <f>Financing!AE$58</f>
        <v>0</v>
      </c>
      <c r="AF25" s="47">
        <f>Financing!AF$58</f>
        <v>0</v>
      </c>
      <c r="AG25" s="47">
        <f>Financing!AG$58</f>
        <v>0</v>
      </c>
      <c r="AH25" s="47">
        <f>Financing!AH$58</f>
        <v>0</v>
      </c>
      <c r="AI25" s="47">
        <f>Financing!AI$58</f>
        <v>0</v>
      </c>
      <c r="AJ25" s="47">
        <f>Financing!AJ$58</f>
        <v>0</v>
      </c>
      <c r="AK25" s="47">
        <f>Financing!AK$58</f>
        <v>0</v>
      </c>
      <c r="AL25" s="47">
        <f>Financing!AL$58</f>
        <v>0</v>
      </c>
      <c r="AM25" s="47">
        <f>Financing!AM$58</f>
        <v>0</v>
      </c>
      <c r="AN25" s="47">
        <f>Financing!AN$58</f>
        <v>0</v>
      </c>
      <c r="AO25" s="47">
        <f>Financing!AO$58</f>
        <v>0</v>
      </c>
      <c r="AP25" s="47">
        <f>Financing!AP$58</f>
        <v>0</v>
      </c>
      <c r="AQ25" s="47">
        <f>Financing!AQ$58</f>
        <v>0</v>
      </c>
    </row>
    <row r="26" spans="5:43" s="18" customFormat="1">
      <c r="E26" s="18" t="s">
        <v>207</v>
      </c>
      <c r="G26" s="18" t="s">
        <v>42</v>
      </c>
      <c r="H26" s="47">
        <f>SUM(J26:AQ26)</f>
        <v>0</v>
      </c>
      <c r="I26" s="47"/>
      <c r="J26" s="47">
        <f>Financing!J$79</f>
        <v>0</v>
      </c>
      <c r="K26" s="47">
        <f>Financing!K$79</f>
        <v>0</v>
      </c>
      <c r="L26" s="47">
        <f>Financing!L$79</f>
        <v>0</v>
      </c>
      <c r="M26" s="47">
        <f>Financing!M$79</f>
        <v>0</v>
      </c>
      <c r="N26" s="47">
        <f>Financing!N$79</f>
        <v>0</v>
      </c>
      <c r="O26" s="47">
        <f>Financing!O$79</f>
        <v>0</v>
      </c>
      <c r="P26" s="47">
        <f>Financing!P$79</f>
        <v>0</v>
      </c>
      <c r="Q26" s="47">
        <f>Financing!Q$79</f>
        <v>0</v>
      </c>
      <c r="R26" s="47">
        <f>Financing!R$79</f>
        <v>0</v>
      </c>
      <c r="S26" s="47">
        <f>Financing!S$79</f>
        <v>0</v>
      </c>
      <c r="T26" s="47">
        <f>Financing!T$79</f>
        <v>0</v>
      </c>
      <c r="U26" s="47">
        <f>Financing!U$79</f>
        <v>0</v>
      </c>
      <c r="V26" s="47">
        <f>Financing!V$79</f>
        <v>0</v>
      </c>
      <c r="W26" s="47">
        <f>Financing!W$79</f>
        <v>0</v>
      </c>
      <c r="X26" s="47">
        <f>Financing!X$79</f>
        <v>0</v>
      </c>
      <c r="Y26" s="47">
        <f>Financing!Y$79</f>
        <v>0</v>
      </c>
      <c r="Z26" s="47">
        <f>Financing!Z$79</f>
        <v>0</v>
      </c>
      <c r="AA26" s="47">
        <f>Financing!AA$79</f>
        <v>0</v>
      </c>
      <c r="AB26" s="47">
        <f>Financing!AB$79</f>
        <v>0</v>
      </c>
      <c r="AC26" s="47">
        <f>Financing!AC$79</f>
        <v>0</v>
      </c>
      <c r="AD26" s="47">
        <f>Financing!AD$79</f>
        <v>0</v>
      </c>
      <c r="AE26" s="47">
        <f>Financing!AE$79</f>
        <v>0</v>
      </c>
      <c r="AF26" s="47">
        <f>Financing!AF$79</f>
        <v>0</v>
      </c>
      <c r="AG26" s="47">
        <f>Financing!AG$79</f>
        <v>0</v>
      </c>
      <c r="AH26" s="47">
        <f>Financing!AH$79</f>
        <v>0</v>
      </c>
      <c r="AI26" s="47">
        <f>Financing!AI$79</f>
        <v>0</v>
      </c>
      <c r="AJ26" s="47">
        <f>Financing!AJ$79</f>
        <v>0</v>
      </c>
      <c r="AK26" s="47">
        <f>Financing!AK$79</f>
        <v>0</v>
      </c>
      <c r="AL26" s="47">
        <f>Financing!AL$79</f>
        <v>0</v>
      </c>
      <c r="AM26" s="47">
        <f>Financing!AM$79</f>
        <v>0</v>
      </c>
      <c r="AN26" s="47">
        <f>Financing!AN$79</f>
        <v>0</v>
      </c>
      <c r="AO26" s="47">
        <f>Financing!AO$79</f>
        <v>0</v>
      </c>
      <c r="AP26" s="47">
        <f>Financing!AP$79</f>
        <v>0</v>
      </c>
      <c r="AQ26" s="47">
        <f>Financing!AQ$79</f>
        <v>0</v>
      </c>
    </row>
    <row r="27" spans="5:43" s="18" customFormat="1">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row>
    <row r="28" spans="5:43" s="18" customFormat="1">
      <c r="E28" s="18" t="s">
        <v>208</v>
      </c>
      <c r="G28" s="18" t="s">
        <v>42</v>
      </c>
      <c r="H28" s="47">
        <f>SUM(J28:AQ28)</f>
        <v>-2774470.1671008496</v>
      </c>
      <c r="I28" s="47"/>
      <c r="J28" s="47">
        <f>Financing!J$33</f>
        <v>0</v>
      </c>
      <c r="K28" s="47">
        <f>Financing!K$33</f>
        <v>0</v>
      </c>
      <c r="L28" s="47">
        <f>Financing!L$33</f>
        <v>0</v>
      </c>
      <c r="M28" s="47">
        <f>Financing!M$33</f>
        <v>-138560.09309145412</v>
      </c>
      <c r="N28" s="47">
        <f>Financing!N$33</f>
        <v>-144102.49681511233</v>
      </c>
      <c r="O28" s="47">
        <f>Financing!O$33</f>
        <v>-149866.59668771684</v>
      </c>
      <c r="P28" s="47">
        <f>Financing!P$33</f>
        <v>-155861.26055522548</v>
      </c>
      <c r="Q28" s="47">
        <f>Financing!Q$33</f>
        <v>-162095.71097743459</v>
      </c>
      <c r="R28" s="47">
        <f>Financing!R$33</f>
        <v>-168579.53941653194</v>
      </c>
      <c r="S28" s="47">
        <f>Financing!S$33</f>
        <v>-175322.72099319322</v>
      </c>
      <c r="T28" s="47">
        <f>Financing!T$33</f>
        <v>-182335.62983292103</v>
      </c>
      <c r="U28" s="47">
        <f>Financing!U$33</f>
        <v>-189629.05502623794</v>
      </c>
      <c r="V28" s="47">
        <f>Financing!V$33</f>
        <v>-197214.21722728742</v>
      </c>
      <c r="W28" s="47">
        <f>Financing!W$33</f>
        <v>-205102.7859163789</v>
      </c>
      <c r="X28" s="47">
        <f>Financing!X$33</f>
        <v>-213306.89735303423</v>
      </c>
      <c r="Y28" s="47">
        <f>Financing!Y$33</f>
        <v>-221839.17324715576</v>
      </c>
      <c r="Z28" s="47">
        <f>Financing!Z$33</f>
        <v>-230712.74017704191</v>
      </c>
      <c r="AA28" s="47">
        <f>Financing!AA$33</f>
        <v>-239941.24978412403</v>
      </c>
      <c r="AB28" s="47">
        <f>Financing!AB$33</f>
        <v>0</v>
      </c>
      <c r="AC28" s="47">
        <f>Financing!AC$33</f>
        <v>0</v>
      </c>
      <c r="AD28" s="47">
        <f>Financing!AD$33</f>
        <v>0</v>
      </c>
      <c r="AE28" s="47">
        <f>Financing!AE$33</f>
        <v>0</v>
      </c>
      <c r="AF28" s="47">
        <f>Financing!AF$33</f>
        <v>0</v>
      </c>
      <c r="AG28" s="47">
        <f>Financing!AG$33</f>
        <v>0</v>
      </c>
      <c r="AH28" s="47">
        <f>Financing!AH$33</f>
        <v>0</v>
      </c>
      <c r="AI28" s="47">
        <f>Financing!AI$33</f>
        <v>0</v>
      </c>
      <c r="AJ28" s="47">
        <f>Financing!AJ$33</f>
        <v>0</v>
      </c>
      <c r="AK28" s="47">
        <f>Financing!AK$33</f>
        <v>0</v>
      </c>
      <c r="AL28" s="47">
        <f>Financing!AL$33</f>
        <v>0</v>
      </c>
      <c r="AM28" s="47">
        <f>Financing!AM$33</f>
        <v>0</v>
      </c>
      <c r="AN28" s="47">
        <f>Financing!AN$33</f>
        <v>0</v>
      </c>
      <c r="AO28" s="47">
        <f>Financing!AO$33</f>
        <v>0</v>
      </c>
      <c r="AP28" s="47">
        <f>Financing!AP$33</f>
        <v>0</v>
      </c>
      <c r="AQ28" s="47">
        <f>Financing!AQ$33</f>
        <v>0</v>
      </c>
    </row>
    <row r="29" spans="5:43" s="18" customFormat="1">
      <c r="E29" s="18" t="s">
        <v>209</v>
      </c>
      <c r="G29" s="18" t="s">
        <v>42</v>
      </c>
      <c r="H29" s="47">
        <f>SUM(J29:AQ29)</f>
        <v>-693617.54177521239</v>
      </c>
      <c r="I29" s="47"/>
      <c r="J29" s="47">
        <f>Financing!J54</f>
        <v>0</v>
      </c>
      <c r="K29" s="47">
        <f>Financing!K54</f>
        <v>0</v>
      </c>
      <c r="L29" s="47">
        <f>Financing!L54</f>
        <v>0</v>
      </c>
      <c r="M29" s="47">
        <f>Financing!M54</f>
        <v>-52623.346680327079</v>
      </c>
      <c r="N29" s="47">
        <f>Financing!N54</f>
        <v>-55780.747481146718</v>
      </c>
      <c r="O29" s="47">
        <f>Financing!O54</f>
        <v>-59127.592330015512</v>
      </c>
      <c r="P29" s="47">
        <f>Financing!P54</f>
        <v>-62675.247869816434</v>
      </c>
      <c r="Q29" s="47">
        <f>Financing!Q54</f>
        <v>-66435.762742005478</v>
      </c>
      <c r="R29" s="47">
        <f>Financing!R54</f>
        <v>-70421.908506525797</v>
      </c>
      <c r="S29" s="47">
        <f>Financing!S54</f>
        <v>-74647.223016917385</v>
      </c>
      <c r="T29" s="47">
        <f>Financing!T54</f>
        <v>-79126.056397932465</v>
      </c>
      <c r="U29" s="47">
        <f>Financing!U54</f>
        <v>-83873.619781808462</v>
      </c>
      <c r="V29" s="47">
        <f>Financing!V54</f>
        <v>-88906.036968717119</v>
      </c>
      <c r="W29" s="47">
        <f>Financing!W54</f>
        <v>0</v>
      </c>
      <c r="X29" s="47">
        <f>Financing!X54</f>
        <v>0</v>
      </c>
      <c r="Y29" s="47">
        <f>Financing!Y54</f>
        <v>0</v>
      </c>
      <c r="Z29" s="47">
        <f>Financing!Z54</f>
        <v>0</v>
      </c>
      <c r="AA29" s="47">
        <f>Financing!AA54</f>
        <v>0</v>
      </c>
      <c r="AB29" s="47">
        <f>Financing!AB54</f>
        <v>0</v>
      </c>
      <c r="AC29" s="47">
        <f>Financing!AC54</f>
        <v>0</v>
      </c>
      <c r="AD29" s="47">
        <f>Financing!AD54</f>
        <v>0</v>
      </c>
      <c r="AE29" s="47">
        <f>Financing!AE54</f>
        <v>0</v>
      </c>
      <c r="AF29" s="47">
        <f>Financing!AF54</f>
        <v>0</v>
      </c>
      <c r="AG29" s="47">
        <f>Financing!AG54</f>
        <v>0</v>
      </c>
      <c r="AH29" s="47">
        <f>Financing!AH54</f>
        <v>0</v>
      </c>
      <c r="AI29" s="47">
        <f>Financing!AI54</f>
        <v>0</v>
      </c>
      <c r="AJ29" s="47">
        <f>Financing!AJ54</f>
        <v>0</v>
      </c>
      <c r="AK29" s="47">
        <f>Financing!AK54</f>
        <v>0</v>
      </c>
      <c r="AL29" s="47">
        <f>Financing!AL54</f>
        <v>0</v>
      </c>
      <c r="AM29" s="47">
        <f>Financing!AM54</f>
        <v>0</v>
      </c>
      <c r="AN29" s="47">
        <f>Financing!AN54</f>
        <v>0</v>
      </c>
      <c r="AO29" s="47">
        <f>Financing!AO54</f>
        <v>0</v>
      </c>
      <c r="AP29" s="47">
        <f>Financing!AP54</f>
        <v>0</v>
      </c>
      <c r="AQ29" s="47">
        <f>Financing!AQ54</f>
        <v>0</v>
      </c>
    </row>
    <row r="30" spans="5:43" s="18" customFormat="1">
      <c r="E30" s="18" t="s">
        <v>210</v>
      </c>
      <c r="G30" s="18" t="s">
        <v>42</v>
      </c>
      <c r="H30" s="47">
        <f>SUM(J30:AQ30)</f>
        <v>0</v>
      </c>
      <c r="I30" s="47"/>
      <c r="J30" s="47">
        <f>Financing!J75</f>
        <v>0</v>
      </c>
      <c r="K30" s="47">
        <f>Financing!K75</f>
        <v>0</v>
      </c>
      <c r="L30" s="47">
        <f>Financing!L75</f>
        <v>0</v>
      </c>
      <c r="M30" s="47">
        <f>Financing!M75</f>
        <v>0</v>
      </c>
      <c r="N30" s="47">
        <f>Financing!N75</f>
        <v>0</v>
      </c>
      <c r="O30" s="47">
        <f>Financing!O75</f>
        <v>0</v>
      </c>
      <c r="P30" s="47">
        <f>Financing!P75</f>
        <v>0</v>
      </c>
      <c r="Q30" s="47">
        <f>Financing!Q75</f>
        <v>0</v>
      </c>
      <c r="R30" s="47">
        <f>Financing!R75</f>
        <v>0</v>
      </c>
      <c r="S30" s="47">
        <f>Financing!S75</f>
        <v>0</v>
      </c>
      <c r="T30" s="47">
        <f>Financing!T75</f>
        <v>0</v>
      </c>
      <c r="U30" s="47">
        <f>Financing!U75</f>
        <v>0</v>
      </c>
      <c r="V30" s="47">
        <f>Financing!V75</f>
        <v>0</v>
      </c>
      <c r="W30" s="47">
        <f>Financing!W75</f>
        <v>0</v>
      </c>
      <c r="X30" s="47">
        <f>Financing!X75</f>
        <v>0</v>
      </c>
      <c r="Y30" s="47">
        <f>Financing!Y75</f>
        <v>0</v>
      </c>
      <c r="Z30" s="47">
        <f>Financing!Z75</f>
        <v>0</v>
      </c>
      <c r="AA30" s="47">
        <f>Financing!AA75</f>
        <v>0</v>
      </c>
      <c r="AB30" s="47">
        <f>Financing!AB75</f>
        <v>0</v>
      </c>
      <c r="AC30" s="47">
        <f>Financing!AC75</f>
        <v>0</v>
      </c>
      <c r="AD30" s="47">
        <f>Financing!AD75</f>
        <v>0</v>
      </c>
      <c r="AE30" s="47">
        <f>Financing!AE75</f>
        <v>0</v>
      </c>
      <c r="AF30" s="47">
        <f>Financing!AF75</f>
        <v>0</v>
      </c>
      <c r="AG30" s="47">
        <f>Financing!AG75</f>
        <v>0</v>
      </c>
      <c r="AH30" s="47">
        <f>Financing!AH75</f>
        <v>0</v>
      </c>
      <c r="AI30" s="47">
        <f>Financing!AI75</f>
        <v>0</v>
      </c>
      <c r="AJ30" s="47">
        <f>Financing!AJ75</f>
        <v>0</v>
      </c>
      <c r="AK30" s="47">
        <f>Financing!AK75</f>
        <v>0</v>
      </c>
      <c r="AL30" s="47">
        <f>Financing!AL75</f>
        <v>0</v>
      </c>
      <c r="AM30" s="47">
        <f>Financing!AM75</f>
        <v>0</v>
      </c>
      <c r="AN30" s="47">
        <f>Financing!AN75</f>
        <v>0</v>
      </c>
      <c r="AO30" s="47">
        <f>Financing!AO75</f>
        <v>0</v>
      </c>
      <c r="AP30" s="47">
        <f>Financing!AP75</f>
        <v>0</v>
      </c>
      <c r="AQ30" s="47">
        <f>Financing!AQ75</f>
        <v>0</v>
      </c>
    </row>
    <row r="31" spans="5:43" s="18" customFormat="1">
      <c r="H31" s="47"/>
      <c r="I31" s="47"/>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row>
    <row r="32" spans="5:43" s="18" customFormat="1">
      <c r="E32" s="1" t="s">
        <v>75</v>
      </c>
      <c r="G32" s="18" t="s">
        <v>42</v>
      </c>
      <c r="H32" s="48">
        <f>SUM(J32:AQ32)</f>
        <v>7560127.8518981561</v>
      </c>
      <c r="I32" s="47"/>
      <c r="J32" s="48">
        <f>SUM(J22:J31)</f>
        <v>5.4569682106375694E-11</v>
      </c>
      <c r="K32" s="48">
        <f t="shared" ref="K32:AQ32" si="4">SUM(K22:K31)</f>
        <v>0</v>
      </c>
      <c r="L32" s="48">
        <f t="shared" si="4"/>
        <v>-2.9103830456733704E-11</v>
      </c>
      <c r="M32" s="48">
        <f t="shared" si="4"/>
        <v>80376.973194202466</v>
      </c>
      <c r="N32" s="48">
        <f t="shared" si="4"/>
        <v>94375.700833039911</v>
      </c>
      <c r="O32" s="48">
        <f t="shared" si="4"/>
        <v>107458.58407502812</v>
      </c>
      <c r="P32" s="48">
        <f t="shared" si="4"/>
        <v>119781.88604933367</v>
      </c>
      <c r="Q32" s="48">
        <f t="shared" si="4"/>
        <v>135638.91813761659</v>
      </c>
      <c r="R32" s="48">
        <f t="shared" si="4"/>
        <v>159897.22216701621</v>
      </c>
      <c r="S32" s="48">
        <f t="shared" si="4"/>
        <v>182790.52409895373</v>
      </c>
      <c r="T32" s="48">
        <f t="shared" si="4"/>
        <v>202614.88362165855</v>
      </c>
      <c r="U32" s="48">
        <f t="shared" si="4"/>
        <v>176035.30685256261</v>
      </c>
      <c r="V32" s="48">
        <f t="shared" si="4"/>
        <v>200639.92779300641</v>
      </c>
      <c r="W32" s="48">
        <f t="shared" si="4"/>
        <v>316034.48394022719</v>
      </c>
      <c r="X32" s="48">
        <f t="shared" si="4"/>
        <v>330629.52899109107</v>
      </c>
      <c r="Y32" s="48">
        <f t="shared" si="4"/>
        <v>352263.56434783421</v>
      </c>
      <c r="Z32" s="48">
        <f t="shared" si="4"/>
        <v>301158.57387093495</v>
      </c>
      <c r="AA32" s="48">
        <f t="shared" si="4"/>
        <v>314706.42882614344</v>
      </c>
      <c r="AB32" s="48">
        <f t="shared" si="4"/>
        <v>581579.70242140244</v>
      </c>
      <c r="AC32" s="48">
        <f t="shared" si="4"/>
        <v>611896.87660571374</v>
      </c>
      <c r="AD32" s="48">
        <f t="shared" si="4"/>
        <v>626898.91417279164</v>
      </c>
      <c r="AE32" s="48">
        <f t="shared" si="4"/>
        <v>642276.00267904648</v>
      </c>
      <c r="AF32" s="48">
        <f t="shared" si="4"/>
        <v>658037.51839795755</v>
      </c>
      <c r="AG32" s="48">
        <f t="shared" si="4"/>
        <v>674237.88403489371</v>
      </c>
      <c r="AH32" s="48">
        <f t="shared" si="4"/>
        <v>690798.44678770099</v>
      </c>
      <c r="AI32" s="48">
        <f t="shared" si="4"/>
        <v>-9.3132257461547854E-12</v>
      </c>
      <c r="AJ32" s="48">
        <f t="shared" si="4"/>
        <v>-9.3132257461547854E-12</v>
      </c>
      <c r="AK32" s="48">
        <f t="shared" si="4"/>
        <v>-9.3132257461547854E-12</v>
      </c>
      <c r="AL32" s="48">
        <f t="shared" si="4"/>
        <v>-9.3132257461547854E-12</v>
      </c>
      <c r="AM32" s="48">
        <f t="shared" si="4"/>
        <v>-9.3132257461547854E-12</v>
      </c>
      <c r="AN32" s="48">
        <f t="shared" si="4"/>
        <v>-9.3132257461547854E-12</v>
      </c>
      <c r="AO32" s="48">
        <f t="shared" si="4"/>
        <v>-9.3132257461547854E-12</v>
      </c>
      <c r="AP32" s="48">
        <f t="shared" si="4"/>
        <v>-9.3132257461547854E-12</v>
      </c>
      <c r="AQ32" s="48">
        <f t="shared" si="4"/>
        <v>-9.3132257461547854E-12</v>
      </c>
    </row>
    <row r="33" spans="4:49" s="18" customFormat="1">
      <c r="E33" s="1"/>
      <c r="H33" s="47"/>
      <c r="I33" s="47"/>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1"/>
      <c r="AS33" s="1"/>
      <c r="AT33" s="1"/>
      <c r="AU33" s="1"/>
      <c r="AV33" s="1"/>
      <c r="AW33" s="1"/>
    </row>
    <row r="34" spans="4:49" s="18" customFormat="1">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row>
    <row r="35" spans="4:49" s="18" customFormat="1">
      <c r="E35" s="18" t="s">
        <v>78</v>
      </c>
      <c r="G35" s="18" t="s">
        <v>42</v>
      </c>
      <c r="H35" s="47"/>
      <c r="I35" s="47"/>
      <c r="J35" s="48">
        <f>SUM($J22:J$22)</f>
        <v>5.4569682106375694E-11</v>
      </c>
      <c r="K35" s="48">
        <f>SUM($J22:K$22)</f>
        <v>5.4569682106375694E-11</v>
      </c>
      <c r="L35" s="48">
        <f>SUM($J22:L$22)</f>
        <v>2.5465851649641991E-11</v>
      </c>
      <c r="M35" s="48">
        <f>SUM($J22:M$22)</f>
        <v>424156.27215653041</v>
      </c>
      <c r="N35" s="48">
        <f>SUM($J22:N$22)</f>
        <v>862311.27195189835</v>
      </c>
      <c r="O35" s="48">
        <f>SUM($J22:O$22)</f>
        <v>1313549.1549892544</v>
      </c>
      <c r="P35" s="48">
        <f>SUM($J22:P$22)</f>
        <v>1777110.340000916</v>
      </c>
      <c r="Q35" s="48">
        <f>SUM($J22:Q$22)</f>
        <v>2256528.5571008609</v>
      </c>
      <c r="R35" s="48">
        <f>SUM($J22:R$22)</f>
        <v>2760205.078230205</v>
      </c>
      <c r="S35" s="48">
        <f>SUM($J22:S$22)</f>
        <v>3286774.9012914868</v>
      </c>
      <c r="T35" s="48">
        <f>SUM($J22:T$22)</f>
        <v>3833169.0838754736</v>
      </c>
      <c r="U35" s="48">
        <f>SUM($J22:U$22)</f>
        <v>4352983.6896903645</v>
      </c>
      <c r="V35" s="48">
        <f>SUM($J22:V$22)</f>
        <v>4897402.9164456995</v>
      </c>
      <c r="W35" s="48">
        <f>SUM($J22:W$22)</f>
        <v>5462976.3001614148</v>
      </c>
      <c r="X35" s="48">
        <f>SUM($J22:X$22)</f>
        <v>6043144.7289279941</v>
      </c>
      <c r="Y35" s="48">
        <f>SUM($J22:Y$22)</f>
        <v>6644947.1930513168</v>
      </c>
      <c r="Z35" s="48">
        <f>SUM($J22:Z$22)</f>
        <v>7195644.6666977406</v>
      </c>
      <c r="AA35" s="48">
        <f>SUM($J22:AA$22)</f>
        <v>7759889.9952993728</v>
      </c>
      <c r="AB35" s="48">
        <f>SUM($J22:AB$22)</f>
        <v>8341469.6977207754</v>
      </c>
      <c r="AC35" s="48">
        <f>SUM($J22:AC$22)</f>
        <v>8953366.5743264891</v>
      </c>
      <c r="AD35" s="48">
        <f>SUM($J22:AD$22)</f>
        <v>9580265.4884992801</v>
      </c>
      <c r="AE35" s="48">
        <f>SUM($J22:AE$22)</f>
        <v>10222541.491178326</v>
      </c>
      <c r="AF35" s="48">
        <f>SUM($J22:AF$22)</f>
        <v>10880579.009576283</v>
      </c>
      <c r="AG35" s="48">
        <f>SUM($J22:AG$22)</f>
        <v>11554816.893611178</v>
      </c>
      <c r="AH35" s="48">
        <f>SUM($J22:AH$22)</f>
        <v>12245615.340398878</v>
      </c>
      <c r="AI35" s="48">
        <f>SUM($J22:AI$22)</f>
        <v>12245615.340398878</v>
      </c>
      <c r="AJ35" s="48">
        <f>SUM($J22:AJ$22)</f>
        <v>12245615.340398878</v>
      </c>
      <c r="AK35" s="48">
        <f>SUM($J22:AK$22)</f>
        <v>12245615.340398878</v>
      </c>
      <c r="AL35" s="48">
        <f>SUM($J22:AL$22)</f>
        <v>12245615.340398878</v>
      </c>
      <c r="AM35" s="48">
        <f>SUM($J22:AM$22)</f>
        <v>12245615.340398878</v>
      </c>
      <c r="AN35" s="48">
        <f>SUM($J22:AN$22)</f>
        <v>12245615.340398878</v>
      </c>
      <c r="AO35" s="48">
        <f>SUM($J22:AO$22)</f>
        <v>12245615.340398878</v>
      </c>
      <c r="AP35" s="48">
        <f>SUM($J22:AP$22)</f>
        <v>12245615.340398878</v>
      </c>
      <c r="AQ35" s="48">
        <f>SUM($J22:AQ$22)</f>
        <v>12245615.340398878</v>
      </c>
    </row>
    <row r="36" spans="4:49" s="18" customFormat="1">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row>
    <row r="37" spans="4:49" s="18" customFormat="1">
      <c r="E37" s="18" t="s">
        <v>92</v>
      </c>
      <c r="G37" s="18" t="s">
        <v>42</v>
      </c>
      <c r="H37" s="47">
        <f>SUM(J37:AQ37)</f>
        <v>4685487.4885007245</v>
      </c>
      <c r="I37" s="47"/>
      <c r="J37" s="48">
        <f t="shared" ref="J37:AO37" si="5">-SUM(J24:J30)</f>
        <v>0</v>
      </c>
      <c r="K37" s="48">
        <f t="shared" si="5"/>
        <v>0</v>
      </c>
      <c r="L37" s="48">
        <f t="shared" si="5"/>
        <v>0</v>
      </c>
      <c r="M37" s="48">
        <f t="shared" si="5"/>
        <v>343779.298962328</v>
      </c>
      <c r="N37" s="48">
        <f t="shared" si="5"/>
        <v>343779.298962328</v>
      </c>
      <c r="O37" s="48">
        <f t="shared" si="5"/>
        <v>343779.298962328</v>
      </c>
      <c r="P37" s="48">
        <f t="shared" si="5"/>
        <v>343779.298962328</v>
      </c>
      <c r="Q37" s="48">
        <f t="shared" si="5"/>
        <v>343779.29896232812</v>
      </c>
      <c r="R37" s="48">
        <f t="shared" si="5"/>
        <v>343779.29896232812</v>
      </c>
      <c r="S37" s="48">
        <f t="shared" si="5"/>
        <v>343779.29896232812</v>
      </c>
      <c r="T37" s="48">
        <f t="shared" si="5"/>
        <v>343779.29896232823</v>
      </c>
      <c r="U37" s="48">
        <f t="shared" si="5"/>
        <v>343779.29896232835</v>
      </c>
      <c r="V37" s="48">
        <f t="shared" si="5"/>
        <v>343779.29896232847</v>
      </c>
      <c r="W37" s="48">
        <f t="shared" si="5"/>
        <v>249538.8997754883</v>
      </c>
      <c r="X37" s="48">
        <f t="shared" si="5"/>
        <v>249538.89977548848</v>
      </c>
      <c r="Y37" s="48">
        <f t="shared" si="5"/>
        <v>249538.89977548865</v>
      </c>
      <c r="Z37" s="48">
        <f t="shared" si="5"/>
        <v>249538.89977548856</v>
      </c>
      <c r="AA37" s="48">
        <f t="shared" si="5"/>
        <v>249538.899775489</v>
      </c>
      <c r="AB37" s="48">
        <f t="shared" si="5"/>
        <v>9.3132257461547854E-12</v>
      </c>
      <c r="AC37" s="48">
        <f t="shared" si="5"/>
        <v>9.3132257461547854E-12</v>
      </c>
      <c r="AD37" s="48">
        <f t="shared" si="5"/>
        <v>9.3132257461547854E-12</v>
      </c>
      <c r="AE37" s="48">
        <f t="shared" si="5"/>
        <v>9.3132257461547854E-12</v>
      </c>
      <c r="AF37" s="48">
        <f t="shared" si="5"/>
        <v>9.3132257461547854E-12</v>
      </c>
      <c r="AG37" s="48">
        <f t="shared" si="5"/>
        <v>9.3132257461547854E-12</v>
      </c>
      <c r="AH37" s="48">
        <f t="shared" si="5"/>
        <v>9.3132257461547854E-12</v>
      </c>
      <c r="AI37" s="48">
        <f t="shared" si="5"/>
        <v>9.3132257461547854E-12</v>
      </c>
      <c r="AJ37" s="48">
        <f t="shared" si="5"/>
        <v>9.3132257461547854E-12</v>
      </c>
      <c r="AK37" s="48">
        <f t="shared" si="5"/>
        <v>9.3132257461547854E-12</v>
      </c>
      <c r="AL37" s="48">
        <f t="shared" si="5"/>
        <v>9.3132257461547854E-12</v>
      </c>
      <c r="AM37" s="48">
        <f t="shared" si="5"/>
        <v>9.3132257461547854E-12</v>
      </c>
      <c r="AN37" s="48">
        <f t="shared" si="5"/>
        <v>9.3132257461547854E-12</v>
      </c>
      <c r="AO37" s="48">
        <f t="shared" si="5"/>
        <v>9.3132257461547854E-12</v>
      </c>
      <c r="AP37" s="48">
        <f t="shared" ref="AP37:AQ37" si="6">-SUM(AP24:AP30)</f>
        <v>9.3132257461547854E-12</v>
      </c>
      <c r="AQ37" s="48">
        <f t="shared" si="6"/>
        <v>9.3132257461547854E-12</v>
      </c>
    </row>
    <row r="38" spans="4:49" s="18" customFormat="1">
      <c r="E38" s="5"/>
    </row>
    <row r="39" spans="4:49" s="18" customFormat="1">
      <c r="E39" s="18" t="s">
        <v>77</v>
      </c>
      <c r="G39" s="18" t="s">
        <v>42</v>
      </c>
      <c r="H39" s="47"/>
      <c r="I39" s="47"/>
      <c r="J39" s="48">
        <f>SUM($J$32:J32)</f>
        <v>5.4569682106375694E-11</v>
      </c>
      <c r="K39" s="48">
        <f>SUM($J$32:K32)</f>
        <v>5.4569682106375694E-11</v>
      </c>
      <c r="L39" s="48">
        <f>SUM($J$32:L32)</f>
        <v>2.5465851649641991E-11</v>
      </c>
      <c r="M39" s="48">
        <f>SUM($J$32:M32)</f>
        <v>80376.973194202496</v>
      </c>
      <c r="N39" s="48">
        <f>SUM($J$32:N32)</f>
        <v>174752.67402724241</v>
      </c>
      <c r="O39" s="48">
        <f>SUM($J$32:O32)</f>
        <v>282211.25810227054</v>
      </c>
      <c r="P39" s="48">
        <f>SUM($J$32:P32)</f>
        <v>401993.14415160421</v>
      </c>
      <c r="Q39" s="48">
        <f>SUM($J$32:Q32)</f>
        <v>537632.06228922075</v>
      </c>
      <c r="R39" s="48">
        <f>SUM($J$32:R32)</f>
        <v>697529.28445623699</v>
      </c>
      <c r="S39" s="48">
        <f>SUM($J$32:S32)</f>
        <v>880319.80855519068</v>
      </c>
      <c r="T39" s="48">
        <f>SUM($J$32:T32)</f>
        <v>1082934.6921768491</v>
      </c>
      <c r="U39" s="48">
        <f>SUM($J$32:U32)</f>
        <v>1258969.9990294117</v>
      </c>
      <c r="V39" s="48">
        <f>SUM($J$32:V32)</f>
        <v>1459609.9268224181</v>
      </c>
      <c r="W39" s="48">
        <f>SUM($J$32:W32)</f>
        <v>1775644.4107626453</v>
      </c>
      <c r="X39" s="48">
        <f>SUM($J$32:X32)</f>
        <v>2106273.9397537364</v>
      </c>
      <c r="Y39" s="48">
        <f>SUM($J$32:Y32)</f>
        <v>2458537.5041015707</v>
      </c>
      <c r="Z39" s="48">
        <f>SUM($J$32:Z32)</f>
        <v>2759696.0779725057</v>
      </c>
      <c r="AA39" s="48">
        <f>SUM($J$32:AA32)</f>
        <v>3074402.5067986492</v>
      </c>
      <c r="AB39" s="48">
        <f>SUM($J$32:AB32)</f>
        <v>3655982.2092200518</v>
      </c>
      <c r="AC39" s="48">
        <f>SUM($J$32:AC32)</f>
        <v>4267879.0858257655</v>
      </c>
      <c r="AD39" s="48">
        <f>SUM($J$32:AD32)</f>
        <v>4894777.9999985574</v>
      </c>
      <c r="AE39" s="48">
        <f>SUM($J$32:AE32)</f>
        <v>5537054.0026776036</v>
      </c>
      <c r="AF39" s="48">
        <f>SUM($J$32:AF32)</f>
        <v>6195091.5210755616</v>
      </c>
      <c r="AG39" s="48">
        <f>SUM($J$32:AG32)</f>
        <v>6869329.4051104551</v>
      </c>
      <c r="AH39" s="48">
        <f>SUM($J$32:AH32)</f>
        <v>7560127.8518981561</v>
      </c>
      <c r="AI39" s="48">
        <f>SUM($J$32:AI32)</f>
        <v>7560127.8518981561</v>
      </c>
      <c r="AJ39" s="48">
        <f>SUM($J$32:AJ32)</f>
        <v>7560127.8518981561</v>
      </c>
      <c r="AK39" s="48">
        <f>SUM($J$32:AK32)</f>
        <v>7560127.8518981561</v>
      </c>
      <c r="AL39" s="48">
        <f>SUM($J$32:AL32)</f>
        <v>7560127.8518981561</v>
      </c>
      <c r="AM39" s="48">
        <f>SUM($J$32:AM32)</f>
        <v>7560127.8518981561</v>
      </c>
      <c r="AN39" s="48">
        <f>SUM($J$32:AN32)</f>
        <v>7560127.8518981561</v>
      </c>
      <c r="AO39" s="48">
        <f>SUM($J$32:AO32)</f>
        <v>7560127.8518981561</v>
      </c>
      <c r="AP39" s="48">
        <f>SUM($J$32:AP32)</f>
        <v>7560127.8518981561</v>
      </c>
      <c r="AQ39" s="48">
        <f>SUM($J$32:AQ32)</f>
        <v>7560127.8518981561</v>
      </c>
      <c r="AR39" s="47"/>
      <c r="AS39" s="12" t="e">
        <f>#REF!</f>
        <v>#REF!</v>
      </c>
      <c r="AT39" s="12" t="e">
        <f>#REF!</f>
        <v>#REF!</v>
      </c>
      <c r="AU39" s="12" t="e">
        <f>#REF!</f>
        <v>#REF!</v>
      </c>
      <c r="AV39" s="12" t="e">
        <f>#REF!</f>
        <v>#REF!</v>
      </c>
      <c r="AW39" s="12" t="e">
        <f>#REF!</f>
        <v>#REF!</v>
      </c>
    </row>
    <row r="40" spans="4:49" s="18" customFormat="1">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row>
    <row r="41" spans="4:49" s="115" customFormat="1">
      <c r="D41" s="108" t="s">
        <v>71</v>
      </c>
    </row>
    <row r="42" spans="4:49" s="18" customFormat="1">
      <c r="E42" s="18" t="s">
        <v>60</v>
      </c>
      <c r="G42" s="18" t="s">
        <v>42</v>
      </c>
      <c r="H42" s="47">
        <f>SUM(J42:AQ42)</f>
        <v>3468087.7088760622</v>
      </c>
      <c r="J42" s="116">
        <f t="shared" ref="J42:V42" si="7">-J15</f>
        <v>0</v>
      </c>
      <c r="K42" s="116">
        <f t="shared" si="7"/>
        <v>0</v>
      </c>
      <c r="L42" s="116">
        <f t="shared" si="7"/>
        <v>0</v>
      </c>
      <c r="M42" s="116">
        <f t="shared" si="7"/>
        <v>3468087.7088760622</v>
      </c>
      <c r="N42" s="116">
        <f t="shared" si="7"/>
        <v>0</v>
      </c>
      <c r="O42" s="116">
        <f t="shared" si="7"/>
        <v>0</v>
      </c>
      <c r="P42" s="116">
        <f t="shared" si="7"/>
        <v>0</v>
      </c>
      <c r="Q42" s="116">
        <f t="shared" si="7"/>
        <v>0</v>
      </c>
      <c r="R42" s="116">
        <f t="shared" si="7"/>
        <v>0</v>
      </c>
      <c r="S42" s="116">
        <f t="shared" si="7"/>
        <v>0</v>
      </c>
      <c r="T42" s="116">
        <f t="shared" si="7"/>
        <v>0</v>
      </c>
      <c r="U42" s="116">
        <f t="shared" si="7"/>
        <v>0</v>
      </c>
      <c r="V42" s="116">
        <f t="shared" si="7"/>
        <v>0</v>
      </c>
    </row>
    <row r="43" spans="4:49" s="18" customFormat="1"/>
    <row r="44" spans="4:49" s="18" customFormat="1">
      <c r="E44" s="18" t="s">
        <v>119</v>
      </c>
      <c r="G44" s="18" t="s">
        <v>42</v>
      </c>
      <c r="H44" s="47">
        <f>SUM(J44:AQ44)</f>
        <v>-12245615.342</v>
      </c>
      <c r="J44" s="116">
        <f t="shared" ref="J44:AO44" si="8">ROUND(-SUM(J7:J11),3)</f>
        <v>0</v>
      </c>
      <c r="K44" s="116">
        <f t="shared" si="8"/>
        <v>0</v>
      </c>
      <c r="L44" s="116">
        <f t="shared" si="8"/>
        <v>0</v>
      </c>
      <c r="M44" s="116">
        <f t="shared" si="8"/>
        <v>-424156.272</v>
      </c>
      <c r="N44" s="116">
        <f t="shared" si="8"/>
        <v>-438155</v>
      </c>
      <c r="O44" s="116">
        <f t="shared" si="8"/>
        <v>-451237.88299999997</v>
      </c>
      <c r="P44" s="116">
        <f t="shared" si="8"/>
        <v>-463561.185</v>
      </c>
      <c r="Q44" s="116">
        <f t="shared" si="8"/>
        <v>-479418.217</v>
      </c>
      <c r="R44" s="116">
        <f t="shared" si="8"/>
        <v>-503676.52100000001</v>
      </c>
      <c r="S44" s="116">
        <f t="shared" si="8"/>
        <v>-526569.82299999997</v>
      </c>
      <c r="T44" s="116">
        <f t="shared" si="8"/>
        <v>-546394.18299999996</v>
      </c>
      <c r="U44" s="116">
        <f t="shared" si="8"/>
        <v>-519814.60600000003</v>
      </c>
      <c r="V44" s="116">
        <f t="shared" si="8"/>
        <v>-544419.22699999996</v>
      </c>
      <c r="W44" s="116">
        <f t="shared" si="8"/>
        <v>-565573.38399999996</v>
      </c>
      <c r="X44" s="116">
        <f t="shared" si="8"/>
        <v>-580168.429</v>
      </c>
      <c r="Y44" s="116">
        <f t="shared" si="8"/>
        <v>-601802.46400000004</v>
      </c>
      <c r="Z44" s="116">
        <f t="shared" si="8"/>
        <v>-550697.47400000005</v>
      </c>
      <c r="AA44" s="116">
        <f t="shared" si="8"/>
        <v>-564245.32900000003</v>
      </c>
      <c r="AB44" s="116">
        <f t="shared" si="8"/>
        <v>-581579.70200000005</v>
      </c>
      <c r="AC44" s="116">
        <f t="shared" si="8"/>
        <v>-611896.87699999998</v>
      </c>
      <c r="AD44" s="116">
        <f t="shared" si="8"/>
        <v>-626898.91399999999</v>
      </c>
      <c r="AE44" s="116">
        <f t="shared" si="8"/>
        <v>-642276.00300000003</v>
      </c>
      <c r="AF44" s="116">
        <f t="shared" si="8"/>
        <v>-658037.51800000004</v>
      </c>
      <c r="AG44" s="116">
        <f t="shared" si="8"/>
        <v>-674237.88399999996</v>
      </c>
      <c r="AH44" s="116">
        <f t="shared" si="8"/>
        <v>-690798.44700000004</v>
      </c>
      <c r="AI44" s="116">
        <f t="shared" si="8"/>
        <v>0</v>
      </c>
      <c r="AJ44" s="116">
        <f t="shared" si="8"/>
        <v>0</v>
      </c>
      <c r="AK44" s="116">
        <f t="shared" si="8"/>
        <v>0</v>
      </c>
      <c r="AL44" s="116">
        <f t="shared" si="8"/>
        <v>0</v>
      </c>
      <c r="AM44" s="116">
        <f t="shared" si="8"/>
        <v>0</v>
      </c>
      <c r="AN44" s="116">
        <f t="shared" si="8"/>
        <v>0</v>
      </c>
      <c r="AO44" s="116">
        <f t="shared" si="8"/>
        <v>0</v>
      </c>
      <c r="AP44" s="116">
        <f t="shared" ref="AP44:AQ44" si="9">ROUND(-SUM(AP7:AP11),3)</f>
        <v>0</v>
      </c>
      <c r="AQ44" s="116">
        <f t="shared" si="9"/>
        <v>0</v>
      </c>
    </row>
    <row r="45" spans="4:49" s="18" customFormat="1"/>
    <row r="46" spans="4:49" s="18" customFormat="1">
      <c r="E46" s="5" t="s">
        <v>61</v>
      </c>
      <c r="G46" s="18" t="s">
        <v>42</v>
      </c>
      <c r="J46" s="116">
        <f>SUM($J$42:J45)</f>
        <v>0</v>
      </c>
      <c r="K46" s="116">
        <f>SUM($J$42:K45)</f>
        <v>0</v>
      </c>
      <c r="L46" s="116">
        <f>SUM($J$42:L45)</f>
        <v>0</v>
      </c>
      <c r="M46" s="116">
        <f>SUM($J$42:M45)</f>
        <v>3043931.4368760623</v>
      </c>
      <c r="N46" s="116">
        <f>SUM($J$42:N45)</f>
        <v>2605776.4368760623</v>
      </c>
      <c r="O46" s="116">
        <f>SUM($J$42:O45)</f>
        <v>2154538.5538760624</v>
      </c>
      <c r="P46" s="116">
        <f>SUM($J$42:P45)</f>
        <v>1690977.3688760623</v>
      </c>
      <c r="Q46" s="116">
        <f>SUM($J$42:Q45)</f>
        <v>1211559.1518760624</v>
      </c>
      <c r="R46" s="116">
        <f>SUM($J$42:R45)</f>
        <v>707882.63087606244</v>
      </c>
      <c r="S46" s="116">
        <f>SUM($J$42:S45)</f>
        <v>181312.80787606246</v>
      </c>
      <c r="T46" s="116">
        <f>SUM($J$42:T45)</f>
        <v>-365081.3751239375</v>
      </c>
      <c r="U46" s="116">
        <f>SUM($J$42:U45)</f>
        <v>-884895.98112393753</v>
      </c>
      <c r="V46" s="116">
        <f>SUM($J$42:V45)</f>
        <v>-1429315.2081239375</v>
      </c>
      <c r="W46" s="116">
        <f>SUM($J$42:W45)</f>
        <v>-1994888.5921239373</v>
      </c>
      <c r="X46" s="116">
        <f>SUM($J$42:X45)</f>
        <v>-2575057.0211239373</v>
      </c>
      <c r="Y46" s="116">
        <f>SUM($J$42:Y45)</f>
        <v>-3176859.4851239375</v>
      </c>
      <c r="Z46" s="116">
        <f>SUM($J$42:Z45)</f>
        <v>-3727556.9591239374</v>
      </c>
      <c r="AA46" s="116">
        <f>SUM($J$42:AA45)</f>
        <v>-4291802.2881239373</v>
      </c>
      <c r="AB46" s="116">
        <f>SUM($J$42:AB45)</f>
        <v>-4873381.9901239369</v>
      </c>
      <c r="AC46" s="116">
        <f>SUM($J$42:AC45)</f>
        <v>-5485278.8671239372</v>
      </c>
      <c r="AD46" s="116">
        <f>SUM($J$42:AD45)</f>
        <v>-6112177.7811239371</v>
      </c>
      <c r="AE46" s="116">
        <f>SUM($J$42:AE45)</f>
        <v>-6754453.7841239367</v>
      </c>
      <c r="AF46" s="116">
        <f>SUM($J$42:AF45)</f>
        <v>-7412491.3021239368</v>
      </c>
      <c r="AG46" s="116">
        <f>SUM($J$42:AG45)</f>
        <v>-8086729.1861239364</v>
      </c>
      <c r="AH46" s="116">
        <f>SUM($J$42:AH45)</f>
        <v>-8777527.6331239361</v>
      </c>
      <c r="AI46" s="116">
        <f>SUM($J$42:AI45)</f>
        <v>-8777527.6331239361</v>
      </c>
      <c r="AJ46" s="116">
        <f>SUM($J$42:AJ45)</f>
        <v>-8777527.6331239361</v>
      </c>
      <c r="AK46" s="116">
        <f>SUM($J$42:AK45)</f>
        <v>-8777527.6331239361</v>
      </c>
      <c r="AL46" s="116">
        <f>SUM($J$42:AL45)</f>
        <v>-8777527.6331239361</v>
      </c>
      <c r="AM46" s="116">
        <f>SUM($J$42:AM45)</f>
        <v>-8777527.6331239361</v>
      </c>
      <c r="AN46" s="116">
        <f>SUM($J$42:AN45)</f>
        <v>-8777527.6331239361</v>
      </c>
      <c r="AO46" s="116">
        <f>SUM($J$42:AO45)</f>
        <v>-8777527.6331239361</v>
      </c>
      <c r="AP46" s="116">
        <f>SUM($J$42:AP45)</f>
        <v>-8777527.6331239361</v>
      </c>
      <c r="AQ46" s="116">
        <f>SUM($J$42:AQ45)</f>
        <v>-8777527.6331239361</v>
      </c>
    </row>
    <row r="47" spans="4:49" s="18" customFormat="1"/>
    <row r="48" spans="4:49" s="18" customFormat="1">
      <c r="E48" s="18" t="s">
        <v>81</v>
      </c>
      <c r="J48" s="116">
        <f t="shared" ref="J48:M48" si="10">IF(J46&lt;0,1,0)</f>
        <v>0</v>
      </c>
      <c r="K48" s="116">
        <f t="shared" si="10"/>
        <v>0</v>
      </c>
      <c r="L48" s="116">
        <f t="shared" si="10"/>
        <v>0</v>
      </c>
      <c r="M48" s="116">
        <f t="shared" si="10"/>
        <v>0</v>
      </c>
      <c r="N48" s="116">
        <f t="shared" ref="N48" si="11">IF(N46&lt;0,1,0)</f>
        <v>0</v>
      </c>
      <c r="O48" s="116">
        <f t="shared" ref="O48:AQ48" si="12">IF(O46&lt;0,1,0)</f>
        <v>0</v>
      </c>
      <c r="P48" s="116">
        <f t="shared" si="12"/>
        <v>0</v>
      </c>
      <c r="Q48" s="116">
        <f t="shared" si="12"/>
        <v>0</v>
      </c>
      <c r="R48" s="116">
        <f t="shared" si="12"/>
        <v>0</v>
      </c>
      <c r="S48" s="116">
        <f t="shared" si="12"/>
        <v>0</v>
      </c>
      <c r="T48" s="116">
        <f t="shared" si="12"/>
        <v>1</v>
      </c>
      <c r="U48" s="116">
        <f t="shared" si="12"/>
        <v>1</v>
      </c>
      <c r="V48" s="116">
        <f t="shared" si="12"/>
        <v>1</v>
      </c>
      <c r="W48" s="116">
        <f t="shared" si="12"/>
        <v>1</v>
      </c>
      <c r="X48" s="116">
        <f t="shared" si="12"/>
        <v>1</v>
      </c>
      <c r="Y48" s="116">
        <f t="shared" si="12"/>
        <v>1</v>
      </c>
      <c r="Z48" s="116">
        <f t="shared" si="12"/>
        <v>1</v>
      </c>
      <c r="AA48" s="116">
        <f t="shared" si="12"/>
        <v>1</v>
      </c>
      <c r="AB48" s="116">
        <f t="shared" si="12"/>
        <v>1</v>
      </c>
      <c r="AC48" s="116">
        <f t="shared" si="12"/>
        <v>1</v>
      </c>
      <c r="AD48" s="116">
        <f t="shared" si="12"/>
        <v>1</v>
      </c>
      <c r="AE48" s="116">
        <f t="shared" si="12"/>
        <v>1</v>
      </c>
      <c r="AF48" s="116">
        <f t="shared" si="12"/>
        <v>1</v>
      </c>
      <c r="AG48" s="116">
        <f t="shared" si="12"/>
        <v>1</v>
      </c>
      <c r="AH48" s="116">
        <f t="shared" si="12"/>
        <v>1</v>
      </c>
      <c r="AI48" s="116">
        <f t="shared" si="12"/>
        <v>1</v>
      </c>
      <c r="AJ48" s="116">
        <f t="shared" si="12"/>
        <v>1</v>
      </c>
      <c r="AK48" s="116">
        <f t="shared" si="12"/>
        <v>1</v>
      </c>
      <c r="AL48" s="116">
        <f t="shared" si="12"/>
        <v>1</v>
      </c>
      <c r="AM48" s="116">
        <f t="shared" si="12"/>
        <v>1</v>
      </c>
      <c r="AN48" s="116">
        <f t="shared" si="12"/>
        <v>1</v>
      </c>
      <c r="AO48" s="116">
        <f t="shared" si="12"/>
        <v>1</v>
      </c>
      <c r="AP48" s="116">
        <f t="shared" si="12"/>
        <v>1</v>
      </c>
      <c r="AQ48" s="116">
        <f t="shared" si="12"/>
        <v>1</v>
      </c>
    </row>
    <row r="49" spans="4:43" s="18" customFormat="1">
      <c r="E49" s="18" t="s">
        <v>62</v>
      </c>
      <c r="F49" s="117">
        <f>SUM(J49:AQ49)</f>
        <v>45016</v>
      </c>
      <c r="J49" s="118">
        <f>IF(SUM($J48:J48)=1,J$2,0)</f>
        <v>0</v>
      </c>
      <c r="K49" s="118">
        <f>IF(SUM($J48:K48)=1,K$2,0)</f>
        <v>0</v>
      </c>
      <c r="L49" s="118">
        <f>IF(SUM($J48:L48)=1,L$2,0)</f>
        <v>0</v>
      </c>
      <c r="M49" s="118">
        <f>IF(SUM($J48:M48)=1,M$2,0)</f>
        <v>0</v>
      </c>
      <c r="N49" s="118">
        <f>IF(SUM($J48:N48)=1,N$2,0)</f>
        <v>0</v>
      </c>
      <c r="O49" s="118">
        <f>IF(SUM($J48:O48)=1,O$2,0)</f>
        <v>0</v>
      </c>
      <c r="P49" s="118">
        <f>IF(SUM($J48:P48)=1,P$2,0)</f>
        <v>0</v>
      </c>
      <c r="Q49" s="118">
        <f>IF(SUM($J48:Q48)=1,Q$2,0)</f>
        <v>0</v>
      </c>
      <c r="R49" s="118">
        <f>IF(SUM($J48:R48)=1,R$2,0)</f>
        <v>0</v>
      </c>
      <c r="S49" s="118">
        <f>IF(SUM($J48:S48)=1,S$2,0)</f>
        <v>0</v>
      </c>
      <c r="T49" s="118">
        <f>IF(SUM($J48:T48)=1,T$2,0)</f>
        <v>45016</v>
      </c>
      <c r="U49" s="118">
        <f>IF(SUM($J48:U48)=1,U$2,0)</f>
        <v>0</v>
      </c>
      <c r="V49" s="118">
        <f>IF(SUM($J48:V48)=1,V$2,0)</f>
        <v>0</v>
      </c>
      <c r="W49" s="118">
        <f>IF(SUM($J48:W48)=1,W$2,0)</f>
        <v>0</v>
      </c>
      <c r="X49" s="118">
        <f>IF(SUM($J48:X48)=1,X$2,0)</f>
        <v>0</v>
      </c>
      <c r="Y49" s="118">
        <f>IF(SUM($J48:Y48)=1,Y$2,0)</f>
        <v>0</v>
      </c>
      <c r="Z49" s="118">
        <f>IF(SUM($J48:Z48)=1,Z$2,0)</f>
        <v>0</v>
      </c>
      <c r="AA49" s="118">
        <f>IF(SUM($J48:AA48)=1,AA$2,0)</f>
        <v>0</v>
      </c>
      <c r="AB49" s="118">
        <f>IF(SUM($J48:AB48)=1,AB$2,0)</f>
        <v>0</v>
      </c>
      <c r="AC49" s="118">
        <f>IF(SUM($J48:AC48)=1,AC$2,0)</f>
        <v>0</v>
      </c>
      <c r="AD49" s="118">
        <f>IF(SUM($J48:AD48)=1,AD$2,0)</f>
        <v>0</v>
      </c>
      <c r="AE49" s="118">
        <f>IF(SUM($J48:AE48)=1,AE$2,0)</f>
        <v>0</v>
      </c>
      <c r="AF49" s="118">
        <f>IF(SUM($J48:AF48)=1,AF$2,0)</f>
        <v>0</v>
      </c>
      <c r="AG49" s="118">
        <f>IF(SUM($J48:AG48)=1,AG$2,0)</f>
        <v>0</v>
      </c>
      <c r="AH49" s="118">
        <f>IF(SUM($J48:AH48)=1,AH$2,0)</f>
        <v>0</v>
      </c>
      <c r="AI49" s="118">
        <f>IF(SUM($J48:AI48)=1,AI$2,0)</f>
        <v>0</v>
      </c>
      <c r="AJ49" s="118">
        <f>IF(SUM($J48:AJ48)=1,AJ$2,0)</f>
        <v>0</v>
      </c>
      <c r="AK49" s="118">
        <f>IF(SUM($J48:AK48)=1,AK$2,0)</f>
        <v>0</v>
      </c>
      <c r="AL49" s="118">
        <f>IF(SUM($J48:AL48)=1,AL$2,0)</f>
        <v>0</v>
      </c>
      <c r="AM49" s="118">
        <f>IF(SUM($J48:AM48)=1,AM$2,0)</f>
        <v>0</v>
      </c>
      <c r="AN49" s="118">
        <f>IF(SUM($J48:AN48)=1,AN$2,0)</f>
        <v>0</v>
      </c>
      <c r="AO49" s="118">
        <f>IF(SUM($J48:AO48)=1,AO$2,0)</f>
        <v>0</v>
      </c>
      <c r="AP49" s="118">
        <f>IF(SUM($J48:AP48)=1,AP$2,0)</f>
        <v>0</v>
      </c>
      <c r="AQ49" s="118">
        <f>IF(SUM($J48:AQ48)=1,AQ$2,0)</f>
        <v>0</v>
      </c>
    </row>
    <row r="50" spans="4:43" s="18" customFormat="1"/>
    <row r="51" spans="4:43" s="18" customFormat="1">
      <c r="E51" s="18" t="s">
        <v>227</v>
      </c>
      <c r="F51" s="117">
        <f>Flags!F14</f>
        <v>42460</v>
      </c>
    </row>
    <row r="52" spans="4:43" s="18" customFormat="1"/>
    <row r="53" spans="4:43" s="18" customFormat="1">
      <c r="E53" s="18" t="s">
        <v>63</v>
      </c>
      <c r="F53" s="116">
        <f>((F49-F51)/365) + 1</f>
        <v>8.0027397260273965</v>
      </c>
    </row>
    <row r="54" spans="4:43" s="18" customFormat="1"/>
    <row r="55" spans="4:43" s="115" customFormat="1">
      <c r="D55" s="108" t="s">
        <v>72</v>
      </c>
    </row>
    <row r="56" spans="4:43" s="18" customFormat="1">
      <c r="E56" s="18" t="s">
        <v>60</v>
      </c>
      <c r="G56" s="18" t="s">
        <v>42</v>
      </c>
      <c r="J56" s="116">
        <f t="shared" ref="J56:S56" si="13">-J15</f>
        <v>0</v>
      </c>
      <c r="K56" s="116">
        <f t="shared" si="13"/>
        <v>0</v>
      </c>
      <c r="L56" s="116">
        <f t="shared" si="13"/>
        <v>0</v>
      </c>
      <c r="M56" s="116">
        <f t="shared" si="13"/>
        <v>3468087.7088760622</v>
      </c>
      <c r="N56" s="116">
        <f t="shared" si="13"/>
        <v>0</v>
      </c>
      <c r="O56" s="116">
        <f t="shared" si="13"/>
        <v>0</v>
      </c>
      <c r="P56" s="116">
        <f t="shared" si="13"/>
        <v>0</v>
      </c>
      <c r="Q56" s="116">
        <f t="shared" si="13"/>
        <v>0</v>
      </c>
      <c r="R56" s="116">
        <f t="shared" si="13"/>
        <v>0</v>
      </c>
      <c r="S56" s="116">
        <f t="shared" si="13"/>
        <v>0</v>
      </c>
    </row>
    <row r="57" spans="4:43" s="18" customFormat="1"/>
    <row r="58" spans="4:43" s="18" customFormat="1">
      <c r="E58" s="18" t="s">
        <v>119</v>
      </c>
      <c r="G58" s="18" t="s">
        <v>42</v>
      </c>
      <c r="J58" s="116">
        <f t="shared" ref="J58:AO58" si="14">ROUND(-SUM(J7:J11)-SUM(J24:J31),3)</f>
        <v>0</v>
      </c>
      <c r="K58" s="116">
        <f t="shared" si="14"/>
        <v>0</v>
      </c>
      <c r="L58" s="116">
        <f t="shared" si="14"/>
        <v>0</v>
      </c>
      <c r="M58" s="116">
        <f t="shared" si="14"/>
        <v>-80376.972999999998</v>
      </c>
      <c r="N58" s="116">
        <f t="shared" si="14"/>
        <v>-94375.701000000001</v>
      </c>
      <c r="O58" s="116">
        <f t="shared" si="14"/>
        <v>-107458.584</v>
      </c>
      <c r="P58" s="116">
        <f t="shared" si="14"/>
        <v>-119781.886</v>
      </c>
      <c r="Q58" s="116">
        <f t="shared" si="14"/>
        <v>-135638.91800000001</v>
      </c>
      <c r="R58" s="116">
        <f t="shared" si="14"/>
        <v>-159897.22200000001</v>
      </c>
      <c r="S58" s="116">
        <f t="shared" si="14"/>
        <v>-182790.524</v>
      </c>
      <c r="T58" s="116">
        <f t="shared" si="14"/>
        <v>-202614.88399999999</v>
      </c>
      <c r="U58" s="116">
        <f t="shared" si="14"/>
        <v>-176035.307</v>
      </c>
      <c r="V58" s="116">
        <f t="shared" si="14"/>
        <v>-200639.92800000001</v>
      </c>
      <c r="W58" s="116">
        <f t="shared" si="14"/>
        <v>-316034.484</v>
      </c>
      <c r="X58" s="116">
        <f t="shared" si="14"/>
        <v>-330629.52899999998</v>
      </c>
      <c r="Y58" s="116">
        <f t="shared" si="14"/>
        <v>-352263.56400000001</v>
      </c>
      <c r="Z58" s="116">
        <f t="shared" si="14"/>
        <v>-301158.57400000002</v>
      </c>
      <c r="AA58" s="116">
        <f t="shared" si="14"/>
        <v>-314706.429</v>
      </c>
      <c r="AB58" s="116">
        <f t="shared" si="14"/>
        <v>-581579.70200000005</v>
      </c>
      <c r="AC58" s="116">
        <f t="shared" si="14"/>
        <v>-611896.87699999998</v>
      </c>
      <c r="AD58" s="116">
        <f t="shared" si="14"/>
        <v>-626898.91399999999</v>
      </c>
      <c r="AE58" s="116">
        <f t="shared" si="14"/>
        <v>-642276.00300000003</v>
      </c>
      <c r="AF58" s="116">
        <f t="shared" si="14"/>
        <v>-658037.51800000004</v>
      </c>
      <c r="AG58" s="116">
        <f t="shared" si="14"/>
        <v>-674237.88399999996</v>
      </c>
      <c r="AH58" s="116">
        <f t="shared" si="14"/>
        <v>-690798.44700000004</v>
      </c>
      <c r="AI58" s="116">
        <f t="shared" si="14"/>
        <v>0</v>
      </c>
      <c r="AJ58" s="116">
        <f t="shared" si="14"/>
        <v>0</v>
      </c>
      <c r="AK58" s="116">
        <f t="shared" si="14"/>
        <v>0</v>
      </c>
      <c r="AL58" s="116">
        <f t="shared" si="14"/>
        <v>0</v>
      </c>
      <c r="AM58" s="116">
        <f t="shared" si="14"/>
        <v>0</v>
      </c>
      <c r="AN58" s="116">
        <f t="shared" si="14"/>
        <v>0</v>
      </c>
      <c r="AO58" s="116">
        <f t="shared" si="14"/>
        <v>0</v>
      </c>
      <c r="AP58" s="116">
        <f t="shared" ref="AP58:AQ58" si="15">ROUND(-SUM(AP7:AP11)-SUM(AP24:AP31),3)</f>
        <v>0</v>
      </c>
      <c r="AQ58" s="116">
        <f t="shared" si="15"/>
        <v>0</v>
      </c>
    </row>
    <row r="59" spans="4:43" s="18" customFormat="1"/>
    <row r="60" spans="4:43" s="18" customFormat="1">
      <c r="E60" s="5" t="s">
        <v>61</v>
      </c>
      <c r="G60" s="18" t="s">
        <v>42</v>
      </c>
      <c r="J60" s="116">
        <f>SUM($J$56:J59)</f>
        <v>0</v>
      </c>
      <c r="K60" s="116">
        <f>SUM($J$56:K59)</f>
        <v>0</v>
      </c>
      <c r="L60" s="116">
        <f>SUM($J$56:L59)</f>
        <v>0</v>
      </c>
      <c r="M60" s="116">
        <f>SUM($J$56:M59)</f>
        <v>3387710.735876062</v>
      </c>
      <c r="N60" s="116">
        <f>SUM($J$56:N59)</f>
        <v>3293335.0348760621</v>
      </c>
      <c r="O60" s="116">
        <f>SUM($J$56:O59)</f>
        <v>3185876.4508760623</v>
      </c>
      <c r="P60" s="116">
        <f>SUM($J$56:P59)</f>
        <v>3066094.5648760623</v>
      </c>
      <c r="Q60" s="116">
        <f>SUM($J$56:Q59)</f>
        <v>2930455.6468760623</v>
      </c>
      <c r="R60" s="116">
        <f>SUM($J$56:R59)</f>
        <v>2770558.4248760622</v>
      </c>
      <c r="S60" s="116">
        <f>SUM($J$56:S59)</f>
        <v>2587767.900876062</v>
      </c>
      <c r="T60" s="116">
        <f>SUM($J$56:T59)</f>
        <v>2385153.0168760619</v>
      </c>
      <c r="U60" s="116">
        <f>SUM($J$56:U59)</f>
        <v>2209117.7098760619</v>
      </c>
      <c r="V60" s="116">
        <f>SUM($J$56:V59)</f>
        <v>2008477.7818760618</v>
      </c>
      <c r="W60" s="116">
        <f>SUM($J$56:W59)</f>
        <v>1692443.2978760619</v>
      </c>
      <c r="X60" s="116">
        <f>SUM($J$56:X59)</f>
        <v>1361813.7688760618</v>
      </c>
      <c r="Y60" s="116">
        <f>SUM($J$56:Y59)</f>
        <v>1009550.2048760618</v>
      </c>
      <c r="Z60" s="116">
        <f>SUM($J$56:Z59)</f>
        <v>708391.63087606174</v>
      </c>
      <c r="AA60" s="116">
        <f>SUM($J$56:AA59)</f>
        <v>393685.20187606174</v>
      </c>
      <c r="AB60" s="116">
        <f>SUM($J$56:AB59)</f>
        <v>-187894.50012393831</v>
      </c>
      <c r="AC60" s="116">
        <f>SUM($J$56:AC59)</f>
        <v>-799791.37712393829</v>
      </c>
      <c r="AD60" s="116">
        <f>SUM($J$56:AD59)</f>
        <v>-1426690.2911239383</v>
      </c>
      <c r="AE60" s="116">
        <f>SUM($J$56:AE59)</f>
        <v>-2068966.2941239383</v>
      </c>
      <c r="AF60" s="116">
        <f>SUM($J$56:AF59)</f>
        <v>-2727003.8121239385</v>
      </c>
      <c r="AG60" s="116">
        <f>SUM($J$56:AG59)</f>
        <v>-3401241.6961239385</v>
      </c>
      <c r="AH60" s="116">
        <f>SUM($J$56:AH59)</f>
        <v>-4092040.1431239387</v>
      </c>
      <c r="AI60" s="116">
        <f>SUM($J$56:AI59)</f>
        <v>-4092040.1431239387</v>
      </c>
      <c r="AJ60" s="116">
        <f>SUM($J$56:AJ59)</f>
        <v>-4092040.1431239387</v>
      </c>
      <c r="AK60" s="116">
        <f>SUM($J$56:AK59)</f>
        <v>-4092040.1431239387</v>
      </c>
      <c r="AL60" s="116">
        <f>SUM($J$56:AL59)</f>
        <v>-4092040.1431239387</v>
      </c>
      <c r="AM60" s="116">
        <f>SUM($J$56:AM59)</f>
        <v>-4092040.1431239387</v>
      </c>
      <c r="AN60" s="116">
        <f>SUM($J$56:AN59)</f>
        <v>-4092040.1431239387</v>
      </c>
      <c r="AO60" s="116">
        <f>SUM($J$56:AO59)</f>
        <v>-4092040.1431239387</v>
      </c>
      <c r="AP60" s="116">
        <f>SUM($J$56:AP59)</f>
        <v>-4092040.1431239387</v>
      </c>
      <c r="AQ60" s="116">
        <f>SUM($J$56:AQ59)</f>
        <v>-4092040.1431239387</v>
      </c>
    </row>
    <row r="61" spans="4:43" s="18" customFormat="1"/>
    <row r="62" spans="4:43" s="18" customFormat="1">
      <c r="E62" s="18" t="s">
        <v>81</v>
      </c>
      <c r="J62" s="116">
        <f t="shared" ref="J62:AQ62" si="16">IF(J60&lt;0,1,0)</f>
        <v>0</v>
      </c>
      <c r="K62" s="116">
        <f t="shared" si="16"/>
        <v>0</v>
      </c>
      <c r="L62" s="116">
        <f t="shared" si="16"/>
        <v>0</v>
      </c>
      <c r="M62" s="116">
        <f t="shared" si="16"/>
        <v>0</v>
      </c>
      <c r="N62" s="116">
        <f t="shared" si="16"/>
        <v>0</v>
      </c>
      <c r="O62" s="116">
        <f t="shared" si="16"/>
        <v>0</v>
      </c>
      <c r="P62" s="116">
        <f t="shared" si="16"/>
        <v>0</v>
      </c>
      <c r="Q62" s="116">
        <f t="shared" si="16"/>
        <v>0</v>
      </c>
      <c r="R62" s="116">
        <f t="shared" si="16"/>
        <v>0</v>
      </c>
      <c r="S62" s="116">
        <f t="shared" si="16"/>
        <v>0</v>
      </c>
      <c r="T62" s="116">
        <f t="shared" si="16"/>
        <v>0</v>
      </c>
      <c r="U62" s="116">
        <f t="shared" si="16"/>
        <v>0</v>
      </c>
      <c r="V62" s="116">
        <f t="shared" si="16"/>
        <v>0</v>
      </c>
      <c r="W62" s="116">
        <f t="shared" si="16"/>
        <v>0</v>
      </c>
      <c r="X62" s="116">
        <f t="shared" si="16"/>
        <v>0</v>
      </c>
      <c r="Y62" s="116">
        <f t="shared" si="16"/>
        <v>0</v>
      </c>
      <c r="Z62" s="116">
        <f t="shared" si="16"/>
        <v>0</v>
      </c>
      <c r="AA62" s="116">
        <f t="shared" si="16"/>
        <v>0</v>
      </c>
      <c r="AB62" s="116">
        <f t="shared" si="16"/>
        <v>1</v>
      </c>
      <c r="AC62" s="116">
        <f t="shared" si="16"/>
        <v>1</v>
      </c>
      <c r="AD62" s="116">
        <f t="shared" si="16"/>
        <v>1</v>
      </c>
      <c r="AE62" s="116">
        <f t="shared" si="16"/>
        <v>1</v>
      </c>
      <c r="AF62" s="116">
        <f t="shared" si="16"/>
        <v>1</v>
      </c>
      <c r="AG62" s="116">
        <f t="shared" si="16"/>
        <v>1</v>
      </c>
      <c r="AH62" s="116">
        <f t="shared" si="16"/>
        <v>1</v>
      </c>
      <c r="AI62" s="116">
        <f t="shared" si="16"/>
        <v>1</v>
      </c>
      <c r="AJ62" s="116">
        <f t="shared" si="16"/>
        <v>1</v>
      </c>
      <c r="AK62" s="116">
        <f t="shared" si="16"/>
        <v>1</v>
      </c>
      <c r="AL62" s="116">
        <f t="shared" si="16"/>
        <v>1</v>
      </c>
      <c r="AM62" s="116">
        <f t="shared" si="16"/>
        <v>1</v>
      </c>
      <c r="AN62" s="116">
        <f t="shared" si="16"/>
        <v>1</v>
      </c>
      <c r="AO62" s="116">
        <f t="shared" si="16"/>
        <v>1</v>
      </c>
      <c r="AP62" s="116">
        <f t="shared" si="16"/>
        <v>1</v>
      </c>
      <c r="AQ62" s="116">
        <f t="shared" si="16"/>
        <v>1</v>
      </c>
    </row>
    <row r="63" spans="4:43" s="18" customFormat="1">
      <c r="E63" s="18" t="s">
        <v>62</v>
      </c>
      <c r="F63" s="117">
        <f>SUM(J63:AQ63)</f>
        <v>47938</v>
      </c>
      <c r="J63" s="118">
        <f>IF(SUM($J62:J62)=1,J$2,0)</f>
        <v>0</v>
      </c>
      <c r="K63" s="118">
        <f>IF(SUM($J62:K62)=1,K$2,0)</f>
        <v>0</v>
      </c>
      <c r="L63" s="118">
        <f>IF(SUM($J62:L62)=1,L$2,0)</f>
        <v>0</v>
      </c>
      <c r="M63" s="118">
        <f>IF(SUM($J62:M62)=1,M$2,0)</f>
        <v>0</v>
      </c>
      <c r="N63" s="118">
        <f>IF(SUM($J62:N62)=1,N$2,0)</f>
        <v>0</v>
      </c>
      <c r="O63" s="118">
        <f>IF(SUM($J62:O62)=1,O$2,0)</f>
        <v>0</v>
      </c>
      <c r="P63" s="118">
        <f>IF(SUM($J62:P62)=1,P$2,0)</f>
        <v>0</v>
      </c>
      <c r="Q63" s="118">
        <f>IF(SUM($J62:Q62)=1,Q$2,0)</f>
        <v>0</v>
      </c>
      <c r="R63" s="118">
        <f>IF(SUM($J62:R62)=1,R$2,0)</f>
        <v>0</v>
      </c>
      <c r="S63" s="118">
        <f>IF(SUM($J62:S62)=1,S$2,0)</f>
        <v>0</v>
      </c>
      <c r="T63" s="118">
        <f>IF(SUM($J62:T62)=1,T$2,0)</f>
        <v>0</v>
      </c>
      <c r="U63" s="118">
        <f>IF(SUM($J62:U62)=1,U$2,0)</f>
        <v>0</v>
      </c>
      <c r="V63" s="118">
        <f>IF(SUM($J62:V62)=1,V$2,0)</f>
        <v>0</v>
      </c>
      <c r="W63" s="118">
        <f>IF(SUM($J62:W62)=1,W$2,0)</f>
        <v>0</v>
      </c>
      <c r="X63" s="118">
        <f>IF(SUM($J62:X62)=1,X$2,0)</f>
        <v>0</v>
      </c>
      <c r="Y63" s="118">
        <f>IF(SUM($J62:Y62)=1,Y$2,0)</f>
        <v>0</v>
      </c>
      <c r="Z63" s="118">
        <f>IF(SUM($J62:Z62)=1,Z$2,0)</f>
        <v>0</v>
      </c>
      <c r="AA63" s="118">
        <f>IF(SUM($J62:AA62)=1,AA$2,0)</f>
        <v>0</v>
      </c>
      <c r="AB63" s="118">
        <f>IF(SUM($J62:AB62)=1,AB$2,0)</f>
        <v>47938</v>
      </c>
      <c r="AC63" s="118">
        <f>IF(SUM($J62:AC62)=1,AC$2,0)</f>
        <v>0</v>
      </c>
      <c r="AD63" s="118">
        <f>IF(SUM($J62:AD62)=1,AD$2,0)</f>
        <v>0</v>
      </c>
      <c r="AE63" s="118">
        <f>IF(SUM($J62:AE62)=1,AE$2,0)</f>
        <v>0</v>
      </c>
      <c r="AF63" s="118">
        <f>IF(SUM($J62:AF62)=1,AF$2,0)</f>
        <v>0</v>
      </c>
      <c r="AG63" s="118">
        <f>IF(SUM($J62:AG62)=1,AG$2,0)</f>
        <v>0</v>
      </c>
      <c r="AH63" s="118">
        <f>IF(SUM($J62:AH62)=1,AH$2,0)</f>
        <v>0</v>
      </c>
      <c r="AI63" s="118">
        <f>IF(SUM($J62:AI62)=1,AI$2,0)</f>
        <v>0</v>
      </c>
      <c r="AJ63" s="118">
        <f>IF(SUM($J62:AJ62)=1,AJ$2,0)</f>
        <v>0</v>
      </c>
      <c r="AK63" s="118">
        <f>IF(SUM($J62:AK62)=1,AK$2,0)</f>
        <v>0</v>
      </c>
      <c r="AL63" s="118">
        <f>IF(SUM($J62:AL62)=1,AL$2,0)</f>
        <v>0</v>
      </c>
      <c r="AM63" s="118">
        <f>IF(SUM($J62:AM62)=1,AM$2,0)</f>
        <v>0</v>
      </c>
      <c r="AN63" s="118">
        <f>IF(SUM($J62:AN62)=1,AN$2,0)</f>
        <v>0</v>
      </c>
      <c r="AO63" s="118">
        <f>IF(SUM($J62:AO62)=1,AO$2,0)</f>
        <v>0</v>
      </c>
      <c r="AP63" s="118">
        <f>IF(SUM($J62:AP62)=1,AP$2,0)</f>
        <v>0</v>
      </c>
      <c r="AQ63" s="118">
        <f>IF(SUM($J62:AQ62)=1,AQ$2,0)</f>
        <v>0</v>
      </c>
    </row>
    <row r="64" spans="4:43" s="18" customFormat="1"/>
    <row r="65" spans="4:44" s="18" customFormat="1">
      <c r="E65" s="18" t="s">
        <v>227</v>
      </c>
      <c r="F65" s="117">
        <f>Flags!F14</f>
        <v>42460</v>
      </c>
    </row>
    <row r="66" spans="4:44" s="18" customFormat="1"/>
    <row r="67" spans="4:44" s="18" customFormat="1">
      <c r="E67" s="18" t="s">
        <v>63</v>
      </c>
      <c r="F67" s="134">
        <f>IF(((F63-F65)/365)&lt;0,"N/A",((F63-F65)/365) + 1)</f>
        <v>16.008219178082193</v>
      </c>
    </row>
    <row r="68" spans="4:44" s="18" customFormat="1">
      <c r="F68" s="116"/>
    </row>
    <row r="69" spans="4:44" s="18" customFormat="1"/>
    <row r="70" spans="4:44" s="18" customFormat="1">
      <c r="E70" s="18" t="s">
        <v>132</v>
      </c>
      <c r="G70" s="18" t="s">
        <v>42</v>
      </c>
      <c r="H70" s="47">
        <f>SUM(J70:AQ70)</f>
        <v>26918358.715428047</v>
      </c>
      <c r="J70" s="116">
        <f t="shared" ref="J70:AO70" si="17">SUM(J7:J8)</f>
        <v>698402.78505238099</v>
      </c>
      <c r="K70" s="116">
        <f t="shared" si="17"/>
        <v>727700.15196369041</v>
      </c>
      <c r="L70" s="116">
        <f t="shared" si="17"/>
        <v>775224.22640039376</v>
      </c>
      <c r="M70" s="116">
        <f t="shared" si="17"/>
        <v>791995.98538597021</v>
      </c>
      <c r="N70" s="116">
        <f t="shared" si="17"/>
        <v>818945.57466389227</v>
      </c>
      <c r="O70" s="116">
        <f t="shared" si="17"/>
        <v>843903.02892232907</v>
      </c>
      <c r="P70" s="116">
        <f t="shared" si="17"/>
        <v>867195.86453799577</v>
      </c>
      <c r="Q70" s="116">
        <f t="shared" si="17"/>
        <v>897856.8570993609</v>
      </c>
      <c r="R70" s="116">
        <f t="shared" si="17"/>
        <v>944602.73805102601</v>
      </c>
      <c r="S70" s="116">
        <f t="shared" si="17"/>
        <v>989913.12921224767</v>
      </c>
      <c r="T70" s="116">
        <f t="shared" si="17"/>
        <v>1028687.5438279375</v>
      </c>
      <c r="U70" s="116">
        <f t="shared" si="17"/>
        <v>1053538.1177725636</v>
      </c>
      <c r="V70" s="116">
        <f t="shared" si="17"/>
        <v>1104326.3369814861</v>
      </c>
      <c r="W70" s="116">
        <f t="shared" si="17"/>
        <v>1147821.9153542751</v>
      </c>
      <c r="X70" s="116">
        <f t="shared" si="17"/>
        <v>1177477.2159025932</v>
      </c>
      <c r="Y70" s="116">
        <f t="shared" si="17"/>
        <v>1221926.8923663287</v>
      </c>
      <c r="Z70" s="116">
        <f t="shared" si="17"/>
        <v>1184834.3056516193</v>
      </c>
      <c r="AA70" s="116">
        <f t="shared" si="17"/>
        <v>1213992.7111011217</v>
      </c>
      <c r="AB70" s="116">
        <f t="shared" si="17"/>
        <v>1251141.390892273</v>
      </c>
      <c r="AC70" s="116">
        <f t="shared" si="17"/>
        <v>1281882.8634442985</v>
      </c>
      <c r="AD70" s="116">
        <f t="shared" si="17"/>
        <v>1313307.838455406</v>
      </c>
      <c r="AE70" s="116">
        <f t="shared" si="17"/>
        <v>1345518.437841791</v>
      </c>
      <c r="AF70" s="116">
        <f t="shared" si="17"/>
        <v>1378534.3022128358</v>
      </c>
      <c r="AG70" s="116">
        <f t="shared" si="17"/>
        <v>1412469.4315601147</v>
      </c>
      <c r="AH70" s="116">
        <f t="shared" si="17"/>
        <v>1447159.0707741173</v>
      </c>
      <c r="AI70" s="116">
        <f t="shared" si="17"/>
        <v>0</v>
      </c>
      <c r="AJ70" s="116">
        <f t="shared" si="17"/>
        <v>0</v>
      </c>
      <c r="AK70" s="116">
        <f t="shared" si="17"/>
        <v>0</v>
      </c>
      <c r="AL70" s="116">
        <f t="shared" si="17"/>
        <v>0</v>
      </c>
      <c r="AM70" s="116">
        <f t="shared" si="17"/>
        <v>0</v>
      </c>
      <c r="AN70" s="116">
        <f t="shared" si="17"/>
        <v>0</v>
      </c>
      <c r="AO70" s="116">
        <f t="shared" si="17"/>
        <v>0</v>
      </c>
      <c r="AP70" s="116">
        <f t="shared" ref="AP70:AQ70" si="18">SUM(AP7:AP8)</f>
        <v>0</v>
      </c>
      <c r="AQ70" s="116">
        <f t="shared" si="18"/>
        <v>0</v>
      </c>
    </row>
    <row r="71" spans="4:44" s="18" customFormat="1"/>
    <row r="72" spans="4:44" s="18" customFormat="1">
      <c r="E72" s="18" t="s">
        <v>121</v>
      </c>
      <c r="G72" s="18" t="s">
        <v>42</v>
      </c>
      <c r="H72" s="47">
        <f>SUM(J72:AQ72)</f>
        <v>14672743.375029167</v>
      </c>
      <c r="J72" s="116">
        <f t="shared" ref="J72:AO72" si="19">-SUM(J10:J11)</f>
        <v>698402.78505238099</v>
      </c>
      <c r="K72" s="116">
        <f t="shared" si="19"/>
        <v>727700.15196369041</v>
      </c>
      <c r="L72" s="116">
        <f t="shared" si="19"/>
        <v>775224.22640039376</v>
      </c>
      <c r="M72" s="116">
        <f t="shared" si="19"/>
        <v>367839.71322944004</v>
      </c>
      <c r="N72" s="116">
        <f t="shared" si="19"/>
        <v>380790.57486852433</v>
      </c>
      <c r="O72" s="116">
        <f t="shared" si="19"/>
        <v>392665.14588497294</v>
      </c>
      <c r="P72" s="116">
        <f t="shared" si="19"/>
        <v>403634.67952633416</v>
      </c>
      <c r="Q72" s="116">
        <f t="shared" si="19"/>
        <v>418438.63999941619</v>
      </c>
      <c r="R72" s="116">
        <f t="shared" si="19"/>
        <v>440926.21692168171</v>
      </c>
      <c r="S72" s="116">
        <f t="shared" si="19"/>
        <v>463343.30615096592</v>
      </c>
      <c r="T72" s="116">
        <f t="shared" si="19"/>
        <v>482293.36124395073</v>
      </c>
      <c r="U72" s="116">
        <f t="shared" si="19"/>
        <v>533723.51195767266</v>
      </c>
      <c r="V72" s="116">
        <f t="shared" si="19"/>
        <v>559907.11022615118</v>
      </c>
      <c r="W72" s="116">
        <f t="shared" si="19"/>
        <v>582248.53163855965</v>
      </c>
      <c r="X72" s="116">
        <f t="shared" si="19"/>
        <v>597308.78713601362</v>
      </c>
      <c r="Y72" s="116">
        <f t="shared" si="19"/>
        <v>620124.42824300588</v>
      </c>
      <c r="Z72" s="116">
        <f t="shared" si="19"/>
        <v>634136.83200519579</v>
      </c>
      <c r="AA72" s="116">
        <f t="shared" si="19"/>
        <v>649747.38249948935</v>
      </c>
      <c r="AB72" s="116">
        <f t="shared" si="19"/>
        <v>669561.68847087061</v>
      </c>
      <c r="AC72" s="116">
        <f t="shared" si="19"/>
        <v>669985.98683858477</v>
      </c>
      <c r="AD72" s="116">
        <f t="shared" si="19"/>
        <v>686408.92428261437</v>
      </c>
      <c r="AE72" s="116">
        <f t="shared" si="19"/>
        <v>703242.43516274448</v>
      </c>
      <c r="AF72" s="116">
        <f t="shared" si="19"/>
        <v>720496.7838148782</v>
      </c>
      <c r="AG72" s="116">
        <f t="shared" si="19"/>
        <v>738231.54752522102</v>
      </c>
      <c r="AH72" s="116">
        <f t="shared" si="19"/>
        <v>756360.62398641626</v>
      </c>
      <c r="AI72" s="116">
        <f t="shared" si="19"/>
        <v>0</v>
      </c>
      <c r="AJ72" s="116">
        <f t="shared" si="19"/>
        <v>0</v>
      </c>
      <c r="AK72" s="116">
        <f t="shared" si="19"/>
        <v>0</v>
      </c>
      <c r="AL72" s="116">
        <f t="shared" si="19"/>
        <v>0</v>
      </c>
      <c r="AM72" s="116">
        <f t="shared" si="19"/>
        <v>0</v>
      </c>
      <c r="AN72" s="116">
        <f t="shared" si="19"/>
        <v>0</v>
      </c>
      <c r="AO72" s="116">
        <f t="shared" si="19"/>
        <v>0</v>
      </c>
      <c r="AP72" s="116">
        <f t="shared" ref="AP72:AQ72" si="20">-SUM(AP10:AP11)</f>
        <v>0</v>
      </c>
      <c r="AQ72" s="116">
        <f t="shared" si="20"/>
        <v>0</v>
      </c>
    </row>
    <row r="73" spans="4:44" s="18" customFormat="1"/>
    <row r="74" spans="4:44" s="18" customFormat="1">
      <c r="E74" s="18" t="s">
        <v>133</v>
      </c>
      <c r="G74" s="18" t="s">
        <v>42</v>
      </c>
      <c r="H74" s="47">
        <f>SUM(J74:AQ74)</f>
        <v>19358230.863529887</v>
      </c>
      <c r="J74" s="116">
        <f t="shared" ref="J74:AO74" si="21">J72+J37</f>
        <v>698402.78505238099</v>
      </c>
      <c r="K74" s="116">
        <f t="shared" si="21"/>
        <v>727700.15196369041</v>
      </c>
      <c r="L74" s="116">
        <f t="shared" si="21"/>
        <v>775224.22640039376</v>
      </c>
      <c r="M74" s="116">
        <f t="shared" si="21"/>
        <v>711619.01219176804</v>
      </c>
      <c r="N74" s="116">
        <f t="shared" si="21"/>
        <v>724569.87383085233</v>
      </c>
      <c r="O74" s="116">
        <f t="shared" si="21"/>
        <v>736444.44484730088</v>
      </c>
      <c r="P74" s="116">
        <f t="shared" si="21"/>
        <v>747413.97848866216</v>
      </c>
      <c r="Q74" s="116">
        <f>Q72+Q37</f>
        <v>762217.93896174431</v>
      </c>
      <c r="R74" s="116">
        <f t="shared" si="21"/>
        <v>784705.51588400989</v>
      </c>
      <c r="S74" s="116">
        <f t="shared" si="21"/>
        <v>807122.60511329398</v>
      </c>
      <c r="T74" s="116">
        <f t="shared" si="21"/>
        <v>826072.66020627902</v>
      </c>
      <c r="U74" s="116">
        <f t="shared" si="21"/>
        <v>877502.81092000101</v>
      </c>
      <c r="V74" s="116">
        <f t="shared" si="21"/>
        <v>903686.40918847965</v>
      </c>
      <c r="W74" s="116">
        <f t="shared" si="21"/>
        <v>831787.43141404795</v>
      </c>
      <c r="X74" s="116">
        <f t="shared" si="21"/>
        <v>846847.68691150215</v>
      </c>
      <c r="Y74" s="116">
        <f t="shared" si="21"/>
        <v>869663.32801849453</v>
      </c>
      <c r="Z74" s="116">
        <f t="shared" si="21"/>
        <v>883675.73178068432</v>
      </c>
      <c r="AA74" s="116">
        <f t="shared" si="21"/>
        <v>899286.28227497835</v>
      </c>
      <c r="AB74" s="116">
        <f t="shared" si="21"/>
        <v>669561.68847087061</v>
      </c>
      <c r="AC74" s="116">
        <f t="shared" si="21"/>
        <v>669985.98683858477</v>
      </c>
      <c r="AD74" s="116">
        <f t="shared" si="21"/>
        <v>686408.92428261437</v>
      </c>
      <c r="AE74" s="116">
        <f t="shared" si="21"/>
        <v>703242.43516274448</v>
      </c>
      <c r="AF74" s="116">
        <f t="shared" si="21"/>
        <v>720496.7838148782</v>
      </c>
      <c r="AG74" s="116">
        <f t="shared" si="21"/>
        <v>738231.54752522102</v>
      </c>
      <c r="AH74" s="116">
        <f t="shared" si="21"/>
        <v>756360.62398641626</v>
      </c>
      <c r="AI74" s="116">
        <f t="shared" si="21"/>
        <v>9.3132257461547854E-12</v>
      </c>
      <c r="AJ74" s="116">
        <f t="shared" si="21"/>
        <v>9.3132257461547854E-12</v>
      </c>
      <c r="AK74" s="116">
        <f t="shared" si="21"/>
        <v>9.3132257461547854E-12</v>
      </c>
      <c r="AL74" s="116">
        <f t="shared" si="21"/>
        <v>9.3132257461547854E-12</v>
      </c>
      <c r="AM74" s="116">
        <f t="shared" si="21"/>
        <v>9.3132257461547854E-12</v>
      </c>
      <c r="AN74" s="116">
        <f t="shared" si="21"/>
        <v>9.3132257461547854E-12</v>
      </c>
      <c r="AO74" s="116">
        <f t="shared" si="21"/>
        <v>9.3132257461547854E-12</v>
      </c>
      <c r="AP74" s="116">
        <f t="shared" ref="AP74:AQ74" si="22">AP72+AP37</f>
        <v>9.3132257461547854E-12</v>
      </c>
      <c r="AQ74" s="116">
        <f t="shared" si="22"/>
        <v>9.3132257461547854E-12</v>
      </c>
    </row>
    <row r="75" spans="4:44" s="18" customFormat="1"/>
    <row r="76" spans="4:44" s="115" customFormat="1">
      <c r="D76" s="108" t="s">
        <v>134</v>
      </c>
    </row>
    <row r="77" spans="4:44" s="18" customFormat="1"/>
    <row r="78" spans="4:44" s="18" customFormat="1">
      <c r="E78" s="18" t="str">
        <f>'Input Constants'!E21</f>
        <v>Discount rate for Net Present Value calculation</v>
      </c>
      <c r="F78" s="119">
        <f>'Input Constants'!F21</f>
        <v>6.087499999999979E-2</v>
      </c>
      <c r="G78" s="18" t="str">
        <f>'Input Constants'!G21</f>
        <v>%</v>
      </c>
    </row>
    <row r="79" spans="4:44" s="18" customFormat="1"/>
    <row r="80" spans="4:44" s="18" customFormat="1">
      <c r="E80" s="18" t="str">
        <f>E22</f>
        <v>Savings / (Increased Costs) before financing costs</v>
      </c>
      <c r="J80" s="116">
        <f t="shared" ref="J80:AR80" si="23">J22</f>
        <v>5.4569682106375694E-11</v>
      </c>
      <c r="K80" s="116">
        <f t="shared" si="23"/>
        <v>0</v>
      </c>
      <c r="L80" s="116">
        <f t="shared" si="23"/>
        <v>-2.9103830456733704E-11</v>
      </c>
      <c r="M80" s="116">
        <f t="shared" si="23"/>
        <v>424156.27215653041</v>
      </c>
      <c r="N80" s="116">
        <f t="shared" si="23"/>
        <v>438154.99979536794</v>
      </c>
      <c r="O80" s="116">
        <f t="shared" si="23"/>
        <v>451237.88303735614</v>
      </c>
      <c r="P80" s="116">
        <f t="shared" si="23"/>
        <v>463561.18501166161</v>
      </c>
      <c r="Q80" s="116">
        <f t="shared" si="23"/>
        <v>479418.21709994471</v>
      </c>
      <c r="R80" s="116">
        <f t="shared" si="23"/>
        <v>503676.5211293443</v>
      </c>
      <c r="S80" s="116">
        <f t="shared" si="23"/>
        <v>526569.82306128182</v>
      </c>
      <c r="T80" s="116">
        <f t="shared" si="23"/>
        <v>546394.18258398678</v>
      </c>
      <c r="U80" s="116">
        <f t="shared" si="23"/>
        <v>519814.60581489094</v>
      </c>
      <c r="V80" s="116">
        <f t="shared" si="23"/>
        <v>544419.22675533488</v>
      </c>
      <c r="W80" s="116">
        <f t="shared" si="23"/>
        <v>565573.38371571549</v>
      </c>
      <c r="X80" s="116">
        <f t="shared" si="23"/>
        <v>580168.4287665796</v>
      </c>
      <c r="Y80" s="116">
        <f t="shared" si="23"/>
        <v>601802.46412332286</v>
      </c>
      <c r="Z80" s="116">
        <f t="shared" si="23"/>
        <v>550697.47364642355</v>
      </c>
      <c r="AA80" s="116">
        <f t="shared" si="23"/>
        <v>564245.32860163238</v>
      </c>
      <c r="AB80" s="116">
        <f t="shared" si="23"/>
        <v>581579.70242140244</v>
      </c>
      <c r="AC80" s="116">
        <f t="shared" si="23"/>
        <v>611896.87660571374</v>
      </c>
      <c r="AD80" s="116">
        <f t="shared" si="23"/>
        <v>626898.91417279164</v>
      </c>
      <c r="AE80" s="116">
        <f t="shared" si="23"/>
        <v>642276.00267904648</v>
      </c>
      <c r="AF80" s="116">
        <f t="shared" si="23"/>
        <v>658037.51839795755</v>
      </c>
      <c r="AG80" s="116">
        <f t="shared" si="23"/>
        <v>674237.88403489371</v>
      </c>
      <c r="AH80" s="116">
        <f t="shared" si="23"/>
        <v>690798.44678770099</v>
      </c>
      <c r="AI80" s="116">
        <f t="shared" si="23"/>
        <v>0</v>
      </c>
      <c r="AJ80" s="116">
        <f t="shared" si="23"/>
        <v>0</v>
      </c>
      <c r="AK80" s="116">
        <f t="shared" si="23"/>
        <v>0</v>
      </c>
      <c r="AL80" s="116">
        <f t="shared" si="23"/>
        <v>0</v>
      </c>
      <c r="AM80" s="116">
        <f t="shared" si="23"/>
        <v>0</v>
      </c>
      <c r="AN80" s="116">
        <f t="shared" si="23"/>
        <v>0</v>
      </c>
      <c r="AO80" s="116">
        <f t="shared" si="23"/>
        <v>0</v>
      </c>
      <c r="AP80" s="116">
        <f t="shared" si="23"/>
        <v>0</v>
      </c>
      <c r="AQ80" s="116">
        <f t="shared" si="23"/>
        <v>0</v>
      </c>
      <c r="AR80" s="116">
        <f t="shared" si="23"/>
        <v>0</v>
      </c>
    </row>
    <row r="81" spans="5:44" s="18" customFormat="1">
      <c r="E81" s="18" t="s">
        <v>138</v>
      </c>
      <c r="F81" s="116">
        <f>XNPV($F$78, J80:AQ80, J$2:AQ$2)</f>
        <v>5623821.9999665953</v>
      </c>
    </row>
    <row r="82" spans="5:44" s="18" customFormat="1"/>
    <row r="83" spans="5:44" s="18" customFormat="1">
      <c r="E83" s="18" t="str">
        <f>E32</f>
        <v>Savings / (Increased Costs) after financing costs</v>
      </c>
      <c r="J83" s="116">
        <f>J32</f>
        <v>5.4569682106375694E-11</v>
      </c>
      <c r="K83" s="116">
        <f t="shared" ref="K83:AR83" si="24">K32</f>
        <v>0</v>
      </c>
      <c r="L83" s="116">
        <f t="shared" si="24"/>
        <v>-2.9103830456733704E-11</v>
      </c>
      <c r="M83" s="116">
        <f t="shared" si="24"/>
        <v>80376.973194202466</v>
      </c>
      <c r="N83" s="116">
        <f t="shared" si="24"/>
        <v>94375.700833039911</v>
      </c>
      <c r="O83" s="116">
        <f t="shared" si="24"/>
        <v>107458.58407502812</v>
      </c>
      <c r="P83" s="116">
        <f t="shared" si="24"/>
        <v>119781.88604933367</v>
      </c>
      <c r="Q83" s="116">
        <f t="shared" si="24"/>
        <v>135638.91813761659</v>
      </c>
      <c r="R83" s="116">
        <f t="shared" si="24"/>
        <v>159897.22216701621</v>
      </c>
      <c r="S83" s="116">
        <f t="shared" si="24"/>
        <v>182790.52409895373</v>
      </c>
      <c r="T83" s="116">
        <f t="shared" si="24"/>
        <v>202614.88362165855</v>
      </c>
      <c r="U83" s="116">
        <f t="shared" si="24"/>
        <v>176035.30685256261</v>
      </c>
      <c r="V83" s="116">
        <f t="shared" si="24"/>
        <v>200639.92779300641</v>
      </c>
      <c r="W83" s="116">
        <f t="shared" si="24"/>
        <v>316034.48394022719</v>
      </c>
      <c r="X83" s="116">
        <f t="shared" si="24"/>
        <v>330629.52899109107</v>
      </c>
      <c r="Y83" s="116">
        <f t="shared" si="24"/>
        <v>352263.56434783421</v>
      </c>
      <c r="Z83" s="116">
        <f t="shared" si="24"/>
        <v>301158.57387093495</v>
      </c>
      <c r="AA83" s="116">
        <f t="shared" si="24"/>
        <v>314706.42882614344</v>
      </c>
      <c r="AB83" s="116">
        <f t="shared" si="24"/>
        <v>581579.70242140244</v>
      </c>
      <c r="AC83" s="116">
        <f t="shared" si="24"/>
        <v>611896.87660571374</v>
      </c>
      <c r="AD83" s="116">
        <f t="shared" si="24"/>
        <v>626898.91417279164</v>
      </c>
      <c r="AE83" s="116">
        <f t="shared" si="24"/>
        <v>642276.00267904648</v>
      </c>
      <c r="AF83" s="116">
        <f t="shared" si="24"/>
        <v>658037.51839795755</v>
      </c>
      <c r="AG83" s="116">
        <f t="shared" si="24"/>
        <v>674237.88403489371</v>
      </c>
      <c r="AH83" s="116">
        <f t="shared" si="24"/>
        <v>690798.44678770099</v>
      </c>
      <c r="AI83" s="116">
        <f t="shared" si="24"/>
        <v>-9.3132257461547854E-12</v>
      </c>
      <c r="AJ83" s="116">
        <f t="shared" si="24"/>
        <v>-9.3132257461547854E-12</v>
      </c>
      <c r="AK83" s="116">
        <f t="shared" si="24"/>
        <v>-9.3132257461547854E-12</v>
      </c>
      <c r="AL83" s="116">
        <f t="shared" si="24"/>
        <v>-9.3132257461547854E-12</v>
      </c>
      <c r="AM83" s="116">
        <f t="shared" si="24"/>
        <v>-9.3132257461547854E-12</v>
      </c>
      <c r="AN83" s="116">
        <f t="shared" si="24"/>
        <v>-9.3132257461547854E-12</v>
      </c>
      <c r="AO83" s="116">
        <f t="shared" si="24"/>
        <v>-9.3132257461547854E-12</v>
      </c>
      <c r="AP83" s="116">
        <f t="shared" si="24"/>
        <v>-9.3132257461547854E-12</v>
      </c>
      <c r="AQ83" s="116">
        <f t="shared" si="24"/>
        <v>-9.3132257461547854E-12</v>
      </c>
      <c r="AR83" s="116">
        <f t="shared" si="24"/>
        <v>0</v>
      </c>
    </row>
    <row r="84" spans="5:44" s="18" customFormat="1">
      <c r="E84" s="18" t="s">
        <v>138</v>
      </c>
      <c r="F84" s="116">
        <f>XNPV($F$78, J83:AQ83, J$2:AQ$2)</f>
        <v>2869811.4361464684</v>
      </c>
    </row>
    <row r="85" spans="5:44" s="18" customFormat="1"/>
    <row r="86" spans="5:44" s="18" customFormat="1">
      <c r="E86" s="18" t="str">
        <f>E70</f>
        <v>Total Nominal Status Quo Costs</v>
      </c>
      <c r="J86" s="116">
        <f>J70</f>
        <v>698402.78505238099</v>
      </c>
      <c r="K86" s="116">
        <f t="shared" ref="K86:AR86" si="25">K70</f>
        <v>727700.15196369041</v>
      </c>
      <c r="L86" s="116">
        <f t="shared" si="25"/>
        <v>775224.22640039376</v>
      </c>
      <c r="M86" s="116">
        <f t="shared" si="25"/>
        <v>791995.98538597021</v>
      </c>
      <c r="N86" s="116">
        <f t="shared" si="25"/>
        <v>818945.57466389227</v>
      </c>
      <c r="O86" s="116">
        <f t="shared" si="25"/>
        <v>843903.02892232907</v>
      </c>
      <c r="P86" s="116">
        <f t="shared" si="25"/>
        <v>867195.86453799577</v>
      </c>
      <c r="Q86" s="116">
        <f t="shared" si="25"/>
        <v>897856.8570993609</v>
      </c>
      <c r="R86" s="116">
        <f t="shared" si="25"/>
        <v>944602.73805102601</v>
      </c>
      <c r="S86" s="116">
        <f t="shared" si="25"/>
        <v>989913.12921224767</v>
      </c>
      <c r="T86" s="116">
        <f t="shared" si="25"/>
        <v>1028687.5438279375</v>
      </c>
      <c r="U86" s="116">
        <f t="shared" si="25"/>
        <v>1053538.1177725636</v>
      </c>
      <c r="V86" s="116">
        <f t="shared" si="25"/>
        <v>1104326.3369814861</v>
      </c>
      <c r="W86" s="116">
        <f t="shared" si="25"/>
        <v>1147821.9153542751</v>
      </c>
      <c r="X86" s="116">
        <f t="shared" si="25"/>
        <v>1177477.2159025932</v>
      </c>
      <c r="Y86" s="116">
        <f t="shared" si="25"/>
        <v>1221926.8923663287</v>
      </c>
      <c r="Z86" s="116">
        <f t="shared" si="25"/>
        <v>1184834.3056516193</v>
      </c>
      <c r="AA86" s="116">
        <f t="shared" si="25"/>
        <v>1213992.7111011217</v>
      </c>
      <c r="AB86" s="116">
        <f t="shared" si="25"/>
        <v>1251141.390892273</v>
      </c>
      <c r="AC86" s="116">
        <f t="shared" si="25"/>
        <v>1281882.8634442985</v>
      </c>
      <c r="AD86" s="116">
        <f t="shared" si="25"/>
        <v>1313307.838455406</v>
      </c>
      <c r="AE86" s="116">
        <f t="shared" si="25"/>
        <v>1345518.437841791</v>
      </c>
      <c r="AF86" s="116">
        <f t="shared" si="25"/>
        <v>1378534.3022128358</v>
      </c>
      <c r="AG86" s="116">
        <f t="shared" si="25"/>
        <v>1412469.4315601147</v>
      </c>
      <c r="AH86" s="116">
        <f t="shared" si="25"/>
        <v>1447159.0707741173</v>
      </c>
      <c r="AI86" s="116">
        <f t="shared" si="25"/>
        <v>0</v>
      </c>
      <c r="AJ86" s="116">
        <f t="shared" si="25"/>
        <v>0</v>
      </c>
      <c r="AK86" s="116">
        <f t="shared" si="25"/>
        <v>0</v>
      </c>
      <c r="AL86" s="116">
        <f t="shared" si="25"/>
        <v>0</v>
      </c>
      <c r="AM86" s="116">
        <f t="shared" si="25"/>
        <v>0</v>
      </c>
      <c r="AN86" s="116">
        <f t="shared" si="25"/>
        <v>0</v>
      </c>
      <c r="AO86" s="116">
        <f t="shared" si="25"/>
        <v>0</v>
      </c>
      <c r="AP86" s="116">
        <f t="shared" si="25"/>
        <v>0</v>
      </c>
      <c r="AQ86" s="116">
        <f t="shared" si="25"/>
        <v>0</v>
      </c>
      <c r="AR86" s="116">
        <f t="shared" si="25"/>
        <v>0</v>
      </c>
    </row>
    <row r="87" spans="5:44" s="18" customFormat="1">
      <c r="E87" s="18" t="s">
        <v>138</v>
      </c>
      <c r="F87" s="116">
        <f>XNPV($F$78, J86:AQ86, J$2:AQ$2)</f>
        <v>13226415.244824745</v>
      </c>
    </row>
    <row r="88" spans="5:44" s="18" customFormat="1"/>
    <row r="89" spans="5:44" s="18" customFormat="1">
      <c r="E89" s="18" t="str">
        <f>E72</f>
        <v>Total Nominal Upgrade Costs</v>
      </c>
      <c r="J89" s="116">
        <f>J72</f>
        <v>698402.78505238099</v>
      </c>
      <c r="K89" s="116">
        <f t="shared" ref="K89:AR89" si="26">K72</f>
        <v>727700.15196369041</v>
      </c>
      <c r="L89" s="116">
        <f t="shared" si="26"/>
        <v>775224.22640039376</v>
      </c>
      <c r="M89" s="116">
        <f t="shared" si="26"/>
        <v>367839.71322944004</v>
      </c>
      <c r="N89" s="116">
        <f t="shared" si="26"/>
        <v>380790.57486852433</v>
      </c>
      <c r="O89" s="116">
        <f t="shared" si="26"/>
        <v>392665.14588497294</v>
      </c>
      <c r="P89" s="116">
        <f t="shared" si="26"/>
        <v>403634.67952633416</v>
      </c>
      <c r="Q89" s="116">
        <f t="shared" si="26"/>
        <v>418438.63999941619</v>
      </c>
      <c r="R89" s="116">
        <f t="shared" si="26"/>
        <v>440926.21692168171</v>
      </c>
      <c r="S89" s="116">
        <f t="shared" si="26"/>
        <v>463343.30615096592</v>
      </c>
      <c r="T89" s="116">
        <f t="shared" si="26"/>
        <v>482293.36124395073</v>
      </c>
      <c r="U89" s="116">
        <f t="shared" si="26"/>
        <v>533723.51195767266</v>
      </c>
      <c r="V89" s="116">
        <f t="shared" si="26"/>
        <v>559907.11022615118</v>
      </c>
      <c r="W89" s="116">
        <f t="shared" si="26"/>
        <v>582248.53163855965</v>
      </c>
      <c r="X89" s="116">
        <f t="shared" si="26"/>
        <v>597308.78713601362</v>
      </c>
      <c r="Y89" s="116">
        <f t="shared" si="26"/>
        <v>620124.42824300588</v>
      </c>
      <c r="Z89" s="116">
        <f t="shared" si="26"/>
        <v>634136.83200519579</v>
      </c>
      <c r="AA89" s="116">
        <f t="shared" si="26"/>
        <v>649747.38249948935</v>
      </c>
      <c r="AB89" s="116">
        <f t="shared" si="26"/>
        <v>669561.68847087061</v>
      </c>
      <c r="AC89" s="116">
        <f t="shared" si="26"/>
        <v>669985.98683858477</v>
      </c>
      <c r="AD89" s="116">
        <f t="shared" si="26"/>
        <v>686408.92428261437</v>
      </c>
      <c r="AE89" s="116">
        <f t="shared" si="26"/>
        <v>703242.43516274448</v>
      </c>
      <c r="AF89" s="116">
        <f t="shared" si="26"/>
        <v>720496.7838148782</v>
      </c>
      <c r="AG89" s="116">
        <f t="shared" si="26"/>
        <v>738231.54752522102</v>
      </c>
      <c r="AH89" s="116">
        <f t="shared" si="26"/>
        <v>756360.62398641626</v>
      </c>
      <c r="AI89" s="116">
        <f t="shared" si="26"/>
        <v>0</v>
      </c>
      <c r="AJ89" s="116">
        <f t="shared" si="26"/>
        <v>0</v>
      </c>
      <c r="AK89" s="116">
        <f t="shared" si="26"/>
        <v>0</v>
      </c>
      <c r="AL89" s="116">
        <f t="shared" si="26"/>
        <v>0</v>
      </c>
      <c r="AM89" s="116">
        <f t="shared" si="26"/>
        <v>0</v>
      </c>
      <c r="AN89" s="116">
        <f t="shared" si="26"/>
        <v>0</v>
      </c>
      <c r="AO89" s="116">
        <f t="shared" si="26"/>
        <v>0</v>
      </c>
      <c r="AP89" s="116">
        <f t="shared" si="26"/>
        <v>0</v>
      </c>
      <c r="AQ89" s="116">
        <f t="shared" si="26"/>
        <v>0</v>
      </c>
      <c r="AR89" s="116">
        <f t="shared" si="26"/>
        <v>0</v>
      </c>
    </row>
    <row r="90" spans="5:44" s="18" customFormat="1">
      <c r="E90" s="18" t="s">
        <v>138</v>
      </c>
      <c r="F90" s="116">
        <f>XNPV($F$78, J89:AQ89, J$2:AQ$2)</f>
        <v>7602593.2448581532</v>
      </c>
    </row>
    <row r="91" spans="5:44" s="18" customFormat="1"/>
    <row r="92" spans="5:44" s="18" customFormat="1"/>
    <row r="93" spans="5:44" s="18" customFormat="1"/>
    <row r="94" spans="5:44" s="18" customFormat="1"/>
    <row r="95" spans="5:44" s="18" customFormat="1"/>
    <row r="96" spans="5:44"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sheetData>
  <sheetProtection password="D033" sheet="1" objects="1" scenarios="1"/>
  <phoneticPr fontId="6" type="noConversion"/>
  <pageMargins left="0.74803149606299213" right="0.74803149606299213" top="0.98425196850393704" bottom="0.98425196850393704" header="0.51181102362204722" footer="0.51181102362204722"/>
  <pageSetup paperSize="9" scale="38" fitToWidth="4" fitToHeight="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sheetPr>
    <pageSetUpPr fitToPage="1"/>
  </sheetPr>
  <dimension ref="A1:V63"/>
  <sheetViews>
    <sheetView showGridLines="0" zoomScale="85" zoomScaleNormal="85" workbookViewId="0"/>
  </sheetViews>
  <sheetFormatPr defaultRowHeight="12.75"/>
  <cols>
    <col min="1" max="1" width="0.7109375" customWidth="1"/>
    <col min="2" max="2" width="1" customWidth="1"/>
    <col min="3" max="3" width="1.140625" customWidth="1"/>
    <col min="4" max="4" width="0.7109375" customWidth="1"/>
    <col min="5" max="5" width="59.140625" customWidth="1"/>
    <col min="6" max="6" width="1.5703125" customWidth="1"/>
    <col min="7" max="7" width="6.140625" customWidth="1"/>
    <col min="8" max="8" width="19.7109375" customWidth="1"/>
    <col min="9" max="9" width="1.42578125" customWidth="1"/>
    <col min="10" max="10" width="10.5703125" bestFit="1" customWidth="1"/>
    <col min="11" max="11" width="11" bestFit="1" customWidth="1"/>
    <col min="12" max="14" width="12.42578125" bestFit="1" customWidth="1"/>
    <col min="15" max="34" width="14" bestFit="1" customWidth="1"/>
    <col min="35" max="47" width="15.140625" bestFit="1" customWidth="1"/>
    <col min="48" max="61" width="15" bestFit="1" customWidth="1"/>
  </cols>
  <sheetData>
    <row r="1" spans="1:22" ht="15">
      <c r="A1" s="61" t="str">
        <f>'Input Constants'!$A$1</f>
        <v>Scottish Futures Trust Model</v>
      </c>
      <c r="B1" s="61"/>
      <c r="C1" s="60"/>
      <c r="D1" s="60"/>
      <c r="E1" s="60"/>
      <c r="F1" s="6"/>
      <c r="J1" s="2"/>
      <c r="K1" s="14"/>
      <c r="L1" s="14"/>
      <c r="M1" s="14"/>
      <c r="N1" s="14"/>
      <c r="O1" s="14"/>
      <c r="P1" s="14"/>
      <c r="Q1" s="14"/>
      <c r="R1" s="14"/>
      <c r="S1" s="14"/>
      <c r="T1" s="14"/>
      <c r="U1" s="14"/>
      <c r="V1" s="14"/>
    </row>
    <row r="2" spans="1:22" ht="15">
      <c r="A2" s="61" t="str">
        <f>'Input Constants'!$A$2</f>
        <v>Scenario: Base</v>
      </c>
      <c r="B2" s="61"/>
      <c r="C2" s="60"/>
      <c r="D2" s="60"/>
      <c r="E2" s="60"/>
      <c r="F2" s="6"/>
      <c r="J2" s="14"/>
      <c r="K2" s="14"/>
      <c r="L2" s="14"/>
      <c r="M2" s="14"/>
      <c r="N2" s="14"/>
      <c r="O2" s="14"/>
      <c r="P2" s="14"/>
      <c r="Q2" s="14"/>
      <c r="R2" s="14"/>
      <c r="S2" s="14"/>
      <c r="T2" s="14"/>
      <c r="U2" s="14"/>
      <c r="V2" s="14"/>
    </row>
    <row r="4" spans="1:22">
      <c r="E4" s="1" t="s">
        <v>149</v>
      </c>
      <c r="N4" s="1"/>
    </row>
    <row r="7" spans="1:22" ht="15">
      <c r="D7" s="62" t="s">
        <v>58</v>
      </c>
      <c r="E7" s="63"/>
      <c r="F7" s="64"/>
      <c r="G7" s="68"/>
      <c r="H7" s="68"/>
      <c r="I7" s="10"/>
    </row>
    <row r="8" spans="1:22" ht="15">
      <c r="D8" s="65"/>
      <c r="E8" s="66"/>
      <c r="F8" s="67"/>
      <c r="G8" s="69" t="s">
        <v>23</v>
      </c>
      <c r="H8" s="69" t="s">
        <v>24</v>
      </c>
    </row>
    <row r="9" spans="1:22">
      <c r="D9" s="27"/>
      <c r="E9" s="40"/>
      <c r="F9" s="20"/>
      <c r="G9" s="28"/>
      <c r="H9" s="38"/>
    </row>
    <row r="10" spans="1:22" ht="25.5">
      <c r="D10" s="22"/>
      <c r="E10" s="137" t="s">
        <v>226</v>
      </c>
      <c r="F10" s="23"/>
      <c r="G10" s="25"/>
      <c r="H10" s="49">
        <f>SUMPRODUCT(Workings!J27:AQ27, Workings!J33:AQ33)</f>
        <v>673780.85745238094</v>
      </c>
    </row>
    <row r="11" spans="1:22">
      <c r="D11" s="22"/>
      <c r="E11" s="51"/>
      <c r="F11" s="23"/>
      <c r="G11" s="25"/>
      <c r="H11" s="39"/>
    </row>
    <row r="12" spans="1:22">
      <c r="D12" s="22"/>
      <c r="E12" s="52" t="s">
        <v>69</v>
      </c>
      <c r="F12" s="23"/>
      <c r="G12" s="26" t="s">
        <v>42</v>
      </c>
      <c r="H12" s="49">
        <f>-'Comparison of Cashflows'!H15</f>
        <v>3468087.7088760622</v>
      </c>
    </row>
    <row r="13" spans="1:22">
      <c r="D13" s="22"/>
      <c r="E13" s="52" t="s">
        <v>147</v>
      </c>
      <c r="F13" s="23"/>
      <c r="G13" s="26" t="s">
        <v>42</v>
      </c>
      <c r="H13" s="49">
        <f>'Comparison of Cashflows'!H16 * -1</f>
        <v>0</v>
      </c>
    </row>
    <row r="14" spans="1:22">
      <c r="D14" s="22"/>
      <c r="E14" s="52" t="s">
        <v>148</v>
      </c>
      <c r="F14" s="23"/>
      <c r="G14" s="26" t="s">
        <v>42</v>
      </c>
      <c r="H14" s="49">
        <f>SUM(H12:H13)</f>
        <v>3468087.7088760622</v>
      </c>
    </row>
    <row r="15" spans="1:22">
      <c r="D15" s="22"/>
      <c r="E15" s="51"/>
      <c r="F15" s="23"/>
      <c r="G15" s="25"/>
      <c r="H15" s="39"/>
    </row>
    <row r="16" spans="1:22">
      <c r="D16" s="22"/>
      <c r="E16" s="52" t="str">
        <f>"Total Net "&amp;IF(H16&gt;=0, "Savings", "(Costs)")&amp;" compared to base case before capital &amp; financing costs"</f>
        <v>Total Net Savings compared to base case before capital &amp; financing costs</v>
      </c>
      <c r="F16" s="23"/>
      <c r="G16" s="26" t="s">
        <v>42</v>
      </c>
      <c r="H16" s="49">
        <f>'Comparison of Cashflows'!H13</f>
        <v>12245615.340398878</v>
      </c>
    </row>
    <row r="17" spans="4:10">
      <c r="D17" s="22"/>
      <c r="E17" s="52"/>
      <c r="F17" s="23"/>
      <c r="G17" s="26"/>
      <c r="H17" s="49"/>
    </row>
    <row r="18" spans="4:10">
      <c r="D18" s="22"/>
      <c r="E18" s="52" t="str">
        <f>"Total Net "&amp;IF(H18&gt;=0, "Savings", "(Costs)")&amp;" compared to base case after capital &amp; financing costs"</f>
        <v>Total Net Savings compared to base case after capital &amp; financing costs</v>
      </c>
      <c r="F18" s="23"/>
      <c r="G18" s="26" t="s">
        <v>42</v>
      </c>
      <c r="H18" s="49">
        <f>'Comparison of Cashflows'!H32</f>
        <v>7560127.8518981561</v>
      </c>
    </row>
    <row r="19" spans="4:10">
      <c r="D19" s="22"/>
      <c r="E19" s="51"/>
      <c r="F19" s="23"/>
      <c r="G19" s="26"/>
      <c r="H19" s="49"/>
    </row>
    <row r="20" spans="4:10">
      <c r="D20" s="22"/>
      <c r="E20" s="52" t="str">
        <f>"Total Maintenance "&amp;IF(H20&gt;=0, "Savings", "(Costs)")&amp;" over analysis period"</f>
        <v>Total Maintenance Savings over analysis period</v>
      </c>
      <c r="F20" s="23"/>
      <c r="G20" s="26" t="s">
        <v>42</v>
      </c>
      <c r="H20" s="49">
        <f>Workings!H41 - Workings!H59</f>
        <v>3905756.6555053042</v>
      </c>
    </row>
    <row r="21" spans="4:10">
      <c r="D21" s="22"/>
      <c r="E21" s="52" t="str">
        <f>"Total Energy "&amp;IF(H21&gt;=0, "Savings", "(Costs)")&amp;" over analysis period"</f>
        <v>Total Energy Savings over analysis period</v>
      </c>
      <c r="F21" s="23"/>
      <c r="G21" s="26" t="s">
        <v>42</v>
      </c>
      <c r="H21" s="49">
        <f>Workings!H42 - Workings!H60</f>
        <v>8025113.7065764554</v>
      </c>
    </row>
    <row r="22" spans="4:10">
      <c r="D22" s="22"/>
      <c r="E22" s="52" t="str">
        <f>"Other operational costs "&amp;IF(H22&gt;=0, "Savings", "(Costs)")&amp;" over analysis period"</f>
        <v>Other operational costs Savings over analysis period</v>
      </c>
      <c r="F22" s="23"/>
      <c r="G22" s="26" t="s">
        <v>42</v>
      </c>
      <c r="H22" s="49">
        <f>Workings!H43 - Workings!H61</f>
        <v>0</v>
      </c>
    </row>
    <row r="23" spans="4:10">
      <c r="D23" s="22"/>
      <c r="E23" s="52" t="s">
        <v>160</v>
      </c>
      <c r="F23" s="23"/>
      <c r="G23" s="26" t="s">
        <v>42</v>
      </c>
      <c r="H23" s="49">
        <f>'Comparison of Cashflows'!H8+'Comparison of Cashflows'!H11</f>
        <v>314744.97831712011</v>
      </c>
    </row>
    <row r="24" spans="4:10">
      <c r="D24" s="22"/>
      <c r="E24" s="51"/>
      <c r="F24" s="23"/>
      <c r="G24" s="26"/>
      <c r="H24" s="49"/>
    </row>
    <row r="25" spans="4:10">
      <c r="D25" s="22"/>
      <c r="E25" s="52" t="s">
        <v>68</v>
      </c>
      <c r="F25" s="23"/>
      <c r="G25" s="53" t="s">
        <v>36</v>
      </c>
      <c r="H25" s="49">
        <f>'Comparison of Cashflows'!$F$53</f>
        <v>8.0027397260273965</v>
      </c>
    </row>
    <row r="26" spans="4:10">
      <c r="D26" s="22"/>
      <c r="E26" s="51"/>
      <c r="F26" s="23"/>
      <c r="G26" s="26"/>
      <c r="H26" s="49"/>
    </row>
    <row r="27" spans="4:10">
      <c r="D27" s="22"/>
      <c r="E27" s="52" t="s">
        <v>70</v>
      </c>
      <c r="F27" s="23"/>
      <c r="G27" s="53" t="s">
        <v>36</v>
      </c>
      <c r="H27" s="49">
        <f>'Comparison of Cashflows'!$F$67</f>
        <v>16.008219178082193</v>
      </c>
      <c r="J27" s="55"/>
    </row>
    <row r="28" spans="4:10">
      <c r="D28" s="22"/>
      <c r="E28" s="51"/>
      <c r="F28" s="23"/>
      <c r="G28" s="26"/>
      <c r="H28" s="39"/>
    </row>
    <row r="29" spans="4:10" ht="25.5">
      <c r="D29" s="22"/>
      <c r="E29" s="136" t="s">
        <v>221</v>
      </c>
      <c r="F29" s="23"/>
      <c r="G29" s="53" t="s">
        <v>42</v>
      </c>
      <c r="H29" s="49">
        <f>'Comparison of Cashflows'!F87</f>
        <v>13226415.244824745</v>
      </c>
    </row>
    <row r="30" spans="4:10">
      <c r="D30" s="22"/>
      <c r="E30" s="51"/>
      <c r="F30" s="23"/>
      <c r="G30" s="26"/>
      <c r="H30" s="49"/>
    </row>
    <row r="31" spans="4:10" ht="25.5">
      <c r="D31" s="22"/>
      <c r="E31" s="136" t="s">
        <v>222</v>
      </c>
      <c r="F31" s="23"/>
      <c r="G31" s="53" t="s">
        <v>42</v>
      </c>
      <c r="H31" s="49">
        <f>'Comparison of Cashflows'!F90</f>
        <v>7602593.2448581532</v>
      </c>
    </row>
    <row r="32" spans="4:10">
      <c r="D32" s="22"/>
      <c r="E32" s="51"/>
      <c r="F32" s="23"/>
      <c r="G32" s="26"/>
      <c r="H32" s="49"/>
    </row>
    <row r="33" spans="4:22" ht="25.5">
      <c r="D33" s="22"/>
      <c r="E33" s="136" t="s">
        <v>223</v>
      </c>
      <c r="F33" s="23"/>
      <c r="G33" s="53" t="s">
        <v>42</v>
      </c>
      <c r="H33" s="49">
        <f>'Comparison of Cashflows'!F81</f>
        <v>5623821.9999665953</v>
      </c>
    </row>
    <row r="34" spans="4:22">
      <c r="D34" s="22"/>
      <c r="E34" s="51"/>
      <c r="F34" s="23"/>
      <c r="G34" s="26"/>
      <c r="H34" s="49"/>
    </row>
    <row r="35" spans="4:22" ht="25.5" customHeight="1">
      <c r="D35" s="22"/>
      <c r="E35" s="136" t="s">
        <v>224</v>
      </c>
      <c r="F35" s="23"/>
      <c r="G35" s="53" t="s">
        <v>42</v>
      </c>
      <c r="H35" s="49">
        <f>'Comparison of Cashflows'!F84</f>
        <v>2869811.4361464684</v>
      </c>
    </row>
    <row r="36" spans="4:22">
      <c r="D36" s="22"/>
      <c r="E36" s="51"/>
      <c r="F36" s="23"/>
      <c r="G36" s="26"/>
      <c r="H36" s="49"/>
    </row>
    <row r="37" spans="4:22">
      <c r="D37" s="22"/>
      <c r="E37" s="52" t="s">
        <v>161</v>
      </c>
      <c r="F37" s="23"/>
      <c r="G37" s="53" t="s">
        <v>42</v>
      </c>
      <c r="H37" s="49">
        <f>SUM('Comparison of Cashflows'!H24:H30) * -1</f>
        <v>4685487.4885007245</v>
      </c>
    </row>
    <row r="38" spans="4:22">
      <c r="D38" s="22"/>
      <c r="E38" s="51"/>
      <c r="F38" s="23"/>
      <c r="G38" s="26"/>
      <c r="H38" s="39"/>
    </row>
    <row r="39" spans="4:22">
      <c r="D39" s="22"/>
      <c r="E39" s="52" t="s">
        <v>73</v>
      </c>
      <c r="F39" s="23"/>
      <c r="G39" s="53" t="s">
        <v>141</v>
      </c>
      <c r="H39" s="49">
        <f>Workings!H77</f>
        <v>4365590</v>
      </c>
    </row>
    <row r="40" spans="4:22">
      <c r="D40" s="22"/>
      <c r="E40" s="52" t="str">
        <f>"Energy consumption for Upgrade in Year "&amp;'Input Constants'!F15</f>
        <v>Energy consumption for Upgrade in Year 25</v>
      </c>
      <c r="F40" s="23"/>
      <c r="G40" s="53" t="s">
        <v>141</v>
      </c>
      <c r="H40" s="49">
        <f>Workings!H87</f>
        <v>2292717.3820000002</v>
      </c>
    </row>
    <row r="41" spans="4:22">
      <c r="D41" s="22"/>
      <c r="E41" s="52" t="str">
        <f>"Energy reduction - Year 1 to Year "&amp;'Input Constants'!F15</f>
        <v>Energy reduction - Year 1 to Year 25</v>
      </c>
      <c r="F41" s="23"/>
      <c r="G41" s="53" t="s">
        <v>41</v>
      </c>
      <c r="H41" s="58">
        <f>(H39-H40)/H39</f>
        <v>0.47482072709530665</v>
      </c>
    </row>
    <row r="42" spans="4:22">
      <c r="D42" s="22"/>
      <c r="E42" s="52"/>
      <c r="F42" s="23"/>
      <c r="G42" s="53"/>
      <c r="H42" s="58"/>
    </row>
    <row r="43" spans="4:22">
      <c r="D43" s="22"/>
      <c r="E43" s="52" t="str">
        <f>"Total "&amp;Workings!E73&amp;" - "&amp;Workings!D72</f>
        <v>Total Tonnes of CO2 - Status Quo</v>
      </c>
      <c r="F43" s="23"/>
      <c r="G43" s="53" t="s">
        <v>93</v>
      </c>
      <c r="H43" s="49">
        <f>Workings!H73</f>
        <v>32130.742400000006</v>
      </c>
    </row>
    <row r="44" spans="4:22">
      <c r="D44" s="22"/>
      <c r="E44" s="52" t="str">
        <f>"Total "&amp;Workings!E80&amp;" - "&amp;Workings!D79</f>
        <v>Total Tonnes of CO2 - Upgrade</v>
      </c>
      <c r="F44" s="23"/>
      <c r="G44" s="53" t="s">
        <v>93</v>
      </c>
      <c r="H44" s="49">
        <f>Workings!H80</f>
        <v>19693.50669200001</v>
      </c>
    </row>
    <row r="45" spans="4:22">
      <c r="D45" s="22"/>
      <c r="E45" s="52" t="s">
        <v>159</v>
      </c>
      <c r="F45" s="23"/>
      <c r="G45" s="53" t="s">
        <v>93</v>
      </c>
      <c r="H45" s="49">
        <f>H43 - H44</f>
        <v>12437.235707999997</v>
      </c>
    </row>
    <row r="46" spans="4:22">
      <c r="D46" s="22"/>
      <c r="E46" s="52" t="s">
        <v>220</v>
      </c>
      <c r="F46" s="23"/>
      <c r="G46" s="53" t="s">
        <v>41</v>
      </c>
      <c r="H46" s="135">
        <f>H45 / H43</f>
        <v>0.3870821144798694</v>
      </c>
    </row>
    <row r="47" spans="4:22">
      <c r="D47" s="24"/>
      <c r="E47" s="16"/>
      <c r="F47" s="9"/>
      <c r="G47" s="30"/>
      <c r="H47" s="41"/>
      <c r="J47" s="12"/>
      <c r="K47" s="12"/>
      <c r="L47" s="12"/>
      <c r="M47" s="12"/>
      <c r="N47" s="12"/>
      <c r="O47" s="12"/>
      <c r="P47" s="12"/>
      <c r="Q47" s="12"/>
      <c r="R47" s="12"/>
      <c r="S47" s="12"/>
      <c r="T47" s="12"/>
      <c r="U47" s="12"/>
      <c r="V47" s="12"/>
    </row>
    <row r="50" spans="4:22">
      <c r="J50" s="12"/>
      <c r="K50" s="12"/>
      <c r="L50" s="12"/>
      <c r="M50" s="12"/>
      <c r="N50" s="12"/>
      <c r="O50" s="12"/>
      <c r="P50" s="12"/>
      <c r="Q50" s="12"/>
      <c r="R50" s="12"/>
      <c r="S50" s="12"/>
      <c r="T50" s="12"/>
      <c r="U50" s="12"/>
      <c r="V50" s="12"/>
    </row>
    <row r="51" spans="4:22">
      <c r="E51" s="1"/>
      <c r="G51" s="1"/>
    </row>
    <row r="52" spans="4:22" ht="15">
      <c r="D52" s="62" t="s">
        <v>51</v>
      </c>
      <c r="E52" s="63"/>
      <c r="F52" s="64"/>
      <c r="G52" s="68"/>
      <c r="H52" s="68"/>
      <c r="I52" s="10"/>
    </row>
    <row r="53" spans="4:22" ht="15" customHeight="1">
      <c r="D53" s="65" t="s">
        <v>54</v>
      </c>
      <c r="E53" s="66"/>
      <c r="F53" s="67"/>
      <c r="G53" s="69"/>
      <c r="H53" s="69"/>
    </row>
    <row r="54" spans="4:22">
      <c r="D54" s="34" t="s">
        <v>52</v>
      </c>
      <c r="E54" s="31"/>
      <c r="F54" s="31"/>
      <c r="G54" s="32"/>
      <c r="H54" s="33"/>
    </row>
    <row r="55" spans="4:22">
      <c r="D55" s="22"/>
      <c r="E55" s="56" t="s">
        <v>59</v>
      </c>
      <c r="F55" s="23"/>
      <c r="G55" s="29"/>
      <c r="H55" s="120" t="str">
        <f>IF('Input Constants'!$F$40+'Input Constants'!F44+'Input Constants'!$F$48=100%, "OK", "ERROR")</f>
        <v>OK</v>
      </c>
    </row>
    <row r="56" spans="4:22">
      <c r="D56" s="22"/>
      <c r="E56" s="56" t="s">
        <v>162</v>
      </c>
      <c r="F56" s="23"/>
      <c r="G56" s="29"/>
      <c r="H56" s="120" t="str">
        <f>IF(ROUND(Financing!H40 + Financing!H61 + Financing!H82,0) = 0, "OK", "ERROR")</f>
        <v>OK</v>
      </c>
    </row>
    <row r="57" spans="4:22">
      <c r="D57" s="22"/>
      <c r="E57" s="56"/>
      <c r="F57" s="23"/>
      <c r="G57" s="29"/>
      <c r="H57" s="120"/>
    </row>
    <row r="58" spans="4:22">
      <c r="D58" s="35" t="s">
        <v>53</v>
      </c>
      <c r="E58" s="36"/>
      <c r="F58" s="36"/>
      <c r="G58" s="37"/>
      <c r="H58" s="121"/>
    </row>
    <row r="59" spans="4:22">
      <c r="D59" s="27"/>
      <c r="E59" s="57" t="s">
        <v>157</v>
      </c>
      <c r="F59" s="20"/>
      <c r="G59" s="28"/>
      <c r="H59" s="120" t="str">
        <f>IF(YEAR('Input Constants'!F16) - YEAR(Flags!F14) &lt;=25, "OK", "ERROR")</f>
        <v>OK</v>
      </c>
    </row>
    <row r="60" spans="4:22">
      <c r="D60" s="24"/>
      <c r="E60" s="16"/>
      <c r="F60" s="9"/>
      <c r="G60" s="30"/>
      <c r="H60" s="122"/>
      <c r="J60" s="12"/>
      <c r="K60" s="12"/>
      <c r="L60" s="12"/>
      <c r="M60" s="12"/>
      <c r="N60" s="12"/>
      <c r="O60" s="12"/>
      <c r="P60" s="12"/>
      <c r="Q60" s="12"/>
      <c r="R60" s="12"/>
      <c r="S60" s="12"/>
      <c r="T60" s="12"/>
      <c r="U60" s="12"/>
      <c r="V60" s="12"/>
    </row>
    <row r="61" spans="4:22">
      <c r="E61" s="6"/>
      <c r="J61" s="12"/>
      <c r="K61" s="12"/>
      <c r="L61" s="12"/>
      <c r="M61" s="12"/>
      <c r="N61" s="12"/>
      <c r="O61" s="12"/>
      <c r="P61" s="12"/>
      <c r="Q61" s="12"/>
      <c r="R61" s="12"/>
      <c r="S61" s="12"/>
      <c r="T61" s="12"/>
      <c r="U61" s="12"/>
      <c r="V61" s="12"/>
    </row>
    <row r="62" spans="4:22">
      <c r="E62" s="6"/>
      <c r="J62" s="12"/>
      <c r="K62" s="12"/>
      <c r="L62" s="12"/>
      <c r="M62" s="12"/>
      <c r="N62" s="12"/>
      <c r="O62" s="12"/>
      <c r="P62" s="12"/>
      <c r="Q62" s="12"/>
      <c r="R62" s="12"/>
      <c r="S62" s="12"/>
      <c r="T62" s="12"/>
      <c r="U62" s="12"/>
      <c r="V62" s="12"/>
    </row>
    <row r="63" spans="4:22">
      <c r="E63" s="6"/>
      <c r="J63" s="12"/>
      <c r="K63" s="12"/>
      <c r="L63" s="12"/>
      <c r="M63" s="12"/>
      <c r="N63" s="12"/>
      <c r="O63" s="12"/>
      <c r="P63" s="12"/>
      <c r="Q63" s="12"/>
      <c r="R63" s="12"/>
      <c r="S63" s="12"/>
      <c r="T63" s="12"/>
      <c r="U63" s="12"/>
      <c r="V63" s="12"/>
    </row>
  </sheetData>
  <sheetProtection password="D033" sheet="1" objects="1" scenarios="1"/>
  <conditionalFormatting sqref="H47 H15 H38 H28 H9 H11">
    <cfRule type="cellIs" dxfId="4" priority="6" stopIfTrue="1" operator="equal">
      <formula>"YES"</formula>
    </cfRule>
    <cfRule type="cellIs" dxfId="3" priority="7" stopIfTrue="1" operator="equal">
      <formula>"NO"</formula>
    </cfRule>
  </conditionalFormatting>
  <conditionalFormatting sqref="H55:H60">
    <cfRule type="cellIs" dxfId="2" priority="1" operator="notEqual">
      <formula>"OK"</formula>
    </cfRule>
    <cfRule type="cellIs" dxfId="1" priority="4" stopIfTrue="1" operator="equal">
      <formula>"YES"</formula>
    </cfRule>
    <cfRule type="cellIs" dxfId="0" priority="5" stopIfTrue="1" operator="equal">
      <formula>"NO"</formula>
    </cfRule>
  </conditionalFormatting>
  <pageMargins left="0.74803149606299213" right="0.74803149606299213" top="0.98425196850393704" bottom="0.98425196850393704" header="0.51181102362204722" footer="0.51181102362204722"/>
  <pageSetup paperSize="9" scale="5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dimension ref="A1:B8"/>
  <sheetViews>
    <sheetView workbookViewId="0"/>
  </sheetViews>
  <sheetFormatPr defaultRowHeight="12.75"/>
  <sheetData>
    <row r="1" spans="1:2">
      <c r="A1" t="s">
        <v>5</v>
      </c>
      <c r="B1" t="s">
        <v>6</v>
      </c>
    </row>
    <row r="2" spans="1:2">
      <c r="A2" t="s">
        <v>7</v>
      </c>
      <c r="B2" t="s">
        <v>8</v>
      </c>
    </row>
    <row r="3" spans="1:2">
      <c r="A3" t="s">
        <v>9</v>
      </c>
      <c r="B3" t="s">
        <v>10</v>
      </c>
    </row>
    <row r="4" spans="1:2">
      <c r="A4" t="s">
        <v>11</v>
      </c>
      <c r="B4" t="s">
        <v>12</v>
      </c>
    </row>
    <row r="5" spans="1:2">
      <c r="A5" t="s">
        <v>13</v>
      </c>
      <c r="B5" t="s">
        <v>14</v>
      </c>
    </row>
    <row r="6" spans="1:2">
      <c r="A6" t="s">
        <v>15</v>
      </c>
      <c r="B6" t="s">
        <v>16</v>
      </c>
    </row>
    <row r="7" spans="1:2">
      <c r="A7" t="s">
        <v>17</v>
      </c>
      <c r="B7" t="s">
        <v>18</v>
      </c>
    </row>
    <row r="8" spans="1:2">
      <c r="A8" t="s">
        <v>19</v>
      </c>
      <c r="B8" t="s">
        <v>20</v>
      </c>
    </row>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Title Page</vt:lpstr>
      <vt:lpstr>Input Constants</vt:lpstr>
      <vt:lpstr>Input Profile</vt:lpstr>
      <vt:lpstr>Flags</vt:lpstr>
      <vt:lpstr>Workings</vt:lpstr>
      <vt:lpstr>Financing</vt:lpstr>
      <vt:lpstr>Comparison of Cashflows</vt:lpstr>
      <vt:lpstr>Results Summary</vt:lpstr>
      <vt:lpstr>GT_Custom</vt:lpstr>
      <vt:lpstr>'Comparison of Cashflows'!Print_Area</vt:lpstr>
      <vt:lpstr>Workings!Print_Area</vt:lpstr>
      <vt:lpstr>'Comparison of Cashflows'!Print_Titles</vt:lpstr>
      <vt:lpstr>Financing!Print_Titles</vt:lpstr>
      <vt:lpstr>Flags!Print_Titles</vt:lpstr>
      <vt:lpstr>'Input Profile'!Print_Titles</vt:lpstr>
      <vt:lpstr>Workings!Print_Titles</vt:lpstr>
    </vt:vector>
  </TitlesOfParts>
  <Company>Grant Thornton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Saunders</dc:creator>
  <cp:lastModifiedBy>graham.kirkpatrick</cp:lastModifiedBy>
  <cp:lastPrinted>2013-03-04T09:32:46Z</cp:lastPrinted>
  <dcterms:created xsi:type="dcterms:W3CDTF">2010-06-21T16:25:09Z</dcterms:created>
  <dcterms:modified xsi:type="dcterms:W3CDTF">2013-03-28T11:11:10Z</dcterms:modified>
</cp:coreProperties>
</file>